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 tabRatio="594" activeTab="1"/>
  </bookViews>
  <sheets>
    <sheet name="ПЗ" sheetId="5" r:id="rId1"/>
    <sheet name="Приложение доходы" sheetId="8" r:id="rId2"/>
  </sheets>
  <definedNames>
    <definedName name="А134" localSheetId="0">#REF!</definedName>
    <definedName name="А134" localSheetId="1">#REF!</definedName>
    <definedName name="А134">#REF!</definedName>
    <definedName name="ДЕКАБРЬ" localSheetId="0">#REF!</definedName>
    <definedName name="ДЕКАБРЬ" localSheetId="1">#REF!</definedName>
    <definedName name="ДЕКАБРЬ">#REF!</definedName>
    <definedName name="ДЕКАБРЬ.2" localSheetId="0">#REF!</definedName>
    <definedName name="ДЕКАБРЬ.2" localSheetId="1">#REF!</definedName>
    <definedName name="ДЕКАБРЬ.2">#REF!</definedName>
    <definedName name="_xlnm.Print_Titles" localSheetId="0">ПЗ!$6:$6</definedName>
    <definedName name="_xlnm.Print_Titles" localSheetId="1">'Приложение доходы'!$6:$6</definedName>
    <definedName name="нгша" localSheetId="0">#REF!</definedName>
    <definedName name="нгша" localSheetId="1">#REF!</definedName>
    <definedName name="нгша">#REF!</definedName>
    <definedName name="ноябрь" localSheetId="0">#REF!</definedName>
    <definedName name="ноябрь" localSheetId="1">#REF!</definedName>
    <definedName name="ноябрь">#REF!</definedName>
    <definedName name="_xlnm.Print_Area" localSheetId="0">ПЗ!$A$1:$S$111</definedName>
    <definedName name="_xlnm.Print_Area" localSheetId="1">'Приложение доходы'!$A$1:$D$111</definedName>
    <definedName name="октябрь" localSheetId="0">#REF!</definedName>
    <definedName name="октябрь" localSheetId="1">#REF!</definedName>
    <definedName name="октябрь">#REF!</definedName>
    <definedName name="пппп" localSheetId="0">#REF!</definedName>
    <definedName name="пппп" localSheetId="1">#REF!</definedName>
    <definedName name="пппп">#REF!</definedName>
    <definedName name="ыфва" localSheetId="0">#REF!</definedName>
    <definedName name="ыфва" localSheetId="1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D112" i="8"/>
  <c r="S8" i="5"/>
  <c r="U89"/>
  <c r="U49"/>
  <c r="U81"/>
  <c r="U50"/>
  <c r="T17"/>
  <c r="V17" s="1"/>
  <c r="S17"/>
  <c r="U17" s="1"/>
  <c r="T102" l="1"/>
  <c r="R102"/>
  <c r="T87"/>
  <c r="T72"/>
  <c r="T42"/>
  <c r="U42" s="1"/>
  <c r="T32"/>
  <c r="T13"/>
  <c r="T9"/>
  <c r="T11"/>
  <c r="T27"/>
  <c r="T21"/>
  <c r="T8" s="1"/>
  <c r="T29"/>
  <c r="T106"/>
  <c r="R90"/>
  <c r="R106"/>
  <c r="R87"/>
  <c r="R72"/>
  <c r="R39"/>
  <c r="R27"/>
  <c r="R26"/>
  <c r="R11"/>
  <c r="R9"/>
  <c r="U8" l="1"/>
  <c r="S25"/>
  <c r="O109"/>
  <c r="Q109" s="1"/>
  <c r="S109" s="1"/>
  <c r="F109"/>
  <c r="G109" s="1"/>
  <c r="E109"/>
  <c r="E106" s="1"/>
  <c r="O108"/>
  <c r="F108"/>
  <c r="G108" s="1"/>
  <c r="O107"/>
  <c r="Q107" s="1"/>
  <c r="S107" s="1"/>
  <c r="F107"/>
  <c r="G107" s="1"/>
  <c r="P106"/>
  <c r="N106"/>
  <c r="M106"/>
  <c r="L106"/>
  <c r="K106"/>
  <c r="J106"/>
  <c r="I106"/>
  <c r="H106"/>
  <c r="D106"/>
  <c r="C106"/>
  <c r="O105"/>
  <c r="F105"/>
  <c r="G105" s="1"/>
  <c r="E105"/>
  <c r="E102" s="1"/>
  <c r="O104"/>
  <c r="Q104" s="1"/>
  <c r="S104" s="1"/>
  <c r="G104"/>
  <c r="O103"/>
  <c r="Q103" s="1"/>
  <c r="S103" s="1"/>
  <c r="G103"/>
  <c r="P102"/>
  <c r="N102"/>
  <c r="M102"/>
  <c r="L102"/>
  <c r="K102"/>
  <c r="J102"/>
  <c r="I102"/>
  <c r="H102"/>
  <c r="D102"/>
  <c r="C102"/>
  <c r="O101"/>
  <c r="P101" s="1"/>
  <c r="F101"/>
  <c r="E101"/>
  <c r="N100"/>
  <c r="L100"/>
  <c r="J100"/>
  <c r="H100"/>
  <c r="D100"/>
  <c r="C100"/>
  <c r="E100" s="1"/>
  <c r="O99"/>
  <c r="Q99" s="1"/>
  <c r="S99" s="1"/>
  <c r="U99" s="1"/>
  <c r="S98"/>
  <c r="U98" s="1"/>
  <c r="O97"/>
  <c r="Q97" s="1"/>
  <c r="S97" s="1"/>
  <c r="U97" s="1"/>
  <c r="O96"/>
  <c r="Q96" s="1"/>
  <c r="S96" s="1"/>
  <c r="U96" s="1"/>
  <c r="I95"/>
  <c r="K95" s="1"/>
  <c r="M95" s="1"/>
  <c r="O95" s="1"/>
  <c r="Q95" s="1"/>
  <c r="S95" s="1"/>
  <c r="U95" s="1"/>
  <c r="S94"/>
  <c r="U94" s="1"/>
  <c r="S93"/>
  <c r="U93" s="1"/>
  <c r="O92"/>
  <c r="Q92" s="1"/>
  <c r="S92" s="1"/>
  <c r="U92" s="1"/>
  <c r="E92"/>
  <c r="O91"/>
  <c r="Q91" s="1"/>
  <c r="S91" s="1"/>
  <c r="U91" s="1"/>
  <c r="P90"/>
  <c r="P87" s="1"/>
  <c r="M90"/>
  <c r="O89"/>
  <c r="Q89" s="1"/>
  <c r="I89"/>
  <c r="I87" s="1"/>
  <c r="G89"/>
  <c r="E89"/>
  <c r="O88"/>
  <c r="Q88" s="1"/>
  <c r="S88" s="1"/>
  <c r="U88" s="1"/>
  <c r="G88"/>
  <c r="N87"/>
  <c r="L87"/>
  <c r="J87"/>
  <c r="H87"/>
  <c r="F87"/>
  <c r="D87"/>
  <c r="I86"/>
  <c r="K86" s="1"/>
  <c r="O85"/>
  <c r="Q85" s="1"/>
  <c r="S85" s="1"/>
  <c r="U85" s="1"/>
  <c r="E85"/>
  <c r="O84"/>
  <c r="Q84" s="1"/>
  <c r="S84" s="1"/>
  <c r="U84" s="1"/>
  <c r="O83"/>
  <c r="P83" s="1"/>
  <c r="P82"/>
  <c r="O82"/>
  <c r="E82"/>
  <c r="O81"/>
  <c r="Q81" s="1"/>
  <c r="P80"/>
  <c r="O80"/>
  <c r="Q80" s="1"/>
  <c r="S80" s="1"/>
  <c r="U80" s="1"/>
  <c r="E80"/>
  <c r="O79"/>
  <c r="Q79" s="1"/>
  <c r="S79" s="1"/>
  <c r="U79" s="1"/>
  <c r="O78"/>
  <c r="Q78" s="1"/>
  <c r="S78" s="1"/>
  <c r="U78" s="1"/>
  <c r="O77"/>
  <c r="Q77" s="1"/>
  <c r="S77" s="1"/>
  <c r="U77" s="1"/>
  <c r="O76"/>
  <c r="Q76" s="1"/>
  <c r="S76" s="1"/>
  <c r="U76" s="1"/>
  <c r="O75"/>
  <c r="O74"/>
  <c r="Q74" s="1"/>
  <c r="S74" s="1"/>
  <c r="U74" s="1"/>
  <c r="O73"/>
  <c r="Q73" s="1"/>
  <c r="S73" s="1"/>
  <c r="N72"/>
  <c r="L72"/>
  <c r="J72"/>
  <c r="H72"/>
  <c r="G72"/>
  <c r="F72"/>
  <c r="D72"/>
  <c r="C72"/>
  <c r="O71"/>
  <c r="Q71" s="1"/>
  <c r="S71" s="1"/>
  <c r="U71" s="1"/>
  <c r="Q70"/>
  <c r="S70" s="1"/>
  <c r="U70" s="1"/>
  <c r="O69"/>
  <c r="Q69" s="1"/>
  <c r="S69" s="1"/>
  <c r="U69" s="1"/>
  <c r="S68"/>
  <c r="U68" s="1"/>
  <c r="M67"/>
  <c r="O67" s="1"/>
  <c r="Q67" s="1"/>
  <c r="S67" s="1"/>
  <c r="U67" s="1"/>
  <c r="M66"/>
  <c r="O66" s="1"/>
  <c r="Q66" s="1"/>
  <c r="S66" s="1"/>
  <c r="U66" s="1"/>
  <c r="I65"/>
  <c r="K65" s="1"/>
  <c r="M65" s="1"/>
  <c r="O64"/>
  <c r="Q64" s="1"/>
  <c r="S64" s="1"/>
  <c r="U64" s="1"/>
  <c r="O63"/>
  <c r="P63" s="1"/>
  <c r="O62"/>
  <c r="Q62" s="1"/>
  <c r="S62" s="1"/>
  <c r="U62" s="1"/>
  <c r="O61"/>
  <c r="Q61" s="1"/>
  <c r="S61" s="1"/>
  <c r="U61" s="1"/>
  <c r="E61"/>
  <c r="O60"/>
  <c r="Q60" s="1"/>
  <c r="S60" s="1"/>
  <c r="U60" s="1"/>
  <c r="O59"/>
  <c r="Q59" s="1"/>
  <c r="S59" s="1"/>
  <c r="U59" s="1"/>
  <c r="O58"/>
  <c r="Q58" s="1"/>
  <c r="S58" s="1"/>
  <c r="U58" s="1"/>
  <c r="E58"/>
  <c r="E42" s="1"/>
  <c r="O57"/>
  <c r="Q57" s="1"/>
  <c r="S57" s="1"/>
  <c r="U57" s="1"/>
  <c r="G57"/>
  <c r="O56"/>
  <c r="Q56" s="1"/>
  <c r="K56"/>
  <c r="M55"/>
  <c r="O55" s="1"/>
  <c r="Q55" s="1"/>
  <c r="S55" s="1"/>
  <c r="U55" s="1"/>
  <c r="O54"/>
  <c r="Q54" s="1"/>
  <c r="S54" s="1"/>
  <c r="U54" s="1"/>
  <c r="K54"/>
  <c r="O53"/>
  <c r="Q53" s="1"/>
  <c r="S53" s="1"/>
  <c r="U53" s="1"/>
  <c r="G53"/>
  <c r="O52"/>
  <c r="Q52" s="1"/>
  <c r="S52" s="1"/>
  <c r="U52" s="1"/>
  <c r="G52"/>
  <c r="O51"/>
  <c r="Q51" s="1"/>
  <c r="S51" s="1"/>
  <c r="U51" s="1"/>
  <c r="G51"/>
  <c r="M50"/>
  <c r="O50" s="1"/>
  <c r="Q50" s="1"/>
  <c r="M49"/>
  <c r="O49" s="1"/>
  <c r="Q49" s="1"/>
  <c r="R49" s="1"/>
  <c r="P48"/>
  <c r="O48"/>
  <c r="G48"/>
  <c r="S47"/>
  <c r="U47" s="1"/>
  <c r="O46"/>
  <c r="Q46" s="1"/>
  <c r="S46" s="1"/>
  <c r="U46" s="1"/>
  <c r="G46"/>
  <c r="O45"/>
  <c r="Q45" s="1"/>
  <c r="S45" s="1"/>
  <c r="U45" s="1"/>
  <c r="K45"/>
  <c r="O44"/>
  <c r="Q44" s="1"/>
  <c r="S44" s="1"/>
  <c r="U44" s="1"/>
  <c r="G44"/>
  <c r="O43"/>
  <c r="N42"/>
  <c r="L42"/>
  <c r="J42"/>
  <c r="H42"/>
  <c r="H38" s="1"/>
  <c r="F42"/>
  <c r="D42"/>
  <c r="C42"/>
  <c r="S41"/>
  <c r="Q40"/>
  <c r="S40" s="1"/>
  <c r="T39" s="1"/>
  <c r="T38" s="1"/>
  <c r="P39"/>
  <c r="O39"/>
  <c r="N39"/>
  <c r="M39"/>
  <c r="K39"/>
  <c r="I39"/>
  <c r="G39"/>
  <c r="E39"/>
  <c r="C39"/>
  <c r="J38"/>
  <c r="Q35"/>
  <c r="S35" s="1"/>
  <c r="Q34"/>
  <c r="S34" s="1"/>
  <c r="Q33"/>
  <c r="R33" s="1"/>
  <c r="R32" s="1"/>
  <c r="O32"/>
  <c r="Q32" s="1"/>
  <c r="M32"/>
  <c r="K32"/>
  <c r="I32"/>
  <c r="G32"/>
  <c r="E32"/>
  <c r="C32"/>
  <c r="Q31"/>
  <c r="S31" s="1"/>
  <c r="H30"/>
  <c r="I30" s="1"/>
  <c r="P29"/>
  <c r="N29"/>
  <c r="N8" s="1"/>
  <c r="L29"/>
  <c r="L8" s="1"/>
  <c r="J29"/>
  <c r="J8" s="1"/>
  <c r="G29"/>
  <c r="E29"/>
  <c r="C29"/>
  <c r="Q28"/>
  <c r="S28" s="1"/>
  <c r="O27"/>
  <c r="Q27" s="1"/>
  <c r="S27" s="1"/>
  <c r="M27"/>
  <c r="K27"/>
  <c r="I27"/>
  <c r="G27"/>
  <c r="E27"/>
  <c r="C27"/>
  <c r="Q26"/>
  <c r="S26" s="1"/>
  <c r="Q24"/>
  <c r="R24" s="1"/>
  <c r="S24" s="1"/>
  <c r="Q23"/>
  <c r="R23" s="1"/>
  <c r="Q22"/>
  <c r="O21"/>
  <c r="Q21" s="1"/>
  <c r="M21"/>
  <c r="K21"/>
  <c r="I21"/>
  <c r="G21"/>
  <c r="E21"/>
  <c r="C21"/>
  <c r="Q17"/>
  <c r="R17" s="1"/>
  <c r="S20"/>
  <c r="Q16"/>
  <c r="Q15"/>
  <c r="Q14"/>
  <c r="O13"/>
  <c r="Q13" s="1"/>
  <c r="M13"/>
  <c r="K13"/>
  <c r="I13"/>
  <c r="G13"/>
  <c r="E13"/>
  <c r="C13"/>
  <c r="Q12"/>
  <c r="O11"/>
  <c r="M11"/>
  <c r="K11"/>
  <c r="I11"/>
  <c r="G11"/>
  <c r="E11"/>
  <c r="C11"/>
  <c r="Q10"/>
  <c r="S10" s="1"/>
  <c r="S9" s="1"/>
  <c r="P9"/>
  <c r="O9"/>
  <c r="M9"/>
  <c r="K9"/>
  <c r="I9"/>
  <c r="G9"/>
  <c r="E9"/>
  <c r="C9"/>
  <c r="E87" l="1"/>
  <c r="J37"/>
  <c r="J110" s="1"/>
  <c r="J111" s="1"/>
  <c r="K89"/>
  <c r="Q48"/>
  <c r="S48" s="1"/>
  <c r="U48" s="1"/>
  <c r="P8"/>
  <c r="G101"/>
  <c r="H29"/>
  <c r="H8" s="1"/>
  <c r="L38"/>
  <c r="L37" s="1"/>
  <c r="L110" s="1"/>
  <c r="L111" s="1"/>
  <c r="S39"/>
  <c r="F100"/>
  <c r="G100" s="1"/>
  <c r="I100" s="1"/>
  <c r="K100" s="1"/>
  <c r="M100" s="1"/>
  <c r="N38"/>
  <c r="N37" s="1"/>
  <c r="N110" s="1"/>
  <c r="D38"/>
  <c r="D37" s="1"/>
  <c r="D110" s="1"/>
  <c r="D111" s="1"/>
  <c r="I42"/>
  <c r="F38"/>
  <c r="R50"/>
  <c r="S50" s="1"/>
  <c r="R15"/>
  <c r="R21"/>
  <c r="Q9"/>
  <c r="H37"/>
  <c r="H110" s="1"/>
  <c r="H111" s="1"/>
  <c r="K42"/>
  <c r="Q82"/>
  <c r="S82" s="1"/>
  <c r="U82" s="1"/>
  <c r="F102"/>
  <c r="C8"/>
  <c r="S23"/>
  <c r="S33"/>
  <c r="S32" s="1"/>
  <c r="G42"/>
  <c r="E72"/>
  <c r="E38" s="1"/>
  <c r="E37" s="1"/>
  <c r="E110" s="1"/>
  <c r="C87"/>
  <c r="C38" s="1"/>
  <c r="C37" s="1"/>
  <c r="C110" s="1"/>
  <c r="S16"/>
  <c r="R16"/>
  <c r="R56"/>
  <c r="S56" s="1"/>
  <c r="U56" s="1"/>
  <c r="I29"/>
  <c r="I8" s="1"/>
  <c r="K30"/>
  <c r="M30" s="1"/>
  <c r="O30" s="1"/>
  <c r="G87"/>
  <c r="O100"/>
  <c r="G106"/>
  <c r="O106"/>
  <c r="Q106" s="1"/>
  <c r="S106" s="1"/>
  <c r="G8"/>
  <c r="Q39"/>
  <c r="O102"/>
  <c r="Q102" s="1"/>
  <c r="E8"/>
  <c r="N111"/>
  <c r="S12"/>
  <c r="S11" s="1"/>
  <c r="S14"/>
  <c r="Q83"/>
  <c r="S83" s="1"/>
  <c r="U83" s="1"/>
  <c r="P72"/>
  <c r="M86"/>
  <c r="K72"/>
  <c r="Q63"/>
  <c r="S63" s="1"/>
  <c r="U63" s="1"/>
  <c r="P42"/>
  <c r="P38" s="1"/>
  <c r="P100"/>
  <c r="Q101"/>
  <c r="R101" s="1"/>
  <c r="R100" s="1"/>
  <c r="G38"/>
  <c r="M87"/>
  <c r="S22"/>
  <c r="M42"/>
  <c r="O65"/>
  <c r="Q65" s="1"/>
  <c r="S65" s="1"/>
  <c r="U65" s="1"/>
  <c r="K87"/>
  <c r="G102"/>
  <c r="Q11"/>
  <c r="Q43"/>
  <c r="I72"/>
  <c r="Q75"/>
  <c r="S75" s="1"/>
  <c r="U75" s="1"/>
  <c r="F106"/>
  <c r="O90"/>
  <c r="Q90" s="1"/>
  <c r="S90" s="1"/>
  <c r="Q105"/>
  <c r="S105" s="1"/>
  <c r="S102" s="1"/>
  <c r="Q108"/>
  <c r="S108" s="1"/>
  <c r="S87" l="1"/>
  <c r="U87" s="1"/>
  <c r="U90"/>
  <c r="U73"/>
  <c r="F37"/>
  <c r="F110" s="1"/>
  <c r="F111" s="1"/>
  <c r="R13"/>
  <c r="M29"/>
  <c r="M8" s="1"/>
  <c r="K29"/>
  <c r="K8" s="1"/>
  <c r="K38"/>
  <c r="K37" s="1"/>
  <c r="K110" s="1"/>
  <c r="S21"/>
  <c r="I38"/>
  <c r="I37" s="1"/>
  <c r="I110" s="1"/>
  <c r="I111" s="1"/>
  <c r="E111"/>
  <c r="C111"/>
  <c r="Q100"/>
  <c r="R42"/>
  <c r="R38" s="1"/>
  <c r="R37" s="1"/>
  <c r="R110" s="1"/>
  <c r="S15"/>
  <c r="S13" s="1"/>
  <c r="O87"/>
  <c r="Q87" s="1"/>
  <c r="O42"/>
  <c r="S101"/>
  <c r="O86"/>
  <c r="M72"/>
  <c r="M38" s="1"/>
  <c r="M37" s="1"/>
  <c r="M110" s="1"/>
  <c r="M111" s="1"/>
  <c r="P37"/>
  <c r="S43"/>
  <c r="Q42"/>
  <c r="Q30"/>
  <c r="R30" s="1"/>
  <c r="R29" s="1"/>
  <c r="R8" s="1"/>
  <c r="R111" s="1"/>
  <c r="O29"/>
  <c r="G37"/>
  <c r="G110" s="1"/>
  <c r="G111" s="1"/>
  <c r="S42" l="1"/>
  <c r="U43"/>
  <c r="S100"/>
  <c r="T101"/>
  <c r="K111"/>
  <c r="S30"/>
  <c r="S29" s="1"/>
  <c r="Q86"/>
  <c r="S86" s="1"/>
  <c r="O72"/>
  <c r="Q29"/>
  <c r="Q8" s="1"/>
  <c r="O8"/>
  <c r="P110"/>
  <c r="U101" l="1"/>
  <c r="T100"/>
  <c r="S72"/>
  <c r="U72" s="1"/>
  <c r="U86"/>
  <c r="P111"/>
  <c r="O38"/>
  <c r="Q72"/>
  <c r="U100" l="1"/>
  <c r="T37"/>
  <c r="S38"/>
  <c r="S37"/>
  <c r="U37" s="1"/>
  <c r="S110"/>
  <c r="S111" s="1"/>
  <c r="O37"/>
  <c r="Q38"/>
  <c r="V37" l="1"/>
  <c r="T110"/>
  <c r="T111" s="1"/>
  <c r="O110"/>
  <c r="Q37"/>
  <c r="O111" l="1"/>
  <c r="Q111" s="1"/>
  <c r="Q110"/>
</calcChain>
</file>

<file path=xl/sharedStrings.xml><?xml version="1.0" encoding="utf-8"?>
<sst xmlns="http://schemas.openxmlformats.org/spreadsheetml/2006/main" count="444" uniqueCount="179">
  <si>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</si>
  <si>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</si>
  <si>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</si>
  <si>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</si>
  <si>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</si>
  <si>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</si>
  <si>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</si>
  <si>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</si>
  <si>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</si>
  <si>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</si>
  <si>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</si>
  <si>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</si>
  <si>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</si>
  <si>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</si>
  <si>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</si>
  <si>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</si>
  <si>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</si>
  <si>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</si>
  <si>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</si>
  <si>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</si>
  <si>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</si>
  <si>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</si>
  <si>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</si>
  <si>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</si>
  <si>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</si>
  <si>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</si>
  <si>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</si>
  <si>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</si>
  <si>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</si>
  <si>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</si>
  <si>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</si>
  <si>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</si>
  <si>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</si>
  <si>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</si>
  <si>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</si>
  <si>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</si>
  <si>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</si>
  <si>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</si>
  <si>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</si>
  <si>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</si>
  <si>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</si>
  <si>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</si>
  <si>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</si>
  <si>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</si>
  <si>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</si>
  <si>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</si>
  <si>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</si>
  <si>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</si>
  <si>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</si>
  <si>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</si>
  <si>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</si>
  <si>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</si>
  <si>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</si>
  <si>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</si>
  <si>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</si>
  <si>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</si>
  <si>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</si>
  <si>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</si>
  <si>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</si>
  <si>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</si>
  <si>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</si>
  <si>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</si>
  <si>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</si>
  <si>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</si>
  <si>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</si>
  <si>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</si>
  <si>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</si>
  <si>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ВСЕГО безвозмездных поступлений</t>
  </si>
  <si>
    <t>2 02 35118 00 0000 151</t>
  </si>
  <si>
    <t>2 02 30000 00 0000 151</t>
  </si>
  <si>
    <t>2 02 20000 00 0000 151</t>
  </si>
  <si>
    <t>2 02 30024 05 0000 151</t>
  </si>
  <si>
    <t>2 02 30029 05 0000 151</t>
  </si>
  <si>
    <t>2 02 10000 00 0000 151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</si>
  <si>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</si>
  <si>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</si>
  <si>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</si>
  <si>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</si>
  <si>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</si>
  <si>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</si>
  <si>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</si>
  <si>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</si>
  <si>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</si>
  <si>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</si>
  <si>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</si>
  <si>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</si>
  <si>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Субсидии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№761 "О национальной стратегии действий в интересах детей на 2012-2017 годы"</t>
  </si>
  <si>
    <t xml:space="preserve"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</si>
  <si>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</si>
  <si>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</si>
  <si>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2 02 29999 05 0000 151</t>
  </si>
  <si>
    <t>2 02 20216 05 0000 151</t>
  </si>
  <si>
    <t>Уточнение</t>
  </si>
  <si>
    <t>1 13 01000 00 0000 130</t>
  </si>
  <si>
    <t>2 02 25519 05 0000 151</t>
  </si>
  <si>
    <t>2 02 25555 05 0000 151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</si>
  <si>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</si>
  <si>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</si>
  <si>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</si>
  <si>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20705030050000180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</si>
  <si>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</si>
  <si>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</si>
  <si>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</si>
  <si>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2 18 60010 05 0000 151</t>
  </si>
  <si>
    <t>Возврат остатков, имеющих целевое назначение, прошлых лет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</si>
  <si>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</si>
  <si>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</si>
  <si>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</si>
  <si>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</si>
  <si>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</si>
  <si>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</t>
  </si>
  <si>
    <t>Иные межбюджетные трансферты на предоставление компенсации расходов на оплату жилых помещений, отопления и освещения педагогическим работникам муниципальных образовательных организаций муниципальных образований Архангельской области, расположенных в сельской местности, рабочих поселках (поселках городского типа)</t>
  </si>
  <si>
    <t>Субсидии МР на создание условий для обеспечения поселений и жителей городских округов услугами торговли</t>
  </si>
  <si>
    <t>Средства, передаваемые бюджетам муниципальных районов из бюджетов поселений по соглашениями КРК</t>
  </si>
  <si>
    <t>2 02 40014 05 0000 151</t>
  </si>
  <si>
    <t>Сумма,руб.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</si>
  <si>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</si>
  <si>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</si>
  <si>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</si>
  <si>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</si>
  <si>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Субсидия на подключение муниципальных библиотек к инф.-телеком.сети "Интернет" и развитие библиотечного дела</t>
  </si>
  <si>
    <t>Субсидии на софинансирование на конкурсной основе мероприятий, отраженных в муниципальных программах по работе с молодежью</t>
  </si>
  <si>
    <t>Субсидии на поддержку деятельности ресурсных центров для молодежи и молодежных добровольческих объединений в муниц.образованиях (на конкурсной основе)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</si>
  <si>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 (областной бюджет)</t>
  </si>
  <si>
    <t>Средства, передаваемые бюджетам муниципальных районов из бюджетов поселений ГО и ЧС по соглашениями</t>
  </si>
  <si>
    <t>Доходы бюджетов муниципальных районов от возврата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поселений</t>
  </si>
  <si>
    <t>2 18 25527 0 50000 151</t>
  </si>
  <si>
    <t>2 19 35118 05 0000 151</t>
  </si>
  <si>
    <t>2 18 35118 05 0000 151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</si>
  <si>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</si>
  <si>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</si>
  <si>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2 19 25527 05 0000 151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</si>
  <si>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муниципальных районов</t>
  </si>
  <si>
    <t>Субсидирование части дополнительных расходов на повышение минимального размера оплаты труда</t>
  </si>
  <si>
    <t>Иные межбюджетные трансферты из резервного фонда Правительства АО на приобретение кресел для МБУК "ОЦДК"</t>
  </si>
  <si>
    <t>Прочие доходы от оказания платных услуг (работ) получателями средств бюджетов муниципальных районов</t>
  </si>
  <si>
    <t>Субсидии бюджету муниципального района на реализацию мероприятий по обеспечению жильем молодых семей (ФБ)</t>
  </si>
  <si>
    <t>2 02 25497 05 0000 151</t>
  </si>
  <si>
    <t>Субсидии бюджету муниципального района на реализацию мероприятий по обеспечению жильем молодых семей (ОБ)</t>
  </si>
  <si>
    <t xml:space="preserve">Субсидия бюджету муниципального района на реализацию ГП "Культура Русского Севера",реализация приоритетных проектов в сфере туризма на 2018 год </t>
  </si>
  <si>
    <t>Субсидии бюджетам мун. районов на реализацию мероприятий по устойчивому развитию сельских территорий  (ФБ)</t>
  </si>
  <si>
    <t>Субсидии бюджетам мун. районов на реализацию мероприятий по устойчивому развитию сельских территорий  (ОБ)</t>
  </si>
  <si>
    <t>2 02 25567 05 0000 151</t>
  </si>
  <si>
    <t>Субсидии бюджетам муниц.районов на общественно значимые культурные мероприятия в рамках проекта "ЛЮБО-ДОРОГО"</t>
  </si>
  <si>
    <t>Субсидии бюджетам муниц.районов на реализацию муниц.программ поддержки социально ориентированных некоммерческих организаций</t>
  </si>
  <si>
    <t>Субсидии на формирование доступной среды для инвалидов в муниципальных районах и городских округах Архангельской области</t>
  </si>
  <si>
    <t>Субсидии бюджету МО по программе "Спорт Беломорья".Кап.ремонт спортзала ОСОШ №2</t>
  </si>
  <si>
    <t>Иные межбюджетные трансферты из резервного фонда Правительства АО (кадастровые работы по ЗУ)</t>
  </si>
  <si>
    <t>Иные межбюджетные трансферты,передаваемые бюджету муниц.района на обеспечение софинансирования государственных программ</t>
  </si>
  <si>
    <t>Иные межбюджетные трансферты из резервного фонда Правительства АО (изготовление концертных костюмов для МБУК "ОЦДК")</t>
  </si>
  <si>
    <t>Иные межбюджетные трансферты из резервного фонда Правительства АО (замена электрооборудования для Орловского ДК)</t>
  </si>
  <si>
    <t>Субсидии на создание и обеспечение деятельности технозон Детского Арктического технопарка АО и МО АО (робототехника)</t>
  </si>
  <si>
    <t>к решению сессии шестого созыва</t>
  </si>
  <si>
    <t>Субсидии на укрепление материально-технической базы во вновь возведенных зданиях учреждений культурно- досугового типа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</si>
  <si>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</si>
  <si>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</si>
  <si>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Дотации бюджетам на поддержку мер по обеспечению сбалансированности бюджетов</t>
  </si>
  <si>
    <t>2 02 01003 05 0000 151</t>
  </si>
  <si>
    <t>2 02 25527 05 0000 151</t>
  </si>
  <si>
    <t xml:space="preserve">Субсидия на гос. поддержку малого и среднего предпринимательства, включая крестьянские (фермерские) хозяйства, а также на реализацию мероприятий по поддержку молодежного предпринимательства    </t>
  </si>
  <si>
    <t xml:space="preserve">Субсидии на поддержку муниципальных программ развития малого и среднего предпринимательства  </t>
  </si>
  <si>
    <t>Иные межбюджетные трансферты на поддержку мун. обр. Арх. обл. в целях реализации плана мероприятий ("дорожной карты") "Изменения в отраслях соц. сферы, направленные на повышение эффективности образования и науки в Арх.обл. от 13 марта 2013 г. №60-рп</t>
  </si>
  <si>
    <t>Иные межбюджетные трансферты из резервного фонда Правительства АО (приобрет.оконных блоков для д/с "Бережок")</t>
  </si>
  <si>
    <t>Иные межбюджетные трансферты из резервного фонда Правительства АО (подвесной мост дер. Левопласская)</t>
  </si>
  <si>
    <t>ЗАДОЛЖЕННОСТЬ И ПЕРЕРАСЧЕТЫ ПО ОТМЕНЕННЫМ НАЛОГАМ, СБОРАМ И ИНЫМ ОБЯЗАТЕЛЬНЫМ ПЛАТЕЖАМ</t>
  </si>
  <si>
    <t>1 09 00000 00 0000 110</t>
  </si>
  <si>
    <t>Собрания депутатов №__  от 21.12.2018 года</t>
  </si>
  <si>
    <t>Приложение №__</t>
  </si>
  <si>
    <t>Утверждено  - бюджеты муниципальных районов</t>
  </si>
  <si>
    <t>Исполнено - бюджеты муниципальных районов</t>
  </si>
  <si>
    <t>Отчет о поступлении доходов в бюджет муниципального образования                                                                                                                                              "Устьянский муниципальный район" за 2018 год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</si>
  <si>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</si>
  <si>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</si>
  <si>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</si>
  <si>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</si>
  <si>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Прочие неналоговые доходы</t>
  </si>
  <si>
    <t>1 17 0500000 0000 180</t>
  </si>
  <si>
    <t>Собрания депутатов №_ от ___2019г.</t>
  </si>
  <si>
    <t>Приложение №4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</si>
</sst>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#,##0.00_ ;[Red]\-#,##0.00\ "/>
  </numFmts>
  <fonts count="2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14">
    <xf numFmtId="0" fontId="0" fillId="0" borderId="0" xfId="0"/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" fillId="2" borderId="0" xfId="5" applyFont="1" applyFill="1"/>
    <xf numFmtId="0" fontId="7" fillId="2" borderId="1" xfId="5" applyFont="1" applyFill="1" applyBorder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0" fontId="6" fillId="2" borderId="1" xfId="5" applyFont="1" applyFill="1" applyBorder="1" applyAlignment="1">
      <alignment horizontal="left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justify"/>
    </xf>
    <xf numFmtId="49" fontId="4" fillId="2" borderId="1" xfId="5" applyNumberFormat="1" applyFont="1" applyFill="1" applyBorder="1" applyAlignment="1">
      <alignment horizontal="center" wrapText="1"/>
    </xf>
    <xf numFmtId="0" fontId="3" fillId="2" borderId="1" xfId="5" applyFont="1" applyFill="1" applyBorder="1" applyAlignment="1">
      <alignment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center" wrapText="1"/>
    </xf>
    <xf numFmtId="0" fontId="9" fillId="2" borderId="1" xfId="5" applyFont="1" applyFill="1" applyBorder="1" applyAlignment="1">
      <alignment horizontal="center" wrapText="1"/>
    </xf>
    <xf numFmtId="0" fontId="7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left" wrapText="1"/>
    </xf>
    <xf numFmtId="0" fontId="6" fillId="2" borderId="0" xfId="5" applyFont="1" applyFill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6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justify" vertical="center" wrapText="1"/>
    </xf>
    <xf numFmtId="0" fontId="6" fillId="2" borderId="0" xfId="5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4" fillId="2" borderId="1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0" fontId="3" fillId="2" borderId="1" xfId="5" applyFont="1" applyFill="1" applyBorder="1" applyAlignment="1">
      <alignment horizontal="justify" vertical="center" wrapText="1"/>
    </xf>
    <xf numFmtId="1" fontId="4" fillId="2" borderId="1" xfId="6" applyNumberFormat="1" applyFont="1" applyFill="1" applyBorder="1" applyAlignment="1">
      <alignment horizontal="center" wrapText="1"/>
    </xf>
    <xf numFmtId="0" fontId="3" fillId="2" borderId="1" xfId="6" applyFont="1" applyFill="1" applyBorder="1" applyAlignment="1">
      <alignment vertical="top" wrapText="1"/>
    </xf>
    <xf numFmtId="1" fontId="4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vertical="top" wrapText="1"/>
    </xf>
    <xf numFmtId="0" fontId="6" fillId="2" borderId="1" xfId="5" applyFont="1" applyFill="1" applyBorder="1" applyAlignment="1">
      <alignment vertical="center"/>
    </xf>
    <xf numFmtId="0" fontId="4" fillId="2" borderId="0" xfId="5" applyFont="1" applyFill="1" applyAlignment="1">
      <alignment horizontal="center"/>
    </xf>
    <xf numFmtId="4" fontId="3" fillId="2" borderId="0" xfId="5" applyNumberFormat="1" applyFont="1" applyFill="1"/>
    <xf numFmtId="164" fontId="3" fillId="2" borderId="1" xfId="9" applyNumberFormat="1" applyFont="1" applyFill="1" applyBorder="1" applyAlignment="1">
      <alignment wrapText="1"/>
    </xf>
    <xf numFmtId="164" fontId="6" fillId="2" borderId="1" xfId="9" applyNumberFormat="1" applyFont="1" applyFill="1" applyBorder="1" applyAlignment="1">
      <alignment vertical="center" wrapText="1"/>
    </xf>
    <xf numFmtId="164" fontId="6" fillId="2" borderId="1" xfId="9" applyNumberFormat="1" applyFont="1" applyFill="1" applyBorder="1" applyAlignment="1"/>
    <xf numFmtId="164" fontId="3" fillId="2" borderId="1" xfId="9" applyNumberFormat="1" applyFont="1" applyFill="1" applyBorder="1" applyAlignment="1"/>
    <xf numFmtId="164" fontId="5" fillId="2" borderId="1" xfId="9" applyNumberFormat="1" applyFont="1" applyFill="1" applyBorder="1" applyAlignment="1"/>
    <xf numFmtId="164" fontId="5" fillId="2" borderId="1" xfId="9" applyNumberFormat="1" applyFont="1" applyFill="1" applyBorder="1" applyAlignment="1">
      <alignment wrapText="1"/>
    </xf>
    <xf numFmtId="164" fontId="6" fillId="2" borderId="1" xfId="9" applyNumberFormat="1" applyFont="1" applyFill="1" applyBorder="1" applyAlignment="1">
      <alignment wrapText="1"/>
    </xf>
    <xf numFmtId="164" fontId="3" fillId="2" borderId="0" xfId="9" applyNumberFormat="1" applyFont="1" applyFill="1" applyAlignment="1">
      <alignment wrapText="1"/>
    </xf>
    <xf numFmtId="164" fontId="6" fillId="2" borderId="1" xfId="9" applyNumberFormat="1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4" fontId="6" fillId="2" borderId="1" xfId="9" applyNumberFormat="1" applyFont="1" applyFill="1" applyBorder="1" applyAlignment="1">
      <alignment vertical="center" wrapText="1"/>
    </xf>
    <xf numFmtId="4" fontId="6" fillId="2" borderId="1" xfId="9" applyNumberFormat="1" applyFont="1" applyFill="1" applyBorder="1" applyAlignment="1"/>
    <xf numFmtId="4" fontId="3" fillId="2" borderId="1" xfId="9" applyNumberFormat="1" applyFont="1" applyFill="1" applyBorder="1" applyAlignment="1"/>
    <xf numFmtId="4" fontId="5" fillId="2" borderId="1" xfId="9" applyNumberFormat="1" applyFont="1" applyFill="1" applyBorder="1" applyAlignment="1"/>
    <xf numFmtId="4" fontId="5" fillId="2" borderId="1" xfId="9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9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" fontId="6" fillId="2" borderId="1" xfId="9" applyNumberFormat="1" applyFont="1" applyFill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/>
    <xf numFmtId="0" fontId="3" fillId="0" borderId="1" xfId="0" applyFont="1" applyBorder="1" applyAlignment="1">
      <alignment horizontal="justify" vertical="top" wrapText="1"/>
    </xf>
    <xf numFmtId="4" fontId="6" fillId="2" borderId="1" xfId="5" applyNumberFormat="1" applyFont="1" applyFill="1" applyBorder="1"/>
    <xf numFmtId="4" fontId="6" fillId="2" borderId="1" xfId="1" applyNumberFormat="1" applyFont="1" applyFill="1" applyBorder="1" applyAlignment="1"/>
    <xf numFmtId="0" fontId="6" fillId="2" borderId="0" xfId="5" applyFont="1" applyFill="1"/>
    <xf numFmtId="0" fontId="12" fillId="0" borderId="1" xfId="0" applyFont="1" applyBorder="1" applyAlignment="1">
      <alignment horizontal="center" wrapText="1"/>
    </xf>
    <xf numFmtId="4" fontId="3" fillId="2" borderId="1" xfId="5" applyNumberFormat="1" applyFont="1" applyFill="1" applyBorder="1"/>
    <xf numFmtId="4" fontId="14" fillId="2" borderId="1" xfId="0" applyNumberFormat="1" applyFont="1" applyFill="1" applyBorder="1" applyAlignment="1">
      <alignment horizontal="center" vertical="center" wrapText="1"/>
    </xf>
    <xf numFmtId="4" fontId="3" fillId="2" borderId="0" xfId="9" applyNumberFormat="1" applyFont="1" applyFill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4" fontId="4" fillId="2" borderId="1" xfId="5" applyNumberFormat="1" applyFont="1" applyFill="1" applyBorder="1" applyAlignment="1">
      <alignment horizontal="center" vertical="center"/>
    </xf>
    <xf numFmtId="4" fontId="6" fillId="2" borderId="1" xfId="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0" fontId="4" fillId="2" borderId="0" xfId="5" applyNumberFormat="1" applyFont="1" applyFill="1"/>
    <xf numFmtId="164" fontId="3" fillId="2" borderId="1" xfId="1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0" fontId="12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2" borderId="0" xfId="5" applyNumberFormat="1" applyFont="1" applyFill="1" applyBorder="1" applyAlignment="1">
      <alignment horizontal="right"/>
    </xf>
    <xf numFmtId="0" fontId="3" fillId="2" borderId="0" xfId="5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5" applyFont="1" applyFill="1" applyBorder="1" applyAlignment="1">
      <alignment horizontal="right"/>
    </xf>
    <xf numFmtId="4" fontId="3" fillId="3" borderId="0" xfId="5" applyNumberFormat="1" applyFont="1" applyFill="1" applyBorder="1" applyAlignment="1">
      <alignment horizontal="right"/>
    </xf>
    <xf numFmtId="0" fontId="3" fillId="3" borderId="0" xfId="5" applyFont="1" applyFill="1"/>
    <xf numFmtId="4" fontId="4" fillId="3" borderId="1" xfId="5" applyNumberFormat="1" applyFont="1" applyFill="1" applyBorder="1" applyAlignment="1">
      <alignment horizontal="center" vertical="center"/>
    </xf>
    <xf numFmtId="0" fontId="4" fillId="3" borderId="1" xfId="5" applyNumberFormat="1" applyFont="1" applyFill="1" applyBorder="1" applyAlignment="1">
      <alignment horizontal="center" vertical="center"/>
    </xf>
    <xf numFmtId="4" fontId="6" fillId="3" borderId="1" xfId="9" applyNumberFormat="1" applyFont="1" applyFill="1" applyBorder="1" applyAlignment="1">
      <alignment vertical="center" wrapText="1"/>
    </xf>
    <xf numFmtId="4" fontId="6" fillId="3" borderId="1" xfId="9" applyNumberFormat="1" applyFont="1" applyFill="1" applyBorder="1" applyAlignment="1"/>
    <xf numFmtId="4" fontId="3" fillId="3" borderId="1" xfId="9" applyNumberFormat="1" applyFont="1" applyFill="1" applyBorder="1" applyAlignment="1"/>
    <xf numFmtId="4" fontId="5" fillId="3" borderId="1" xfId="9" applyNumberFormat="1" applyFont="1" applyFill="1" applyBorder="1" applyAlignment="1"/>
    <xf numFmtId="4" fontId="5" fillId="3" borderId="1" xfId="9" applyNumberFormat="1" applyFont="1" applyFill="1" applyBorder="1" applyAlignment="1">
      <alignment wrapText="1"/>
    </xf>
    <xf numFmtId="4" fontId="3" fillId="3" borderId="1" xfId="9" applyNumberFormat="1" applyFont="1" applyFill="1" applyBorder="1" applyAlignment="1">
      <alignment wrapText="1"/>
    </xf>
    <xf numFmtId="4" fontId="6" fillId="3" borderId="1" xfId="9" applyNumberFormat="1" applyFont="1" applyFill="1" applyBorder="1" applyAlignment="1">
      <alignment wrapText="1"/>
    </xf>
    <xf numFmtId="4" fontId="3" fillId="3" borderId="1" xfId="1" applyNumberFormat="1" applyFont="1" applyFill="1" applyBorder="1" applyAlignment="1"/>
    <xf numFmtId="4" fontId="6" fillId="3" borderId="1" xfId="1" applyNumberFormat="1" applyFont="1" applyFill="1" applyBorder="1" applyAlignment="1"/>
    <xf numFmtId="4" fontId="3" fillId="3" borderId="1" xfId="5" applyNumberFormat="1" applyFont="1" applyFill="1" applyBorder="1"/>
    <xf numFmtId="4" fontId="6" fillId="3" borderId="1" xfId="5" applyNumberFormat="1" applyFont="1" applyFill="1" applyBorder="1"/>
    <xf numFmtId="164" fontId="6" fillId="3" borderId="1" xfId="9" applyNumberFormat="1" applyFont="1" applyFill="1" applyBorder="1" applyAlignment="1"/>
    <xf numFmtId="4" fontId="6" fillId="3" borderId="1" xfId="9" applyNumberFormat="1" applyFont="1" applyFill="1" applyBorder="1" applyAlignment="1">
      <alignment horizontal="center" vertical="center"/>
    </xf>
    <xf numFmtId="164" fontId="6" fillId="3" borderId="1" xfId="9" applyNumberFormat="1" applyFont="1" applyFill="1" applyBorder="1" applyAlignment="1">
      <alignment horizontal="center" vertical="center"/>
    </xf>
    <xf numFmtId="4" fontId="3" fillId="3" borderId="0" xfId="9" applyNumberFormat="1" applyFont="1" applyFill="1" applyAlignment="1">
      <alignment wrapText="1"/>
    </xf>
    <xf numFmtId="4" fontId="17" fillId="2" borderId="1" xfId="9" applyNumberFormat="1" applyFont="1" applyFill="1" applyBorder="1" applyAlignment="1">
      <alignment wrapText="1"/>
    </xf>
    <xf numFmtId="4" fontId="17" fillId="3" borderId="1" xfId="9" applyNumberFormat="1" applyFont="1" applyFill="1" applyBorder="1" applyAlignment="1">
      <alignment wrapText="1"/>
    </xf>
    <xf numFmtId="4" fontId="17" fillId="2" borderId="1" xfId="9" applyNumberFormat="1" applyFont="1" applyFill="1" applyBorder="1" applyAlignment="1"/>
    <xf numFmtId="4" fontId="17" fillId="3" borderId="1" xfId="9" applyNumberFormat="1" applyFont="1" applyFill="1" applyBorder="1" applyAlignment="1"/>
    <xf numFmtId="0" fontId="9" fillId="2" borderId="1" xfId="2" applyFont="1" applyFill="1" applyBorder="1" applyAlignment="1">
      <alignment horizontal="center"/>
    </xf>
    <xf numFmtId="0" fontId="3" fillId="2" borderId="1" xfId="5" applyNumberFormat="1" applyFont="1" applyFill="1" applyBorder="1" applyAlignment="1">
      <alignment horizontal="justify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1" fontId="3" fillId="2" borderId="1" xfId="0" applyNumberFormat="1" applyFont="1" applyFill="1" applyBorder="1" applyAlignment="1">
      <alignment horizontal="center" wrapText="1"/>
    </xf>
    <xf numFmtId="165" fontId="4" fillId="3" borderId="1" xfId="5" applyNumberFormat="1" applyFont="1" applyFill="1" applyBorder="1" applyAlignment="1">
      <alignment horizontal="center" vertical="center"/>
    </xf>
    <xf numFmtId="165" fontId="6" fillId="3" borderId="1" xfId="9" applyNumberFormat="1" applyFont="1" applyFill="1" applyBorder="1" applyAlignment="1">
      <alignment vertical="center" wrapText="1"/>
    </xf>
    <xf numFmtId="165" fontId="6" fillId="3" borderId="1" xfId="9" applyNumberFormat="1" applyFont="1" applyFill="1" applyBorder="1" applyAlignment="1"/>
    <xf numFmtId="165" fontId="3" fillId="3" borderId="1" xfId="9" applyNumberFormat="1" applyFont="1" applyFill="1" applyBorder="1" applyAlignment="1"/>
    <xf numFmtId="165" fontId="5" fillId="3" borderId="1" xfId="9" applyNumberFormat="1" applyFont="1" applyFill="1" applyBorder="1" applyAlignment="1"/>
    <xf numFmtId="165" fontId="5" fillId="3" borderId="1" xfId="9" applyNumberFormat="1" applyFont="1" applyFill="1" applyBorder="1" applyAlignment="1">
      <alignment wrapText="1"/>
    </xf>
    <xf numFmtId="165" fontId="3" fillId="3" borderId="1" xfId="9" applyNumberFormat="1" applyFont="1" applyFill="1" applyBorder="1" applyAlignment="1">
      <alignment wrapText="1"/>
    </xf>
    <xf numFmtId="165" fontId="17" fillId="3" borderId="1" xfId="9" applyNumberFormat="1" applyFont="1" applyFill="1" applyBorder="1" applyAlignment="1">
      <alignment wrapText="1"/>
    </xf>
    <xf numFmtId="165" fontId="3" fillId="3" borderId="1" xfId="1" applyNumberFormat="1" applyFont="1" applyFill="1" applyBorder="1" applyAlignment="1"/>
    <xf numFmtId="165" fontId="3" fillId="3" borderId="1" xfId="5" applyNumberFormat="1" applyFont="1" applyFill="1" applyBorder="1"/>
    <xf numFmtId="165" fontId="6" fillId="3" borderId="1" xfId="9" applyNumberFormat="1" applyFont="1" applyFill="1" applyBorder="1" applyAlignment="1">
      <alignment horizontal="center" vertical="center"/>
    </xf>
    <xf numFmtId="3" fontId="5" fillId="2" borderId="0" xfId="5" applyNumberFormat="1" applyFont="1" applyFill="1" applyAlignment="1">
      <alignment wrapText="1"/>
    </xf>
    <xf numFmtId="3" fontId="19" fillId="2" borderId="0" xfId="5" applyNumberFormat="1" applyFont="1" applyFill="1" applyAlignment="1">
      <alignment wrapText="1"/>
    </xf>
    <xf numFmtId="4" fontId="6" fillId="3" borderId="1" xfId="1" applyNumberFormat="1" applyFont="1" applyFill="1" applyBorder="1" applyAlignment="1">
      <alignment vertical="center"/>
    </xf>
    <xf numFmtId="165" fontId="6" fillId="3" borderId="1" xfId="5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>
      <alignment vertical="center"/>
    </xf>
    <xf numFmtId="4" fontId="6" fillId="2" borderId="1" xfId="1" applyNumberFormat="1" applyFont="1" applyFill="1" applyBorder="1" applyAlignment="1">
      <alignment vertical="center"/>
    </xf>
    <xf numFmtId="165" fontId="6" fillId="3" borderId="1" xfId="1" applyNumberFormat="1" applyFont="1" applyFill="1" applyBorder="1" applyAlignment="1">
      <alignment vertical="center"/>
    </xf>
    <xf numFmtId="4" fontId="6" fillId="3" borderId="1" xfId="9" applyNumberFormat="1" applyFont="1" applyFill="1" applyBorder="1" applyAlignment="1">
      <alignment vertical="center"/>
    </xf>
    <xf numFmtId="165" fontId="6" fillId="3" borderId="1" xfId="9" applyNumberFormat="1" applyFont="1" applyFill="1" applyBorder="1" applyAlignment="1">
      <alignment vertical="center"/>
    </xf>
    <xf numFmtId="0" fontId="4" fillId="2" borderId="1" xfId="5" applyFont="1" applyFill="1" applyBorder="1" applyAlignment="1">
      <alignment horizontal="center" vertical="center"/>
    </xf>
    <xf numFmtId="164" fontId="4" fillId="2" borderId="1" xfId="5" applyNumberFormat="1" applyFont="1" applyFill="1" applyBorder="1" applyAlignment="1">
      <alignment horizontal="center" vertical="center"/>
    </xf>
    <xf numFmtId="0" fontId="3" fillId="3" borderId="1" xfId="5" applyNumberFormat="1" applyFont="1" applyFill="1" applyBorder="1" applyAlignment="1">
      <alignment horizontal="center" vertical="center" wrapText="1"/>
    </xf>
    <xf numFmtId="0" fontId="18" fillId="3" borderId="4" xfId="0" applyNumberFormat="1" applyFont="1" applyFill="1" applyBorder="1" applyAlignment="1">
      <alignment horizontal="left" vertical="top" wrapText="1"/>
    </xf>
    <xf numFmtId="49" fontId="20" fillId="3" borderId="4" xfId="0" applyNumberFormat="1" applyFont="1" applyFill="1" applyBorder="1" applyAlignment="1">
      <alignment horizontal="center" wrapText="1"/>
    </xf>
    <xf numFmtId="165" fontId="3" fillId="2" borderId="0" xfId="5" applyNumberFormat="1" applyFont="1" applyFill="1"/>
    <xf numFmtId="165" fontId="6" fillId="2" borderId="0" xfId="5" applyNumberFormat="1" applyFont="1" applyFill="1" applyAlignment="1">
      <alignment horizontal="center" vertical="center"/>
    </xf>
    <xf numFmtId="165" fontId="6" fillId="2" borderId="1" xfId="5" applyNumberFormat="1" applyFont="1" applyFill="1" applyBorder="1"/>
    <xf numFmtId="165" fontId="6" fillId="2" borderId="0" xfId="5" applyNumberFormat="1" applyFont="1" applyFill="1" applyAlignment="1">
      <alignment vertical="center"/>
    </xf>
    <xf numFmtId="4" fontId="3" fillId="2" borderId="0" xfId="5" applyNumberFormat="1" applyFont="1" applyFill="1" applyAlignment="1">
      <alignment vertical="center"/>
    </xf>
    <xf numFmtId="4" fontId="21" fillId="2" borderId="0" xfId="5" applyNumberFormat="1" applyFont="1" applyFill="1"/>
    <xf numFmtId="0" fontId="7" fillId="3" borderId="1" xfId="5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left" vertical="center" wrapText="1"/>
    </xf>
    <xf numFmtId="0" fontId="5" fillId="2" borderId="1" xfId="5" applyNumberFormat="1" applyFont="1" applyFill="1" applyBorder="1" applyAlignment="1">
      <alignment horizontal="justify"/>
    </xf>
    <xf numFmtId="0" fontId="5" fillId="2" borderId="1" xfId="5" applyFont="1" applyFill="1" applyBorder="1" applyAlignment="1">
      <alignment vertical="top" wrapText="1"/>
    </xf>
    <xf numFmtId="0" fontId="5" fillId="2" borderId="1" xfId="5" applyNumberFormat="1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1" applyNumberFormat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left" wrapText="1"/>
    </xf>
    <xf numFmtId="0" fontId="5" fillId="2" borderId="1" xfId="5" applyFont="1" applyFill="1" applyBorder="1" applyAlignment="1">
      <alignment wrapText="1"/>
    </xf>
    <xf numFmtId="0" fontId="5" fillId="2" borderId="1" xfId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top" wrapText="1"/>
    </xf>
    <xf numFmtId="0" fontId="20" fillId="0" borderId="1" xfId="0" applyFont="1" applyBorder="1" applyAlignment="1">
      <alignment wrapText="1"/>
    </xf>
    <xf numFmtId="0" fontId="23" fillId="0" borderId="3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14" fillId="2" borderId="1" xfId="5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5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vertical="top" wrapText="1"/>
    </xf>
    <xf numFmtId="0" fontId="5" fillId="2" borderId="1" xfId="6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top" wrapText="1"/>
    </xf>
    <xf numFmtId="2" fontId="14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14" fillId="2" borderId="1" xfId="5" applyFont="1" applyFill="1" applyBorder="1" applyAlignment="1">
      <alignment vertical="center"/>
    </xf>
    <xf numFmtId="165" fontId="5" fillId="3" borderId="1" xfId="9" applyNumberFormat="1" applyFont="1" applyFill="1" applyBorder="1" applyAlignment="1">
      <alignment vertical="center" wrapText="1"/>
    </xf>
    <xf numFmtId="165" fontId="5" fillId="2" borderId="1" xfId="5" applyNumberFormat="1" applyFont="1" applyFill="1" applyBorder="1"/>
    <xf numFmtId="165" fontId="5" fillId="3" borderId="1" xfId="1" applyNumberFormat="1" applyFont="1" applyFill="1" applyBorder="1" applyAlignment="1">
      <alignment vertical="center"/>
    </xf>
    <xf numFmtId="165" fontId="5" fillId="3" borderId="1" xfId="5" applyNumberFormat="1" applyFont="1" applyFill="1" applyBorder="1" applyAlignment="1">
      <alignment vertical="center"/>
    </xf>
    <xf numFmtId="4" fontId="5" fillId="3" borderId="1" xfId="1" applyNumberFormat="1" applyFont="1" applyFill="1" applyBorder="1" applyAlignment="1"/>
    <xf numFmtId="4" fontId="5" fillId="3" borderId="1" xfId="1" applyNumberFormat="1" applyFont="1" applyFill="1" applyBorder="1" applyAlignment="1">
      <alignment vertical="center"/>
    </xf>
    <xf numFmtId="165" fontId="5" fillId="3" borderId="1" xfId="9" applyNumberFormat="1" applyFont="1" applyFill="1" applyBorder="1" applyAlignment="1">
      <alignment vertical="center"/>
    </xf>
    <xf numFmtId="49" fontId="4" fillId="2" borderId="1" xfId="5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1" xfId="5" applyNumberFormat="1" applyFont="1" applyFill="1" applyBorder="1" applyAlignment="1">
      <alignment horizontal="justify" vertical="center"/>
    </xf>
    <xf numFmtId="0" fontId="9" fillId="2" borderId="1" xfId="5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49" fontId="22" fillId="3" borderId="4" xfId="0" applyNumberFormat="1" applyFont="1" applyFill="1" applyBorder="1" applyAlignment="1">
      <alignment horizontal="center" vertical="center" wrapText="1"/>
    </xf>
    <xf numFmtId="4" fontId="5" fillId="3" borderId="1" xfId="9" applyNumberFormat="1" applyFont="1" applyFill="1" applyBorder="1" applyAlignment="1">
      <alignment vertical="center"/>
    </xf>
    <xf numFmtId="0" fontId="5" fillId="2" borderId="1" xfId="5" applyFont="1" applyFill="1" applyBorder="1" applyAlignment="1">
      <alignment vertical="center" wrapText="1"/>
    </xf>
    <xf numFmtId="165" fontId="14" fillId="3" borderId="1" xfId="9" applyNumberFormat="1" applyFont="1" applyFill="1" applyBorder="1" applyAlignment="1">
      <alignment vertical="center"/>
    </xf>
    <xf numFmtId="165" fontId="3" fillId="3" borderId="1" xfId="9" applyNumberFormat="1" applyFont="1" applyFill="1" applyBorder="1" applyAlignment="1">
      <alignment vertical="center" wrapText="1"/>
    </xf>
    <xf numFmtId="165" fontId="3" fillId="3" borderId="0" xfId="5" applyNumberFormat="1" applyFont="1" applyFill="1"/>
    <xf numFmtId="165" fontId="14" fillId="3" borderId="1" xfId="9" applyNumberFormat="1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_Приложение 5 - прогноз доходов" xfId="5"/>
    <cellStyle name="Обычный_Таб.к пояснительной записке 2013г.МР" xfId="6"/>
    <cellStyle name="Процентный 2" xfId="7"/>
    <cellStyle name="Процентный 3" xfId="8"/>
    <cellStyle name="Финансовый 2" xfId="9"/>
    <cellStyle name="Финансовый 3" xfId="10"/>
    <cellStyle name="Финансовый 3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1"/>
  <sheetViews>
    <sheetView topLeftCell="A4" workbookViewId="0">
      <selection activeCell="S6" sqref="S6:T111"/>
    </sheetView>
  </sheetViews>
  <sheetFormatPr defaultColWidth="8" defaultRowHeight="12.75" outlineLevelRow="1" outlineLevelCol="1"/>
  <cols>
    <col min="1" max="1" width="47" style="3" customWidth="1"/>
    <col min="2" max="2" width="18.85546875" style="36" customWidth="1"/>
    <col min="3" max="3" width="15.28515625" style="45" hidden="1" customWidth="1" outlineLevel="1"/>
    <col min="4" max="14" width="15.28515625" style="68" hidden="1" customWidth="1" outlineLevel="1"/>
    <col min="15" max="16" width="14.42578125" style="68" hidden="1" customWidth="1" outlineLevel="1"/>
    <col min="17" max="17" width="14.42578125" style="109" hidden="1" customWidth="1" outlineLevel="1"/>
    <col min="18" max="18" width="18" style="3" hidden="1" customWidth="1" outlineLevel="1"/>
    <col min="19" max="19" width="15.28515625" style="92" customWidth="1" collapsed="1"/>
    <col min="20" max="20" width="17.5703125" style="92" customWidth="1"/>
    <col min="21" max="22" width="16.28515625" style="3" hidden="1" customWidth="1"/>
    <col min="23" max="231" width="8" style="3"/>
    <col min="232" max="232" width="69.85546875" style="3" customWidth="1"/>
    <col min="233" max="233" width="21.7109375" style="3" customWidth="1"/>
    <col min="234" max="234" width="0" style="3" hidden="1" customWidth="1"/>
    <col min="235" max="235" width="15.5703125" style="3" customWidth="1"/>
    <col min="236" max="239" width="0" style="3" hidden="1" customWidth="1"/>
    <col min="240" max="240" width="8" style="3"/>
    <col min="241" max="241" width="13.7109375" style="3" customWidth="1"/>
    <col min="242" max="16384" width="8" style="3"/>
  </cols>
  <sheetData>
    <row r="1" spans="1:21" s="2" customFormat="1" ht="12" hidden="1" customHeight="1">
      <c r="B1" s="88"/>
      <c r="C1" s="88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Q1" s="90"/>
      <c r="R1" s="90"/>
      <c r="S1" s="90"/>
      <c r="T1" s="90" t="s">
        <v>167</v>
      </c>
    </row>
    <row r="2" spans="1:21" s="2" customFormat="1" ht="12" hidden="1" customHeight="1">
      <c r="B2" s="88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Q2" s="90"/>
      <c r="R2" s="90"/>
      <c r="S2" s="90"/>
      <c r="T2" s="90" t="s">
        <v>152</v>
      </c>
    </row>
    <row r="3" spans="1:21" s="2" customFormat="1" ht="12" hidden="1" customHeight="1">
      <c r="B3" s="87"/>
      <c r="C3" s="87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Q3" s="91"/>
      <c r="R3" s="91"/>
      <c r="S3" s="91"/>
      <c r="T3" s="91" t="s">
        <v>166</v>
      </c>
    </row>
    <row r="4" spans="1:21" s="2" customFormat="1" ht="12" customHeight="1">
      <c r="B4" s="87"/>
      <c r="C4" s="87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Q4" s="91"/>
      <c r="R4" s="91"/>
      <c r="S4" s="91"/>
      <c r="T4" s="91"/>
    </row>
    <row r="5" spans="1:21" ht="33.75" customHeight="1">
      <c r="A5" s="213" t="s">
        <v>170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</row>
    <row r="6" spans="1:21" s="47" customFormat="1" ht="90" customHeight="1">
      <c r="A6" s="142" t="s">
        <v>0</v>
      </c>
      <c r="B6" s="142" t="s">
        <v>1</v>
      </c>
      <c r="C6" s="143" t="s">
        <v>115</v>
      </c>
      <c r="D6" s="71" t="s">
        <v>92</v>
      </c>
      <c r="E6" s="71" t="s">
        <v>115</v>
      </c>
      <c r="F6" s="71" t="s">
        <v>92</v>
      </c>
      <c r="G6" s="71" t="s">
        <v>115</v>
      </c>
      <c r="H6" s="71" t="s">
        <v>92</v>
      </c>
      <c r="I6" s="71" t="s">
        <v>115</v>
      </c>
      <c r="J6" s="71" t="s">
        <v>92</v>
      </c>
      <c r="K6" s="71" t="s">
        <v>115</v>
      </c>
      <c r="L6" s="71" t="s">
        <v>92</v>
      </c>
      <c r="M6" s="71" t="s">
        <v>115</v>
      </c>
      <c r="N6" s="71" t="s">
        <v>92</v>
      </c>
      <c r="O6" s="93" t="s">
        <v>115</v>
      </c>
      <c r="P6" s="93" t="s">
        <v>92</v>
      </c>
      <c r="Q6" s="93" t="s">
        <v>115</v>
      </c>
      <c r="R6" s="121" t="s">
        <v>92</v>
      </c>
      <c r="S6" s="144" t="s">
        <v>168</v>
      </c>
      <c r="T6" s="144" t="s">
        <v>169</v>
      </c>
    </row>
    <row r="7" spans="1:21" s="78" customFormat="1" ht="6" customHeight="1">
      <c r="A7" s="77"/>
      <c r="B7" s="77"/>
      <c r="C7" s="77"/>
      <c r="D7" s="77"/>
      <c r="E7" s="77"/>
      <c r="F7" s="77"/>
      <c r="G7" s="77"/>
      <c r="H7" s="77"/>
      <c r="I7" s="77"/>
      <c r="J7" s="77"/>
      <c r="K7" s="71"/>
      <c r="L7" s="77"/>
      <c r="M7" s="71"/>
      <c r="N7" s="77"/>
      <c r="O7" s="93"/>
      <c r="P7" s="94"/>
      <c r="Q7" s="93"/>
      <c r="R7" s="121"/>
      <c r="S7" s="93"/>
      <c r="T7" s="93"/>
    </row>
    <row r="8" spans="1:21" s="5" customFormat="1">
      <c r="A8" s="6" t="s">
        <v>2</v>
      </c>
      <c r="B8" s="7" t="s">
        <v>3</v>
      </c>
      <c r="C8" s="39">
        <f>C9+C11+C13+C17+C21+C27+C29+C32+C35</f>
        <v>194081228</v>
      </c>
      <c r="D8" s="48"/>
      <c r="E8" s="48">
        <f>E9+E11+E13+E17+E21+E27+E29+E32+E35</f>
        <v>194081228</v>
      </c>
      <c r="F8" s="48"/>
      <c r="G8" s="48">
        <f>G9+G11+G13+G17+G21+G27+G29+G32+G35</f>
        <v>194081228</v>
      </c>
      <c r="H8" s="48">
        <f>H9+H11+H14+H17+H21+H27+H29+H32+H35</f>
        <v>45883.41</v>
      </c>
      <c r="I8" s="48">
        <f>I9+I11+I13+I17+I21+I27+I29+I32+I35</f>
        <v>194127111.41</v>
      </c>
      <c r="J8" s="48">
        <f>J9+J11+J14+J17+J21+J27+J29+J32+J35</f>
        <v>0</v>
      </c>
      <c r="K8" s="48">
        <f>K9+K11+K13+K17+K21+K27+K29+K32+K35</f>
        <v>194127111.41</v>
      </c>
      <c r="L8" s="48">
        <f>L9+L11+L14+L17+L21+L27+L29+L32+L35</f>
        <v>0</v>
      </c>
      <c r="M8" s="48">
        <f>M9+M11+M13+M17+M21+M27+M29+M32+M35</f>
        <v>194127111.41</v>
      </c>
      <c r="N8" s="48">
        <f>N9+N11+N14+N17+N21+N27+N29+N32+N35</f>
        <v>0</v>
      </c>
      <c r="O8" s="95">
        <f>O9+O11+O13+O17+O21+O27+O29+O32+O35</f>
        <v>194127111.41</v>
      </c>
      <c r="P8" s="95">
        <f>P9+P11+P13+P17+P21+P27+P29+P32+P35</f>
        <v>36504000</v>
      </c>
      <c r="Q8" s="95">
        <f>Q9+Q11+Q13+Q17+Q21+Q27+Q29+Q32+Q35</f>
        <v>230631111.41</v>
      </c>
      <c r="R8" s="122">
        <f>R9+R11+R13+R20+R17+R21+R27+R29+R32+R35</f>
        <v>5682864.8300000001</v>
      </c>
      <c r="S8" s="122">
        <f>S9+S11+S13+S20+S17+S21+S27+S29+S32+S35+S36</f>
        <v>236313976.23999998</v>
      </c>
      <c r="T8" s="122">
        <f>T9+T11+T13+T20+T17+T21+T27+T29+T32+T35+T36</f>
        <v>248702996.5</v>
      </c>
      <c r="U8" s="148">
        <f>248702996.5-T8</f>
        <v>0</v>
      </c>
    </row>
    <row r="9" spans="1:21" outlineLevel="1">
      <c r="A9" s="8" t="s">
        <v>4</v>
      </c>
      <c r="B9" s="9" t="s">
        <v>5</v>
      </c>
      <c r="C9" s="40">
        <f>C10</f>
        <v>128125860</v>
      </c>
      <c r="D9" s="49"/>
      <c r="E9" s="49">
        <f>E10</f>
        <v>128125860</v>
      </c>
      <c r="F9" s="49"/>
      <c r="G9" s="49">
        <f>G10</f>
        <v>128125860</v>
      </c>
      <c r="H9" s="49"/>
      <c r="I9" s="49">
        <f>I10</f>
        <v>128125860</v>
      </c>
      <c r="J9" s="49"/>
      <c r="K9" s="49">
        <f>K10</f>
        <v>128125860</v>
      </c>
      <c r="L9" s="49"/>
      <c r="M9" s="49">
        <f>M10</f>
        <v>128125860</v>
      </c>
      <c r="N9" s="49"/>
      <c r="O9" s="96">
        <f>O10</f>
        <v>128125860</v>
      </c>
      <c r="P9" s="96">
        <f>P10</f>
        <v>36412447.390000001</v>
      </c>
      <c r="Q9" s="96">
        <f t="shared" ref="Q9:Q81" si="0">P9+O9</f>
        <v>164538307.38999999</v>
      </c>
      <c r="R9" s="123">
        <f>R10</f>
        <v>0</v>
      </c>
      <c r="S9" s="123">
        <f t="shared" ref="S9:T9" si="1">S10</f>
        <v>164538307.38999999</v>
      </c>
      <c r="T9" s="123">
        <f t="shared" si="1"/>
        <v>169623276.15000001</v>
      </c>
    </row>
    <row r="10" spans="1:21" outlineLevel="1">
      <c r="A10" s="8" t="s">
        <v>6</v>
      </c>
      <c r="B10" s="9" t="s">
        <v>7</v>
      </c>
      <c r="C10" s="41">
        <v>128125860</v>
      </c>
      <c r="D10" s="50"/>
      <c r="E10" s="50">
        <v>128125860</v>
      </c>
      <c r="F10" s="50"/>
      <c r="G10" s="50">
        <v>128125860</v>
      </c>
      <c r="H10" s="50"/>
      <c r="I10" s="50">
        <v>128125860</v>
      </c>
      <c r="J10" s="50"/>
      <c r="K10" s="50">
        <v>128125860</v>
      </c>
      <c r="L10" s="50"/>
      <c r="M10" s="50">
        <v>128125860</v>
      </c>
      <c r="N10" s="50"/>
      <c r="O10" s="97">
        <v>128125860</v>
      </c>
      <c r="P10" s="113">
        <v>36412447.390000001</v>
      </c>
      <c r="Q10" s="97">
        <f>P10+O10</f>
        <v>164538307.38999999</v>
      </c>
      <c r="R10" s="124"/>
      <c r="S10" s="97">
        <f>R10+Q10</f>
        <v>164538307.38999999</v>
      </c>
      <c r="T10" s="97">
        <v>169623276.15000001</v>
      </c>
    </row>
    <row r="11" spans="1:21" ht="38.25" outlineLevel="1">
      <c r="A11" s="34" t="s">
        <v>8</v>
      </c>
      <c r="B11" s="9" t="s">
        <v>9</v>
      </c>
      <c r="C11" s="40">
        <f>C12</f>
        <v>19440510</v>
      </c>
      <c r="D11" s="49"/>
      <c r="E11" s="49">
        <f>E12</f>
        <v>19440510</v>
      </c>
      <c r="F11" s="49"/>
      <c r="G11" s="49">
        <f>G12</f>
        <v>19440510</v>
      </c>
      <c r="H11" s="49"/>
      <c r="I11" s="49">
        <f>I12</f>
        <v>19440510</v>
      </c>
      <c r="J11" s="49"/>
      <c r="K11" s="49">
        <f>K12</f>
        <v>19440510</v>
      </c>
      <c r="L11" s="49"/>
      <c r="M11" s="49">
        <f>M12</f>
        <v>19440510</v>
      </c>
      <c r="N11" s="49"/>
      <c r="O11" s="96">
        <f>O12</f>
        <v>19440510</v>
      </c>
      <c r="P11" s="96"/>
      <c r="Q11" s="96">
        <f t="shared" si="0"/>
        <v>19440510</v>
      </c>
      <c r="R11" s="123">
        <f>R12</f>
        <v>0</v>
      </c>
      <c r="S11" s="123">
        <f t="shared" ref="S11:T11" si="2">S12</f>
        <v>19440510</v>
      </c>
      <c r="T11" s="123">
        <f t="shared" si="2"/>
        <v>20790932.620000001</v>
      </c>
    </row>
    <row r="12" spans="1:21" ht="25.5" outlineLevel="1">
      <c r="A12" s="115" t="s">
        <v>10</v>
      </c>
      <c r="B12" s="9" t="s">
        <v>11</v>
      </c>
      <c r="C12" s="41">
        <v>19440510</v>
      </c>
      <c r="D12" s="50"/>
      <c r="E12" s="50">
        <v>19440510</v>
      </c>
      <c r="F12" s="50"/>
      <c r="G12" s="50">
        <v>19440510</v>
      </c>
      <c r="H12" s="50"/>
      <c r="I12" s="50">
        <v>19440510</v>
      </c>
      <c r="J12" s="50"/>
      <c r="K12" s="50">
        <v>19440510</v>
      </c>
      <c r="L12" s="50"/>
      <c r="M12" s="50">
        <v>19440510</v>
      </c>
      <c r="N12" s="50"/>
      <c r="O12" s="97">
        <v>19440510</v>
      </c>
      <c r="P12" s="97"/>
      <c r="Q12" s="97">
        <f t="shared" si="0"/>
        <v>19440510</v>
      </c>
      <c r="R12" s="124"/>
      <c r="S12" s="97">
        <f t="shared" ref="S12:S41" si="3">R12+Q12</f>
        <v>19440510</v>
      </c>
      <c r="T12" s="97">
        <v>20790932.620000001</v>
      </c>
    </row>
    <row r="13" spans="1:21" outlineLevel="1">
      <c r="A13" s="8" t="s">
        <v>12</v>
      </c>
      <c r="B13" s="9" t="s">
        <v>13</v>
      </c>
      <c r="C13" s="40">
        <f>SUM(C14:C16)</f>
        <v>23025111</v>
      </c>
      <c r="D13" s="49"/>
      <c r="E13" s="49">
        <f>SUM(E14:E16)</f>
        <v>23025111</v>
      </c>
      <c r="F13" s="49"/>
      <c r="G13" s="49">
        <f>SUM(G14:G16)</f>
        <v>23025111</v>
      </c>
      <c r="H13" s="49"/>
      <c r="I13" s="49">
        <f>SUM(I14:I16)</f>
        <v>23025111</v>
      </c>
      <c r="J13" s="49"/>
      <c r="K13" s="49">
        <f>SUM(K14:K16)</f>
        <v>23025111</v>
      </c>
      <c r="L13" s="49"/>
      <c r="M13" s="49">
        <f>SUM(M14:M16)</f>
        <v>23025111</v>
      </c>
      <c r="N13" s="49"/>
      <c r="O13" s="96">
        <f>SUM(O14:O16)</f>
        <v>23025111</v>
      </c>
      <c r="P13" s="96"/>
      <c r="Q13" s="96">
        <f t="shared" si="0"/>
        <v>23025111</v>
      </c>
      <c r="R13" s="123">
        <f>SUM(R14:R16)</f>
        <v>-73611</v>
      </c>
      <c r="S13" s="123">
        <f t="shared" ref="S13:T13" si="4">SUM(S14:S16)</f>
        <v>22951500</v>
      </c>
      <c r="T13" s="123">
        <f t="shared" si="4"/>
        <v>23481295.920000002</v>
      </c>
    </row>
    <row r="14" spans="1:21" ht="25.5" outlineLevel="1">
      <c r="A14" s="11" t="s">
        <v>14</v>
      </c>
      <c r="B14" s="12" t="s">
        <v>15</v>
      </c>
      <c r="C14" s="41">
        <v>22911000</v>
      </c>
      <c r="D14" s="50"/>
      <c r="E14" s="50">
        <v>22911000</v>
      </c>
      <c r="F14" s="50"/>
      <c r="G14" s="50">
        <v>22911000</v>
      </c>
      <c r="H14" s="50"/>
      <c r="I14" s="50">
        <v>22911000</v>
      </c>
      <c r="J14" s="50"/>
      <c r="K14" s="50">
        <v>22911000</v>
      </c>
      <c r="L14" s="50"/>
      <c r="M14" s="50">
        <v>22911000</v>
      </c>
      <c r="N14" s="50"/>
      <c r="O14" s="97">
        <v>22911000</v>
      </c>
      <c r="P14" s="97"/>
      <c r="Q14" s="97">
        <f t="shared" si="0"/>
        <v>22911000</v>
      </c>
      <c r="R14" s="124"/>
      <c r="S14" s="97">
        <f t="shared" si="3"/>
        <v>22911000</v>
      </c>
      <c r="T14" s="97">
        <v>23440198.82</v>
      </c>
    </row>
    <row r="15" spans="1:21" outlineLevel="1">
      <c r="A15" s="11" t="s">
        <v>16</v>
      </c>
      <c r="B15" s="12" t="s">
        <v>17</v>
      </c>
      <c r="C15" s="41">
        <v>85111</v>
      </c>
      <c r="D15" s="50"/>
      <c r="E15" s="50">
        <v>85111</v>
      </c>
      <c r="F15" s="50"/>
      <c r="G15" s="50">
        <v>85111</v>
      </c>
      <c r="H15" s="50"/>
      <c r="I15" s="50">
        <v>85111</v>
      </c>
      <c r="J15" s="50"/>
      <c r="K15" s="50">
        <v>85111</v>
      </c>
      <c r="L15" s="50"/>
      <c r="M15" s="50">
        <v>85111</v>
      </c>
      <c r="N15" s="50"/>
      <c r="O15" s="97">
        <v>85111</v>
      </c>
      <c r="P15" s="97"/>
      <c r="Q15" s="97">
        <f t="shared" si="0"/>
        <v>85111</v>
      </c>
      <c r="R15" s="124">
        <f>3300-Q15</f>
        <v>-81811</v>
      </c>
      <c r="S15" s="97">
        <f t="shared" si="3"/>
        <v>3300</v>
      </c>
      <c r="T15" s="97">
        <v>3886.94</v>
      </c>
    </row>
    <row r="16" spans="1:21" ht="25.5" outlineLevel="1">
      <c r="A16" s="11" t="s">
        <v>18</v>
      </c>
      <c r="B16" s="12" t="s">
        <v>19</v>
      </c>
      <c r="C16" s="41">
        <v>29000</v>
      </c>
      <c r="D16" s="50"/>
      <c r="E16" s="50">
        <v>29000</v>
      </c>
      <c r="F16" s="50"/>
      <c r="G16" s="50">
        <v>29000</v>
      </c>
      <c r="H16" s="50"/>
      <c r="I16" s="50">
        <v>29000</v>
      </c>
      <c r="J16" s="50"/>
      <c r="K16" s="50">
        <v>29000</v>
      </c>
      <c r="L16" s="50"/>
      <c r="M16" s="50">
        <v>29000</v>
      </c>
      <c r="N16" s="50"/>
      <c r="O16" s="97">
        <v>29000</v>
      </c>
      <c r="P16" s="97"/>
      <c r="Q16" s="97">
        <f t="shared" si="0"/>
        <v>29000</v>
      </c>
      <c r="R16" s="124">
        <f>37200-Q16</f>
        <v>8200</v>
      </c>
      <c r="S16" s="97">
        <f t="shared" si="3"/>
        <v>37200</v>
      </c>
      <c r="T16" s="97">
        <v>37210.160000000003</v>
      </c>
    </row>
    <row r="17" spans="1:22" outlineLevel="1">
      <c r="A17" s="8" t="s">
        <v>20</v>
      </c>
      <c r="B17" s="9" t="s">
        <v>21</v>
      </c>
      <c r="C17" s="40">
        <v>2700230</v>
      </c>
      <c r="D17" s="49"/>
      <c r="E17" s="49">
        <v>2700230</v>
      </c>
      <c r="F17" s="49"/>
      <c r="G17" s="49">
        <v>2700230</v>
      </c>
      <c r="H17" s="49"/>
      <c r="I17" s="49">
        <v>2700230</v>
      </c>
      <c r="J17" s="49"/>
      <c r="K17" s="49">
        <v>2700230</v>
      </c>
      <c r="L17" s="49"/>
      <c r="M17" s="49">
        <v>2700230</v>
      </c>
      <c r="N17" s="49"/>
      <c r="O17" s="96">
        <v>2700230</v>
      </c>
      <c r="P17" s="96"/>
      <c r="Q17" s="96">
        <f>P17+O17</f>
        <v>2700230</v>
      </c>
      <c r="R17" s="123">
        <f>2870000+1180000+10000-Q17</f>
        <v>1359770</v>
      </c>
      <c r="S17" s="96">
        <f>SUM(S18:S19)</f>
        <v>4060000</v>
      </c>
      <c r="T17" s="96">
        <f>SUM(T18:T19)</f>
        <v>4074805.88</v>
      </c>
      <c r="U17" s="37">
        <f>S17-S18-S19</f>
        <v>0</v>
      </c>
      <c r="V17" s="37">
        <f>T17-T18-T19</f>
        <v>0</v>
      </c>
    </row>
    <row r="18" spans="1:22" ht="38.25" outlineLevel="1">
      <c r="A18" s="8" t="s">
        <v>171</v>
      </c>
      <c r="B18" s="9" t="s">
        <v>172</v>
      </c>
      <c r="C18" s="40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96"/>
      <c r="P18" s="96"/>
      <c r="Q18" s="96"/>
      <c r="R18" s="123"/>
      <c r="S18" s="97">
        <v>2885000</v>
      </c>
      <c r="T18" s="97">
        <v>2889805.88</v>
      </c>
    </row>
    <row r="19" spans="1:22" ht="27.75" customHeight="1" outlineLevel="1">
      <c r="A19" s="8" t="s">
        <v>173</v>
      </c>
      <c r="B19" s="9" t="s">
        <v>174</v>
      </c>
      <c r="C19" s="40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96"/>
      <c r="P19" s="96"/>
      <c r="Q19" s="96"/>
      <c r="R19" s="123"/>
      <c r="S19" s="97">
        <v>1175000</v>
      </c>
      <c r="T19" s="97">
        <v>1185000</v>
      </c>
    </row>
    <row r="20" spans="1:22" ht="38.25" outlineLevel="1">
      <c r="A20" s="145" t="s">
        <v>164</v>
      </c>
      <c r="B20" s="146" t="s">
        <v>165</v>
      </c>
      <c r="C20" s="4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97"/>
      <c r="P20" s="97"/>
      <c r="Q20" s="97"/>
      <c r="R20" s="124">
        <v>3860</v>
      </c>
      <c r="S20" s="96">
        <f t="shared" si="3"/>
        <v>3860</v>
      </c>
      <c r="T20" s="96">
        <v>3865.64</v>
      </c>
    </row>
    <row r="21" spans="1:22" ht="38.25" outlineLevel="1">
      <c r="A21" s="8" t="s">
        <v>22</v>
      </c>
      <c r="B21" s="9" t="s">
        <v>23</v>
      </c>
      <c r="C21" s="40">
        <f>SUM(C22:C26)</f>
        <v>13481500</v>
      </c>
      <c r="D21" s="49"/>
      <c r="E21" s="49">
        <f>SUM(E22:E26)</f>
        <v>13481500</v>
      </c>
      <c r="F21" s="49"/>
      <c r="G21" s="49">
        <f>SUM(G22:G26)</f>
        <v>13481500</v>
      </c>
      <c r="H21" s="49"/>
      <c r="I21" s="49">
        <f>SUM(I22:I26)</f>
        <v>13481500</v>
      </c>
      <c r="J21" s="49"/>
      <c r="K21" s="49">
        <f>SUM(K22:K26)</f>
        <v>13481500</v>
      </c>
      <c r="L21" s="49"/>
      <c r="M21" s="49">
        <f>SUM(M22:M26)</f>
        <v>13481500</v>
      </c>
      <c r="N21" s="49"/>
      <c r="O21" s="96">
        <f>SUM(O22:O26)</f>
        <v>13481500</v>
      </c>
      <c r="P21" s="96"/>
      <c r="Q21" s="96">
        <f t="shared" si="0"/>
        <v>13481500</v>
      </c>
      <c r="R21" s="123">
        <f>SUM(R22:R26)</f>
        <v>3725281.8499999996</v>
      </c>
      <c r="S21" s="123">
        <f>SUM(S22:S26)</f>
        <v>17206781.850000001</v>
      </c>
      <c r="T21" s="123">
        <f>SUM(T22:T26)</f>
        <v>18559337.859999999</v>
      </c>
    </row>
    <row r="22" spans="1:22" s="2" customFormat="1" ht="38.25" outlineLevel="1">
      <c r="A22" s="15" t="s">
        <v>24</v>
      </c>
      <c r="B22" s="14" t="s">
        <v>25</v>
      </c>
      <c r="C22" s="42">
        <v>11234000</v>
      </c>
      <c r="D22" s="51"/>
      <c r="E22" s="51">
        <v>11234000</v>
      </c>
      <c r="F22" s="51"/>
      <c r="G22" s="51">
        <v>11234000</v>
      </c>
      <c r="H22" s="51"/>
      <c r="I22" s="51">
        <v>11234000</v>
      </c>
      <c r="J22" s="51"/>
      <c r="K22" s="51">
        <v>11234000</v>
      </c>
      <c r="L22" s="51"/>
      <c r="M22" s="51">
        <v>11234000</v>
      </c>
      <c r="N22" s="51"/>
      <c r="O22" s="98">
        <v>11234000</v>
      </c>
      <c r="P22" s="98"/>
      <c r="Q22" s="98">
        <f t="shared" si="0"/>
        <v>11234000</v>
      </c>
      <c r="R22" s="125">
        <v>2324468.36</v>
      </c>
      <c r="S22" s="98">
        <f t="shared" si="3"/>
        <v>13558468.359999999</v>
      </c>
      <c r="T22" s="98">
        <v>14488393.01</v>
      </c>
    </row>
    <row r="23" spans="1:22" s="2" customFormat="1" ht="39.75" customHeight="1" outlineLevel="1">
      <c r="A23" s="15" t="s">
        <v>26</v>
      </c>
      <c r="B23" s="14" t="s">
        <v>27</v>
      </c>
      <c r="C23" s="42">
        <v>217000</v>
      </c>
      <c r="D23" s="51"/>
      <c r="E23" s="51">
        <v>217000</v>
      </c>
      <c r="F23" s="51"/>
      <c r="G23" s="51">
        <v>217000</v>
      </c>
      <c r="H23" s="51"/>
      <c r="I23" s="51">
        <v>217000</v>
      </c>
      <c r="J23" s="51"/>
      <c r="K23" s="51">
        <v>217000</v>
      </c>
      <c r="L23" s="51"/>
      <c r="M23" s="51">
        <v>217000</v>
      </c>
      <c r="N23" s="51"/>
      <c r="O23" s="98">
        <v>217000</v>
      </c>
      <c r="P23" s="98"/>
      <c r="Q23" s="98">
        <f t="shared" si="0"/>
        <v>217000</v>
      </c>
      <c r="R23" s="125">
        <f>272000-Q23</f>
        <v>55000</v>
      </c>
      <c r="S23" s="98">
        <f t="shared" si="3"/>
        <v>272000</v>
      </c>
      <c r="T23" s="98">
        <v>367007</v>
      </c>
    </row>
    <row r="24" spans="1:22" s="2" customFormat="1" ht="38.25" outlineLevel="1">
      <c r="A24" s="15" t="s">
        <v>28</v>
      </c>
      <c r="B24" s="14" t="s">
        <v>29</v>
      </c>
      <c r="C24" s="42">
        <v>980000</v>
      </c>
      <c r="D24" s="51"/>
      <c r="E24" s="51">
        <v>980000</v>
      </c>
      <c r="F24" s="51"/>
      <c r="G24" s="51">
        <v>980000</v>
      </c>
      <c r="H24" s="51"/>
      <c r="I24" s="51">
        <v>980000</v>
      </c>
      <c r="J24" s="51"/>
      <c r="K24" s="51">
        <v>980000</v>
      </c>
      <c r="L24" s="51"/>
      <c r="M24" s="51">
        <v>980000</v>
      </c>
      <c r="N24" s="51"/>
      <c r="O24" s="98">
        <v>980000</v>
      </c>
      <c r="P24" s="98"/>
      <c r="Q24" s="98">
        <f>P24+O24</f>
        <v>980000</v>
      </c>
      <c r="R24" s="125">
        <f>325000-Q24</f>
        <v>-655000</v>
      </c>
      <c r="S24" s="98">
        <f>R24+Q24</f>
        <v>325000</v>
      </c>
      <c r="T24" s="98">
        <v>659554.52</v>
      </c>
    </row>
    <row r="25" spans="1:22" s="2" customFormat="1" ht="51" outlineLevel="1">
      <c r="A25" s="15" t="s">
        <v>154</v>
      </c>
      <c r="B25" s="14" t="s">
        <v>155</v>
      </c>
      <c r="C25" s="4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8"/>
      <c r="P25" s="98"/>
      <c r="Q25" s="98"/>
      <c r="R25" s="125">
        <v>582813.49</v>
      </c>
      <c r="S25" s="98">
        <f>R25+Q25</f>
        <v>582813.49</v>
      </c>
      <c r="T25" s="98">
        <v>582813.49</v>
      </c>
    </row>
    <row r="26" spans="1:22" s="1" customFormat="1" ht="76.5" outlineLevel="1">
      <c r="A26" s="13" t="s">
        <v>30</v>
      </c>
      <c r="B26" s="16" t="s">
        <v>31</v>
      </c>
      <c r="C26" s="43">
        <v>1050500</v>
      </c>
      <c r="D26" s="52"/>
      <c r="E26" s="52">
        <v>1050500</v>
      </c>
      <c r="F26" s="52"/>
      <c r="G26" s="52">
        <v>1050500</v>
      </c>
      <c r="H26" s="52"/>
      <c r="I26" s="52">
        <v>1050500</v>
      </c>
      <c r="J26" s="52"/>
      <c r="K26" s="52">
        <v>1050500</v>
      </c>
      <c r="L26" s="52"/>
      <c r="M26" s="52">
        <v>1050500</v>
      </c>
      <c r="N26" s="52"/>
      <c r="O26" s="99">
        <v>1050500</v>
      </c>
      <c r="P26" s="99"/>
      <c r="Q26" s="99">
        <f t="shared" si="0"/>
        <v>1050500</v>
      </c>
      <c r="R26" s="126">
        <f>-12000+1430000</f>
        <v>1418000</v>
      </c>
      <c r="S26" s="99">
        <f t="shared" si="3"/>
        <v>2468500</v>
      </c>
      <c r="T26" s="99">
        <v>2461569.84</v>
      </c>
      <c r="U26" s="133"/>
      <c r="V26" s="132"/>
    </row>
    <row r="27" spans="1:22" ht="25.5" outlineLevel="1">
      <c r="A27" s="8" t="s">
        <v>32</v>
      </c>
      <c r="B27" s="9" t="s">
        <v>33</v>
      </c>
      <c r="C27" s="40">
        <f>C28</f>
        <v>732000</v>
      </c>
      <c r="D27" s="49"/>
      <c r="E27" s="49">
        <f>E28</f>
        <v>732000</v>
      </c>
      <c r="F27" s="49"/>
      <c r="G27" s="49">
        <f>G28</f>
        <v>732000</v>
      </c>
      <c r="H27" s="49"/>
      <c r="I27" s="49">
        <f>I28</f>
        <v>732000</v>
      </c>
      <c r="J27" s="49"/>
      <c r="K27" s="49">
        <f>K28</f>
        <v>732000</v>
      </c>
      <c r="L27" s="49"/>
      <c r="M27" s="49">
        <f>M28</f>
        <v>732000</v>
      </c>
      <c r="N27" s="49"/>
      <c r="O27" s="96">
        <f>O28</f>
        <v>732000</v>
      </c>
      <c r="P27" s="96"/>
      <c r="Q27" s="96">
        <f t="shared" si="0"/>
        <v>732000</v>
      </c>
      <c r="R27" s="123">
        <f>R28</f>
        <v>-202000</v>
      </c>
      <c r="S27" s="96">
        <f t="shared" si="3"/>
        <v>530000</v>
      </c>
      <c r="T27" s="96">
        <f>T28</f>
        <v>568914.57999999996</v>
      </c>
    </row>
    <row r="28" spans="1:22" s="2" customFormat="1" ht="25.5" outlineLevel="1">
      <c r="A28" s="8" t="s">
        <v>34</v>
      </c>
      <c r="B28" s="9" t="s">
        <v>35</v>
      </c>
      <c r="C28" s="42">
        <v>732000</v>
      </c>
      <c r="D28" s="51"/>
      <c r="E28" s="51">
        <v>732000</v>
      </c>
      <c r="F28" s="51"/>
      <c r="G28" s="51">
        <v>732000</v>
      </c>
      <c r="H28" s="51"/>
      <c r="I28" s="51">
        <v>732000</v>
      </c>
      <c r="J28" s="51"/>
      <c r="K28" s="51">
        <v>732000</v>
      </c>
      <c r="L28" s="51"/>
      <c r="M28" s="51">
        <v>732000</v>
      </c>
      <c r="N28" s="51"/>
      <c r="O28" s="98">
        <v>732000</v>
      </c>
      <c r="P28" s="98"/>
      <c r="Q28" s="98">
        <f t="shared" si="0"/>
        <v>732000</v>
      </c>
      <c r="R28" s="125">
        <v>-202000</v>
      </c>
      <c r="S28" s="98">
        <f t="shared" si="3"/>
        <v>530000</v>
      </c>
      <c r="T28" s="98">
        <v>568914.57999999996</v>
      </c>
    </row>
    <row r="29" spans="1:22" ht="25.5" outlineLevel="1">
      <c r="A29" s="8" t="s">
        <v>36</v>
      </c>
      <c r="B29" s="17" t="s">
        <v>37</v>
      </c>
      <c r="C29" s="40">
        <f>C31</f>
        <v>126573</v>
      </c>
      <c r="D29" s="49"/>
      <c r="E29" s="49">
        <f>E31</f>
        <v>126573</v>
      </c>
      <c r="F29" s="49"/>
      <c r="G29" s="49">
        <f>G31</f>
        <v>126573</v>
      </c>
      <c r="H29" s="49">
        <f t="shared" ref="H29:P29" si="5">SUM(H30:H31)</f>
        <v>45883.41</v>
      </c>
      <c r="I29" s="49">
        <f t="shared" si="5"/>
        <v>172456.41</v>
      </c>
      <c r="J29" s="49">
        <f t="shared" si="5"/>
        <v>0</v>
      </c>
      <c r="K29" s="49">
        <f t="shared" si="5"/>
        <v>172456.41</v>
      </c>
      <c r="L29" s="49">
        <f t="shared" si="5"/>
        <v>0</v>
      </c>
      <c r="M29" s="49">
        <f t="shared" si="5"/>
        <v>172456.41</v>
      </c>
      <c r="N29" s="49">
        <f t="shared" si="5"/>
        <v>0</v>
      </c>
      <c r="O29" s="96">
        <f t="shared" si="5"/>
        <v>172456.41</v>
      </c>
      <c r="P29" s="96">
        <f t="shared" si="5"/>
        <v>91552.61</v>
      </c>
      <c r="Q29" s="96">
        <f t="shared" si="0"/>
        <v>264009.02</v>
      </c>
      <c r="R29" s="123">
        <f t="shared" ref="R29:T29" si="6">SUM(R30:R31)</f>
        <v>34563.979999999981</v>
      </c>
      <c r="S29" s="123">
        <f t="shared" si="6"/>
        <v>298573</v>
      </c>
      <c r="T29" s="123">
        <f t="shared" si="6"/>
        <v>420495.26</v>
      </c>
    </row>
    <row r="30" spans="1:22" ht="38.25" outlineLevel="1">
      <c r="A30" s="53" t="s">
        <v>135</v>
      </c>
      <c r="B30" s="14" t="s">
        <v>93</v>
      </c>
      <c r="C30" s="40"/>
      <c r="D30" s="49"/>
      <c r="E30" s="49"/>
      <c r="F30" s="49"/>
      <c r="G30" s="49"/>
      <c r="H30" s="50">
        <f>13177.3+15672.45+17033.66</f>
        <v>45883.41</v>
      </c>
      <c r="I30" s="50">
        <f>H30</f>
        <v>45883.41</v>
      </c>
      <c r="J30" s="50"/>
      <c r="K30" s="50">
        <f>I30</f>
        <v>45883.41</v>
      </c>
      <c r="L30" s="50"/>
      <c r="M30" s="50">
        <f>K30</f>
        <v>45883.41</v>
      </c>
      <c r="N30" s="50"/>
      <c r="O30" s="97">
        <f>M30</f>
        <v>45883.41</v>
      </c>
      <c r="P30" s="112">
        <v>91552.61</v>
      </c>
      <c r="Q30" s="97">
        <f t="shared" si="0"/>
        <v>137436.02000000002</v>
      </c>
      <c r="R30" s="124">
        <f>172000-Q30</f>
        <v>34563.979999999981</v>
      </c>
      <c r="S30" s="97">
        <f t="shared" si="3"/>
        <v>172000</v>
      </c>
      <c r="T30" s="97">
        <v>171700.22</v>
      </c>
    </row>
    <row r="31" spans="1:22" outlineLevel="1">
      <c r="A31" s="13" t="s">
        <v>38</v>
      </c>
      <c r="B31" s="14" t="s">
        <v>39</v>
      </c>
      <c r="C31" s="41">
        <v>126573</v>
      </c>
      <c r="D31" s="50"/>
      <c r="E31" s="50">
        <v>126573</v>
      </c>
      <c r="F31" s="50"/>
      <c r="G31" s="50">
        <v>126573</v>
      </c>
      <c r="H31" s="50"/>
      <c r="I31" s="50">
        <v>126573</v>
      </c>
      <c r="J31" s="50"/>
      <c r="K31" s="50">
        <v>126573</v>
      </c>
      <c r="L31" s="50"/>
      <c r="M31" s="50">
        <v>126573</v>
      </c>
      <c r="N31" s="50"/>
      <c r="O31" s="97">
        <v>126573</v>
      </c>
      <c r="P31" s="97"/>
      <c r="Q31" s="97">
        <f t="shared" si="0"/>
        <v>126573</v>
      </c>
      <c r="R31" s="124"/>
      <c r="S31" s="97">
        <f t="shared" si="3"/>
        <v>126573</v>
      </c>
      <c r="T31" s="97">
        <v>248795.04</v>
      </c>
    </row>
    <row r="32" spans="1:22" ht="25.5" outlineLevel="1">
      <c r="A32" s="8" t="s">
        <v>40</v>
      </c>
      <c r="B32" s="17" t="s">
        <v>41</v>
      </c>
      <c r="C32" s="40">
        <f>SUM(C33:C34)</f>
        <v>3519444</v>
      </c>
      <c r="D32" s="49"/>
      <c r="E32" s="49">
        <f>SUM(E33:E34)</f>
        <v>3519444</v>
      </c>
      <c r="F32" s="49"/>
      <c r="G32" s="49">
        <f>SUM(G33:G34)</f>
        <v>3519444</v>
      </c>
      <c r="H32" s="49"/>
      <c r="I32" s="49">
        <f>SUM(I33:I34)</f>
        <v>3519444</v>
      </c>
      <c r="J32" s="49"/>
      <c r="K32" s="49">
        <f>SUM(K33:K34)</f>
        <v>3519444</v>
      </c>
      <c r="L32" s="49"/>
      <c r="M32" s="49">
        <f>SUM(M33:M34)</f>
        <v>3519444</v>
      </c>
      <c r="N32" s="49"/>
      <c r="O32" s="96">
        <f>SUM(O33:O34)</f>
        <v>3519444</v>
      </c>
      <c r="P32" s="96"/>
      <c r="Q32" s="96">
        <f t="shared" si="0"/>
        <v>3519444</v>
      </c>
      <c r="R32" s="123">
        <f>SUM(R33:R34)</f>
        <v>835000</v>
      </c>
      <c r="S32" s="123">
        <f>SUM(S33:S34)</f>
        <v>4354444</v>
      </c>
      <c r="T32" s="123">
        <f>SUM(T33:T34)</f>
        <v>8108208.3000000007</v>
      </c>
    </row>
    <row r="33" spans="1:24" ht="52.5" customHeight="1" outlineLevel="1">
      <c r="A33" s="13" t="s">
        <v>42</v>
      </c>
      <c r="B33" s="14" t="s">
        <v>43</v>
      </c>
      <c r="C33" s="41">
        <v>2104000</v>
      </c>
      <c r="D33" s="50"/>
      <c r="E33" s="50">
        <v>2104000</v>
      </c>
      <c r="F33" s="50"/>
      <c r="G33" s="50">
        <v>2104000</v>
      </c>
      <c r="H33" s="50"/>
      <c r="I33" s="50">
        <v>2104000</v>
      </c>
      <c r="J33" s="50"/>
      <c r="K33" s="50">
        <v>2104000</v>
      </c>
      <c r="L33" s="50"/>
      <c r="M33" s="50">
        <v>2104000</v>
      </c>
      <c r="N33" s="50"/>
      <c r="O33" s="97">
        <v>2104000</v>
      </c>
      <c r="P33" s="97"/>
      <c r="Q33" s="97">
        <f t="shared" si="0"/>
        <v>2104000</v>
      </c>
      <c r="R33" s="124">
        <f>2939000-Q33</f>
        <v>835000</v>
      </c>
      <c r="S33" s="97">
        <f t="shared" si="3"/>
        <v>2939000</v>
      </c>
      <c r="T33" s="97">
        <v>2951049.4</v>
      </c>
    </row>
    <row r="34" spans="1:24" ht="51" outlineLevel="1">
      <c r="A34" s="13" t="s">
        <v>44</v>
      </c>
      <c r="B34" s="14" t="s">
        <v>45</v>
      </c>
      <c r="C34" s="41">
        <v>1415444</v>
      </c>
      <c r="D34" s="50"/>
      <c r="E34" s="50">
        <v>1415444</v>
      </c>
      <c r="F34" s="50"/>
      <c r="G34" s="50">
        <v>1415444</v>
      </c>
      <c r="H34" s="50"/>
      <c r="I34" s="50">
        <v>1415444</v>
      </c>
      <c r="J34" s="50"/>
      <c r="K34" s="50">
        <v>1415444</v>
      </c>
      <c r="L34" s="50"/>
      <c r="M34" s="50">
        <v>1415444</v>
      </c>
      <c r="N34" s="50"/>
      <c r="O34" s="97">
        <v>1415444</v>
      </c>
      <c r="P34" s="97"/>
      <c r="Q34" s="97">
        <f t="shared" si="0"/>
        <v>1415444</v>
      </c>
      <c r="R34" s="124"/>
      <c r="S34" s="97">
        <f t="shared" si="3"/>
        <v>1415444</v>
      </c>
      <c r="T34" s="97">
        <v>5157158.9000000004</v>
      </c>
    </row>
    <row r="35" spans="1:24" outlineLevel="1">
      <c r="A35" s="8" t="s">
        <v>46</v>
      </c>
      <c r="B35" s="17" t="s">
        <v>47</v>
      </c>
      <c r="C35" s="41">
        <v>2930000</v>
      </c>
      <c r="D35" s="50"/>
      <c r="E35" s="50">
        <v>2930000</v>
      </c>
      <c r="F35" s="50"/>
      <c r="G35" s="50">
        <v>2930000</v>
      </c>
      <c r="H35" s="50"/>
      <c r="I35" s="50">
        <v>2930000</v>
      </c>
      <c r="J35" s="50"/>
      <c r="K35" s="50">
        <v>2930000</v>
      </c>
      <c r="L35" s="50"/>
      <c r="M35" s="50">
        <v>2930000</v>
      </c>
      <c r="N35" s="50"/>
      <c r="O35" s="97">
        <v>2930000</v>
      </c>
      <c r="P35" s="97"/>
      <c r="Q35" s="97">
        <f t="shared" si="0"/>
        <v>2930000</v>
      </c>
      <c r="R35" s="124"/>
      <c r="S35" s="96">
        <f t="shared" si="3"/>
        <v>2930000</v>
      </c>
      <c r="T35" s="96">
        <v>3057655.81</v>
      </c>
    </row>
    <row r="36" spans="1:24" outlineLevel="1">
      <c r="A36" s="8" t="s">
        <v>175</v>
      </c>
      <c r="B36" s="17" t="s">
        <v>176</v>
      </c>
      <c r="C36" s="41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97"/>
      <c r="P36" s="97"/>
      <c r="Q36" s="97"/>
      <c r="R36" s="124"/>
      <c r="S36" s="96">
        <v>0</v>
      </c>
      <c r="T36" s="96">
        <v>14208.48</v>
      </c>
    </row>
    <row r="37" spans="1:24" s="5" customFormat="1">
      <c r="A37" s="6" t="s">
        <v>48</v>
      </c>
      <c r="B37" s="18" t="s">
        <v>49</v>
      </c>
      <c r="C37" s="39">
        <f t="shared" ref="C37:P37" si="7">C38+C100+C102+C106</f>
        <v>802378400</v>
      </c>
      <c r="D37" s="39">
        <f t="shared" si="7"/>
        <v>635371.53999999957</v>
      </c>
      <c r="E37" s="39">
        <f t="shared" si="7"/>
        <v>803013771.53999996</v>
      </c>
      <c r="F37" s="39">
        <f t="shared" si="7"/>
        <v>14518074.780000001</v>
      </c>
      <c r="G37" s="39">
        <f t="shared" si="7"/>
        <v>817531846.32000005</v>
      </c>
      <c r="H37" s="39">
        <f t="shared" si="7"/>
        <v>26329696</v>
      </c>
      <c r="I37" s="39">
        <f t="shared" si="7"/>
        <v>843861542.32000005</v>
      </c>
      <c r="J37" s="39">
        <f t="shared" si="7"/>
        <v>16199337.76</v>
      </c>
      <c r="K37" s="48">
        <f t="shared" si="7"/>
        <v>860060880.08000004</v>
      </c>
      <c r="L37" s="39">
        <f t="shared" si="7"/>
        <v>5756557</v>
      </c>
      <c r="M37" s="48">
        <f t="shared" si="7"/>
        <v>865817437.08000004</v>
      </c>
      <c r="N37" s="48">
        <f t="shared" si="7"/>
        <v>0</v>
      </c>
      <c r="O37" s="95">
        <f t="shared" si="7"/>
        <v>865817437.08000004</v>
      </c>
      <c r="P37" s="95">
        <f t="shared" si="7"/>
        <v>18767671.759999998</v>
      </c>
      <c r="Q37" s="95">
        <f t="shared" si="0"/>
        <v>884585108.84000003</v>
      </c>
      <c r="R37" s="122">
        <f>R38+R100+R102+R106</f>
        <v>59227418.729999997</v>
      </c>
      <c r="S37" s="149">
        <f>S39+S42+S72+S87+S100+S102+S106</f>
        <v>945062710.56999993</v>
      </c>
      <c r="T37" s="149">
        <f>T39+T42+T72+T87+T100+T102+T106</f>
        <v>944664043.76999986</v>
      </c>
      <c r="U37" s="147">
        <f>945062710.57-S37</f>
        <v>0</v>
      </c>
      <c r="V37" s="147">
        <f>T37-944664043.77</f>
        <v>0</v>
      </c>
      <c r="W37" s="3"/>
      <c r="X37" s="3"/>
    </row>
    <row r="38" spans="1:24" s="20" customFormat="1" ht="25.5" outlineLevel="1">
      <c r="A38" s="19" t="s">
        <v>81</v>
      </c>
      <c r="B38" s="16" t="s">
        <v>50</v>
      </c>
      <c r="C38" s="38">
        <f t="shared" ref="C38:P38" si="8">C39+C42+C72+C87</f>
        <v>802378400</v>
      </c>
      <c r="D38" s="38">
        <f t="shared" si="8"/>
        <v>356459</v>
      </c>
      <c r="E38" s="38">
        <f t="shared" si="8"/>
        <v>802734859</v>
      </c>
      <c r="F38" s="38">
        <f t="shared" si="8"/>
        <v>8688532.7200000007</v>
      </c>
      <c r="G38" s="38">
        <f t="shared" si="8"/>
        <v>811423391.72000003</v>
      </c>
      <c r="H38" s="38">
        <f t="shared" si="8"/>
        <v>26329696</v>
      </c>
      <c r="I38" s="38">
        <f t="shared" si="8"/>
        <v>837753087.72000003</v>
      </c>
      <c r="J38" s="38">
        <f t="shared" si="8"/>
        <v>16199337.76</v>
      </c>
      <c r="K38" s="54">
        <f t="shared" si="8"/>
        <v>853952425.48000002</v>
      </c>
      <c r="L38" s="38">
        <f t="shared" si="8"/>
        <v>5756557</v>
      </c>
      <c r="M38" s="54">
        <f t="shared" si="8"/>
        <v>859708982.48000002</v>
      </c>
      <c r="N38" s="54">
        <f t="shared" si="8"/>
        <v>0</v>
      </c>
      <c r="O38" s="100">
        <f t="shared" si="8"/>
        <v>859708982.48000002</v>
      </c>
      <c r="P38" s="100">
        <f t="shared" si="8"/>
        <v>18899540.949999999</v>
      </c>
      <c r="Q38" s="100">
        <f t="shared" si="0"/>
        <v>878608523.43000007</v>
      </c>
      <c r="R38" s="127">
        <f>R39+R42+R72+R87</f>
        <v>59257251.979999997</v>
      </c>
      <c r="S38" s="149">
        <f>S39+S42+S72+S87</f>
        <v>939115958.40999997</v>
      </c>
      <c r="T38" s="149">
        <f>T39+T42+T72+T87</f>
        <v>938759927.6099999</v>
      </c>
      <c r="V38" s="3"/>
      <c r="W38" s="3"/>
      <c r="X38" s="3"/>
    </row>
    <row r="39" spans="1:24" s="5" customFormat="1" ht="25.5" outlineLevel="1">
      <c r="A39" s="6" t="s">
        <v>51</v>
      </c>
      <c r="B39" s="18" t="s">
        <v>73</v>
      </c>
      <c r="C39" s="39">
        <f>C40</f>
        <v>52021200</v>
      </c>
      <c r="D39" s="48"/>
      <c r="E39" s="48">
        <f>E40</f>
        <v>52021200</v>
      </c>
      <c r="F39" s="48"/>
      <c r="G39" s="48">
        <f>G40</f>
        <v>52021200</v>
      </c>
      <c r="H39" s="48"/>
      <c r="I39" s="48">
        <f>I40</f>
        <v>52021200</v>
      </c>
      <c r="J39" s="48"/>
      <c r="K39" s="48">
        <f>K40</f>
        <v>52021200</v>
      </c>
      <c r="L39" s="48"/>
      <c r="M39" s="48">
        <f>M40</f>
        <v>52021200</v>
      </c>
      <c r="N39" s="48">
        <f>N40</f>
        <v>0</v>
      </c>
      <c r="O39" s="95">
        <f>O40</f>
        <v>52021200</v>
      </c>
      <c r="P39" s="95">
        <f>P40</f>
        <v>0</v>
      </c>
      <c r="Q39" s="95">
        <f>SUM(Q40:Q41)</f>
        <v>52021200</v>
      </c>
      <c r="R39" s="122">
        <f t="shared" ref="R39:T39" si="9">SUM(R40:R41)</f>
        <v>53004980</v>
      </c>
      <c r="S39" s="122">
        <f t="shared" si="9"/>
        <v>105026180</v>
      </c>
      <c r="T39" s="122">
        <f t="shared" si="9"/>
        <v>105026180</v>
      </c>
      <c r="V39" s="3"/>
      <c r="W39" s="3"/>
      <c r="X39" s="3"/>
    </row>
    <row r="40" spans="1:24" s="20" customFormat="1" ht="25.5" outlineLevel="1">
      <c r="A40" s="10" t="s">
        <v>74</v>
      </c>
      <c r="B40" s="21" t="s">
        <v>80</v>
      </c>
      <c r="C40" s="38">
        <v>52021200</v>
      </c>
      <c r="D40" s="54"/>
      <c r="E40" s="54">
        <v>52021200</v>
      </c>
      <c r="F40" s="54"/>
      <c r="G40" s="54">
        <v>52021200</v>
      </c>
      <c r="H40" s="54"/>
      <c r="I40" s="54">
        <v>52021200</v>
      </c>
      <c r="J40" s="54"/>
      <c r="K40" s="54">
        <v>52021200</v>
      </c>
      <c r="L40" s="54"/>
      <c r="M40" s="54">
        <v>52021200</v>
      </c>
      <c r="N40" s="54"/>
      <c r="O40" s="100">
        <v>52021200</v>
      </c>
      <c r="P40" s="100"/>
      <c r="Q40" s="100">
        <f t="shared" si="0"/>
        <v>52021200</v>
      </c>
      <c r="R40" s="127"/>
      <c r="S40" s="100">
        <f t="shared" si="3"/>
        <v>52021200</v>
      </c>
      <c r="T40" s="100">
        <v>52021200</v>
      </c>
      <c r="U40" s="3"/>
      <c r="V40" s="3"/>
      <c r="W40" s="3"/>
      <c r="X40" s="3"/>
    </row>
    <row r="41" spans="1:24" s="20" customFormat="1" ht="25.5" outlineLevel="1">
      <c r="A41" s="10" t="s">
        <v>156</v>
      </c>
      <c r="B41" s="114" t="s">
        <v>157</v>
      </c>
      <c r="C41" s="38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100"/>
      <c r="P41" s="100"/>
      <c r="Q41" s="100"/>
      <c r="R41" s="127">
        <v>53004980</v>
      </c>
      <c r="S41" s="100">
        <f t="shared" si="3"/>
        <v>53004980</v>
      </c>
      <c r="T41" s="100">
        <v>53004980</v>
      </c>
      <c r="U41" s="3"/>
      <c r="V41" s="3"/>
      <c r="W41" s="3"/>
      <c r="X41" s="3"/>
    </row>
    <row r="42" spans="1:24" s="5" customFormat="1" ht="25.5" outlineLevel="1">
      <c r="A42" s="6" t="s">
        <v>52</v>
      </c>
      <c r="B42" s="18" t="s">
        <v>70</v>
      </c>
      <c r="C42" s="39">
        <f>SUM(C43:C64)</f>
        <v>161048200</v>
      </c>
      <c r="D42" s="48">
        <f>SUM(D43:D64)</f>
        <v>300900</v>
      </c>
      <c r="E42" s="48">
        <f>SUM(E43:E64)</f>
        <v>161349100</v>
      </c>
      <c r="F42" s="48">
        <f>SUM(F43:F64)</f>
        <v>8641232.7200000007</v>
      </c>
      <c r="G42" s="48">
        <f>SUM(G43:G64)</f>
        <v>169990332.72</v>
      </c>
      <c r="H42" s="48">
        <f>SUM(H43:H65)</f>
        <v>13095400</v>
      </c>
      <c r="I42" s="48">
        <f>SUM(I43:I65)</f>
        <v>183085732.72</v>
      </c>
      <c r="J42" s="48">
        <f>SUM(J43:J65)</f>
        <v>16197420.76</v>
      </c>
      <c r="K42" s="48">
        <f>SUM(K43:K65)</f>
        <v>199283153.48000002</v>
      </c>
      <c r="L42" s="48">
        <f>SUM(L43:L67)</f>
        <v>5756557</v>
      </c>
      <c r="M42" s="48">
        <f t="shared" ref="M42:T42" si="10">SUM(M43:M71)</f>
        <v>205039710.48000002</v>
      </c>
      <c r="N42" s="48">
        <f t="shared" si="10"/>
        <v>0</v>
      </c>
      <c r="O42" s="95">
        <f t="shared" si="10"/>
        <v>205039710.48000002</v>
      </c>
      <c r="P42" s="95">
        <f t="shared" si="10"/>
        <v>11042145.689999999</v>
      </c>
      <c r="Q42" s="95">
        <f t="shared" si="10"/>
        <v>216081856.16999999</v>
      </c>
      <c r="R42" s="122">
        <f t="shared" si="10"/>
        <v>1515930.6800000002</v>
      </c>
      <c r="S42" s="122">
        <f t="shared" si="10"/>
        <v>217597786.84999999</v>
      </c>
      <c r="T42" s="122">
        <f t="shared" si="10"/>
        <v>217241756.04999998</v>
      </c>
      <c r="U42" s="147">
        <f>T42-217241756.05</f>
        <v>0</v>
      </c>
      <c r="V42" s="3"/>
      <c r="W42" s="3"/>
      <c r="X42" s="3"/>
    </row>
    <row r="43" spans="1:24" ht="102" outlineLevel="1">
      <c r="A43" s="22" t="s">
        <v>56</v>
      </c>
      <c r="B43" s="23" t="s">
        <v>91</v>
      </c>
      <c r="C43" s="38">
        <v>1767000</v>
      </c>
      <c r="D43" s="54"/>
      <c r="E43" s="54">
        <v>1767000</v>
      </c>
      <c r="F43" s="54"/>
      <c r="G43" s="54">
        <v>1767000</v>
      </c>
      <c r="H43" s="54"/>
      <c r="I43" s="54">
        <v>1767000</v>
      </c>
      <c r="J43" s="54"/>
      <c r="K43" s="54">
        <v>1767000</v>
      </c>
      <c r="L43" s="54"/>
      <c r="M43" s="54">
        <v>1767000</v>
      </c>
      <c r="N43" s="54"/>
      <c r="O43" s="100">
        <f>SUM(M43:N43)</f>
        <v>1767000</v>
      </c>
      <c r="P43" s="100"/>
      <c r="Q43" s="100">
        <f t="shared" si="0"/>
        <v>1767000</v>
      </c>
      <c r="R43" s="127"/>
      <c r="S43" s="100">
        <f t="shared" ref="S43:S109" si="11">R43+Q43</f>
        <v>1767000</v>
      </c>
      <c r="T43" s="100">
        <v>1767000</v>
      </c>
      <c r="U43" s="152">
        <f>T43-S43</f>
        <v>0</v>
      </c>
    </row>
    <row r="44" spans="1:24" ht="40.5" customHeight="1" outlineLevel="1">
      <c r="A44" s="53" t="s">
        <v>116</v>
      </c>
      <c r="B44" s="80" t="s">
        <v>117</v>
      </c>
      <c r="C44" s="38"/>
      <c r="D44" s="54"/>
      <c r="E44" s="54"/>
      <c r="F44" s="54">
        <v>507522.04</v>
      </c>
      <c r="G44" s="54">
        <f t="shared" ref="G44:G57" si="12">F44</f>
        <v>507522.04</v>
      </c>
      <c r="H44" s="54"/>
      <c r="I44" s="54">
        <v>507522.04</v>
      </c>
      <c r="J44" s="54"/>
      <c r="K44" s="54">
        <v>507522.04</v>
      </c>
      <c r="L44" s="54"/>
      <c r="M44" s="54">
        <v>507522.04</v>
      </c>
      <c r="N44" s="54"/>
      <c r="O44" s="100">
        <f t="shared" ref="O44:O71" si="13">SUM(M44:N44)</f>
        <v>507522.04</v>
      </c>
      <c r="P44" s="100"/>
      <c r="Q44" s="100">
        <f t="shared" si="0"/>
        <v>507522.04</v>
      </c>
      <c r="R44" s="127"/>
      <c r="S44" s="100">
        <f t="shared" si="11"/>
        <v>507522.04</v>
      </c>
      <c r="T44" s="100">
        <v>507522.04</v>
      </c>
      <c r="U44" s="152">
        <f t="shared" ref="U44:U48" si="14">T44-S44</f>
        <v>0</v>
      </c>
    </row>
    <row r="45" spans="1:24" ht="38.25" outlineLevel="1">
      <c r="A45" s="76" t="s">
        <v>136</v>
      </c>
      <c r="B45" s="59" t="s">
        <v>137</v>
      </c>
      <c r="C45" s="38"/>
      <c r="D45" s="54"/>
      <c r="E45" s="54"/>
      <c r="F45" s="54"/>
      <c r="G45" s="54"/>
      <c r="H45" s="54"/>
      <c r="I45" s="54"/>
      <c r="J45" s="54">
        <v>15812235.76</v>
      </c>
      <c r="K45" s="54">
        <f>J45</f>
        <v>15812235.76</v>
      </c>
      <c r="L45" s="54"/>
      <c r="M45" s="54">
        <v>15812235.76</v>
      </c>
      <c r="N45" s="54"/>
      <c r="O45" s="100">
        <f t="shared" si="13"/>
        <v>15812235.76</v>
      </c>
      <c r="P45" s="100"/>
      <c r="Q45" s="100">
        <f t="shared" si="0"/>
        <v>15812235.76</v>
      </c>
      <c r="R45" s="127">
        <v>815620</v>
      </c>
      <c r="S45" s="100">
        <f t="shared" si="11"/>
        <v>16627855.76</v>
      </c>
      <c r="T45" s="100">
        <v>16404244.57</v>
      </c>
      <c r="U45" s="152">
        <f t="shared" si="14"/>
        <v>-223611.18999999948</v>
      </c>
    </row>
    <row r="46" spans="1:24" ht="41.25" customHeight="1" outlineLevel="1">
      <c r="A46" s="58" t="s">
        <v>118</v>
      </c>
      <c r="B46" s="59" t="s">
        <v>94</v>
      </c>
      <c r="C46" s="38"/>
      <c r="D46" s="54"/>
      <c r="E46" s="54"/>
      <c r="F46" s="54">
        <v>30178.86</v>
      </c>
      <c r="G46" s="54">
        <f t="shared" si="12"/>
        <v>30178.86</v>
      </c>
      <c r="H46" s="54"/>
      <c r="I46" s="54">
        <v>30178.86</v>
      </c>
      <c r="J46" s="54"/>
      <c r="K46" s="54">
        <v>30178.86</v>
      </c>
      <c r="L46" s="54"/>
      <c r="M46" s="54">
        <v>30178.86</v>
      </c>
      <c r="N46" s="54"/>
      <c r="O46" s="100">
        <f t="shared" si="13"/>
        <v>30178.86</v>
      </c>
      <c r="P46" s="100"/>
      <c r="Q46" s="100">
        <f t="shared" si="0"/>
        <v>30178.86</v>
      </c>
      <c r="R46" s="127"/>
      <c r="S46" s="100">
        <f t="shared" si="11"/>
        <v>30178.86</v>
      </c>
      <c r="T46" s="100">
        <v>30178.86</v>
      </c>
      <c r="U46" s="152">
        <f t="shared" si="14"/>
        <v>0</v>
      </c>
    </row>
    <row r="47" spans="1:24" ht="39" customHeight="1" outlineLevel="1">
      <c r="A47" s="116" t="s">
        <v>159</v>
      </c>
      <c r="B47" s="117" t="s">
        <v>158</v>
      </c>
      <c r="C47" s="38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100"/>
      <c r="P47" s="100"/>
      <c r="Q47" s="100"/>
      <c r="R47" s="127">
        <v>1195335.56</v>
      </c>
      <c r="S47" s="100">
        <f t="shared" si="11"/>
        <v>1195335.56</v>
      </c>
      <c r="T47" s="100">
        <v>1195335.56</v>
      </c>
      <c r="U47" s="152">
        <f t="shared" si="14"/>
        <v>0</v>
      </c>
    </row>
    <row r="48" spans="1:24" ht="51" outlineLevel="1">
      <c r="A48" s="76" t="s">
        <v>119</v>
      </c>
      <c r="B48" s="59" t="s">
        <v>95</v>
      </c>
      <c r="C48" s="38"/>
      <c r="D48" s="54"/>
      <c r="E48" s="54"/>
      <c r="F48" s="54">
        <v>6209187.9400000004</v>
      </c>
      <c r="G48" s="54">
        <f t="shared" si="12"/>
        <v>6209187.9400000004</v>
      </c>
      <c r="H48" s="54"/>
      <c r="I48" s="54">
        <v>6209187.9400000004</v>
      </c>
      <c r="J48" s="54"/>
      <c r="K48" s="54">
        <v>6209187.9400000004</v>
      </c>
      <c r="L48" s="54"/>
      <c r="M48" s="54">
        <v>6209187.9400000004</v>
      </c>
      <c r="N48" s="54"/>
      <c r="O48" s="100">
        <f t="shared" si="13"/>
        <v>6209187.9400000004</v>
      </c>
      <c r="P48" s="100">
        <f>-133061.04-14784.56</f>
        <v>-147845.6</v>
      </c>
      <c r="Q48" s="100">
        <f t="shared" si="0"/>
        <v>6061342.3400000008</v>
      </c>
      <c r="R48" s="127"/>
      <c r="S48" s="100">
        <f t="shared" si="11"/>
        <v>6061342.3400000008</v>
      </c>
      <c r="T48" s="100">
        <v>6013314.54</v>
      </c>
      <c r="U48" s="152">
        <f t="shared" si="14"/>
        <v>-48027.800000000745</v>
      </c>
    </row>
    <row r="49" spans="1:21" ht="38.25" outlineLevel="1">
      <c r="A49" s="84" t="s">
        <v>140</v>
      </c>
      <c r="B49" s="59" t="s">
        <v>142</v>
      </c>
      <c r="C49" s="38"/>
      <c r="D49" s="54"/>
      <c r="E49" s="54"/>
      <c r="F49" s="54"/>
      <c r="G49" s="54"/>
      <c r="H49" s="54"/>
      <c r="I49" s="54"/>
      <c r="J49" s="54"/>
      <c r="K49" s="54"/>
      <c r="L49" s="54">
        <v>1011374</v>
      </c>
      <c r="M49" s="54">
        <f>L49</f>
        <v>1011374</v>
      </c>
      <c r="N49" s="54"/>
      <c r="O49" s="100">
        <f t="shared" si="13"/>
        <v>1011374</v>
      </c>
      <c r="P49" s="100"/>
      <c r="Q49" s="100">
        <f t="shared" si="0"/>
        <v>1011374</v>
      </c>
      <c r="R49" s="127">
        <f>544768.89-Q49</f>
        <v>-466605.11</v>
      </c>
      <c r="S49" s="100">
        <v>544768.89</v>
      </c>
      <c r="T49" s="100">
        <v>544768.81000000006</v>
      </c>
      <c r="U49" s="152">
        <f>T49-S49</f>
        <v>-7.9999999958090484E-2</v>
      </c>
    </row>
    <row r="50" spans="1:21" ht="38.25" outlineLevel="1">
      <c r="A50" s="84" t="s">
        <v>141</v>
      </c>
      <c r="B50" s="81" t="s">
        <v>90</v>
      </c>
      <c r="C50" s="38"/>
      <c r="D50" s="54"/>
      <c r="E50" s="54"/>
      <c r="F50" s="54"/>
      <c r="G50" s="54"/>
      <c r="H50" s="54"/>
      <c r="I50" s="54"/>
      <c r="J50" s="54"/>
      <c r="K50" s="54"/>
      <c r="L50" s="54">
        <v>2731862</v>
      </c>
      <c r="M50" s="54">
        <f>L50</f>
        <v>2731862</v>
      </c>
      <c r="N50" s="54"/>
      <c r="O50" s="100">
        <f t="shared" si="13"/>
        <v>2731862</v>
      </c>
      <c r="P50" s="100"/>
      <c r="Q50" s="100">
        <f t="shared" si="0"/>
        <v>2731862</v>
      </c>
      <c r="R50" s="127">
        <f>2267523.11-Q50</f>
        <v>-464338.89000000013</v>
      </c>
      <c r="S50" s="100">
        <f t="shared" si="11"/>
        <v>2267523.11</v>
      </c>
      <c r="T50" s="100">
        <v>2267523.11</v>
      </c>
      <c r="U50" s="37">
        <f>SUM(T50:T71)-190779391.67</f>
        <v>0</v>
      </c>
    </row>
    <row r="51" spans="1:21" ht="38.25" outlineLevel="1">
      <c r="A51" s="58" t="s">
        <v>120</v>
      </c>
      <c r="B51" s="81" t="s">
        <v>90</v>
      </c>
      <c r="C51" s="38"/>
      <c r="D51" s="54"/>
      <c r="E51" s="54"/>
      <c r="F51" s="54">
        <v>872712</v>
      </c>
      <c r="G51" s="54">
        <f t="shared" si="12"/>
        <v>872712</v>
      </c>
      <c r="H51" s="54"/>
      <c r="I51" s="54">
        <v>872712</v>
      </c>
      <c r="J51" s="54"/>
      <c r="K51" s="54">
        <v>872712</v>
      </c>
      <c r="L51" s="54"/>
      <c r="M51" s="54">
        <v>872712</v>
      </c>
      <c r="N51" s="54"/>
      <c r="O51" s="100">
        <f t="shared" si="13"/>
        <v>872712</v>
      </c>
      <c r="P51" s="100"/>
      <c r="Q51" s="100">
        <f t="shared" si="0"/>
        <v>872712</v>
      </c>
      <c r="R51" s="127"/>
      <c r="S51" s="100">
        <f t="shared" si="11"/>
        <v>872712</v>
      </c>
      <c r="T51" s="100">
        <v>872712</v>
      </c>
      <c r="U51" s="152">
        <f t="shared" ref="U51:U71" si="15">T51-S51</f>
        <v>0</v>
      </c>
    </row>
    <row r="52" spans="1:21" ht="38.25" outlineLevel="1">
      <c r="A52" s="58" t="s">
        <v>121</v>
      </c>
      <c r="B52" s="81" t="s">
        <v>90</v>
      </c>
      <c r="C52" s="38"/>
      <c r="D52" s="54"/>
      <c r="E52" s="54"/>
      <c r="F52" s="54">
        <v>200000</v>
      </c>
      <c r="G52" s="54">
        <f t="shared" si="12"/>
        <v>200000</v>
      </c>
      <c r="H52" s="54"/>
      <c r="I52" s="54">
        <v>200000</v>
      </c>
      <c r="J52" s="54"/>
      <c r="K52" s="54">
        <v>200000</v>
      </c>
      <c r="L52" s="54"/>
      <c r="M52" s="54">
        <v>200000</v>
      </c>
      <c r="N52" s="54"/>
      <c r="O52" s="100">
        <f t="shared" si="13"/>
        <v>200000</v>
      </c>
      <c r="P52" s="100"/>
      <c r="Q52" s="100">
        <f t="shared" si="0"/>
        <v>200000</v>
      </c>
      <c r="R52" s="127"/>
      <c r="S52" s="100">
        <f t="shared" si="11"/>
        <v>200000</v>
      </c>
      <c r="T52" s="100">
        <v>154560.26</v>
      </c>
      <c r="U52" s="152">
        <f t="shared" si="15"/>
        <v>-45439.739999999991</v>
      </c>
    </row>
    <row r="53" spans="1:21" ht="51" outlineLevel="1">
      <c r="A53" s="58" t="s">
        <v>122</v>
      </c>
      <c r="B53" s="81" t="s">
        <v>90</v>
      </c>
      <c r="C53" s="38"/>
      <c r="D53" s="54"/>
      <c r="E53" s="54"/>
      <c r="F53" s="54">
        <v>282000</v>
      </c>
      <c r="G53" s="54">
        <f t="shared" si="12"/>
        <v>282000</v>
      </c>
      <c r="H53" s="54"/>
      <c r="I53" s="54">
        <v>282000</v>
      </c>
      <c r="J53" s="54"/>
      <c r="K53" s="54">
        <v>282000</v>
      </c>
      <c r="L53" s="54"/>
      <c r="M53" s="54">
        <v>282000</v>
      </c>
      <c r="N53" s="54"/>
      <c r="O53" s="100">
        <f t="shared" si="13"/>
        <v>282000</v>
      </c>
      <c r="P53" s="100"/>
      <c r="Q53" s="100">
        <f t="shared" si="0"/>
        <v>282000</v>
      </c>
      <c r="R53" s="127"/>
      <c r="S53" s="100">
        <f t="shared" si="11"/>
        <v>282000</v>
      </c>
      <c r="T53" s="100">
        <v>282000</v>
      </c>
      <c r="U53" s="152">
        <f t="shared" si="15"/>
        <v>0</v>
      </c>
    </row>
    <row r="54" spans="1:21" ht="51" outlineLevel="1">
      <c r="A54" s="83" t="s">
        <v>139</v>
      </c>
      <c r="B54" s="81" t="s">
        <v>90</v>
      </c>
      <c r="C54" s="38"/>
      <c r="D54" s="54"/>
      <c r="E54" s="54"/>
      <c r="F54" s="54"/>
      <c r="G54" s="54"/>
      <c r="H54" s="54"/>
      <c r="I54" s="54"/>
      <c r="J54" s="54">
        <v>210000</v>
      </c>
      <c r="K54" s="54">
        <f>J54</f>
        <v>210000</v>
      </c>
      <c r="L54" s="54"/>
      <c r="M54" s="54">
        <v>210000</v>
      </c>
      <c r="N54" s="54"/>
      <c r="O54" s="100">
        <f t="shared" si="13"/>
        <v>210000</v>
      </c>
      <c r="P54" s="100"/>
      <c r="Q54" s="100">
        <f t="shared" si="0"/>
        <v>210000</v>
      </c>
      <c r="R54" s="127"/>
      <c r="S54" s="100">
        <f t="shared" si="11"/>
        <v>210000</v>
      </c>
      <c r="T54" s="100">
        <v>210000</v>
      </c>
      <c r="U54" s="152">
        <f t="shared" si="15"/>
        <v>0</v>
      </c>
    </row>
    <row r="55" spans="1:21" ht="38.25" outlineLevel="1">
      <c r="A55" s="85" t="s">
        <v>143</v>
      </c>
      <c r="B55" s="81" t="s">
        <v>90</v>
      </c>
      <c r="C55" s="38"/>
      <c r="D55" s="54"/>
      <c r="E55" s="54"/>
      <c r="F55" s="54"/>
      <c r="G55" s="54"/>
      <c r="H55" s="54"/>
      <c r="I55" s="54"/>
      <c r="J55" s="54"/>
      <c r="K55" s="54"/>
      <c r="L55" s="54">
        <v>500000</v>
      </c>
      <c r="M55" s="54">
        <f>L55</f>
        <v>500000</v>
      </c>
      <c r="N55" s="54"/>
      <c r="O55" s="100">
        <f t="shared" si="13"/>
        <v>500000</v>
      </c>
      <c r="P55" s="100"/>
      <c r="Q55" s="100">
        <f t="shared" si="0"/>
        <v>500000</v>
      </c>
      <c r="R55" s="127"/>
      <c r="S55" s="100">
        <f t="shared" si="11"/>
        <v>500000</v>
      </c>
      <c r="T55" s="100">
        <v>500000</v>
      </c>
      <c r="U55" s="152">
        <f t="shared" si="15"/>
        <v>0</v>
      </c>
    </row>
    <row r="56" spans="1:21" ht="38.25" outlineLevel="1">
      <c r="A56" s="76" t="s">
        <v>138</v>
      </c>
      <c r="B56" s="81" t="s">
        <v>90</v>
      </c>
      <c r="C56" s="38"/>
      <c r="D56" s="54"/>
      <c r="E56" s="54"/>
      <c r="F56" s="54"/>
      <c r="G56" s="54"/>
      <c r="H56" s="54"/>
      <c r="I56" s="54"/>
      <c r="J56" s="54">
        <v>175185</v>
      </c>
      <c r="K56" s="54">
        <f>J56</f>
        <v>175185</v>
      </c>
      <c r="L56" s="54"/>
      <c r="M56" s="54">
        <v>175185</v>
      </c>
      <c r="N56" s="54"/>
      <c r="O56" s="100">
        <f t="shared" si="13"/>
        <v>175185</v>
      </c>
      <c r="P56" s="100"/>
      <c r="Q56" s="100">
        <f t="shared" si="0"/>
        <v>175185</v>
      </c>
      <c r="R56" s="127">
        <f>196568-Q56</f>
        <v>21383</v>
      </c>
      <c r="S56" s="100">
        <f t="shared" si="11"/>
        <v>196568</v>
      </c>
      <c r="T56" s="100">
        <v>185876.5</v>
      </c>
      <c r="U56" s="152">
        <f t="shared" si="15"/>
        <v>-10691.5</v>
      </c>
    </row>
    <row r="57" spans="1:21" ht="51" outlineLevel="1">
      <c r="A57" s="76" t="s">
        <v>123</v>
      </c>
      <c r="B57" s="81" t="s">
        <v>90</v>
      </c>
      <c r="C57" s="38"/>
      <c r="D57" s="54"/>
      <c r="E57" s="54"/>
      <c r="F57" s="54">
        <v>539631.88</v>
      </c>
      <c r="G57" s="54">
        <f t="shared" si="12"/>
        <v>539631.88</v>
      </c>
      <c r="H57" s="54"/>
      <c r="I57" s="54">
        <v>539631.88</v>
      </c>
      <c r="J57" s="54"/>
      <c r="K57" s="54">
        <v>539631.88</v>
      </c>
      <c r="L57" s="54"/>
      <c r="M57" s="54">
        <v>539631.88</v>
      </c>
      <c r="N57" s="54"/>
      <c r="O57" s="100">
        <f t="shared" si="13"/>
        <v>539631.88</v>
      </c>
      <c r="P57" s="100">
        <v>-2112.81</v>
      </c>
      <c r="Q57" s="100">
        <f t="shared" si="0"/>
        <v>537519.06999999995</v>
      </c>
      <c r="R57" s="127"/>
      <c r="S57" s="100">
        <f t="shared" si="11"/>
        <v>537519.06999999995</v>
      </c>
      <c r="T57" s="100">
        <v>533513.71</v>
      </c>
      <c r="U57" s="152">
        <f t="shared" si="15"/>
        <v>-4005.359999999986</v>
      </c>
    </row>
    <row r="58" spans="1:21" ht="38.25" outlineLevel="1">
      <c r="A58" s="56" t="s">
        <v>112</v>
      </c>
      <c r="B58" s="23" t="s">
        <v>90</v>
      </c>
      <c r="C58" s="38"/>
      <c r="D58" s="54">
        <v>75900</v>
      </c>
      <c r="E58" s="54">
        <f>D58</f>
        <v>75900</v>
      </c>
      <c r="F58" s="54"/>
      <c r="G58" s="54">
        <v>75900</v>
      </c>
      <c r="H58" s="54"/>
      <c r="I58" s="54">
        <v>75900</v>
      </c>
      <c r="J58" s="54"/>
      <c r="K58" s="54">
        <v>75900</v>
      </c>
      <c r="L58" s="54"/>
      <c r="M58" s="54">
        <v>75900</v>
      </c>
      <c r="N58" s="54"/>
      <c r="O58" s="100">
        <f t="shared" si="13"/>
        <v>75900</v>
      </c>
      <c r="P58" s="100"/>
      <c r="Q58" s="100">
        <f t="shared" si="0"/>
        <v>75900</v>
      </c>
      <c r="R58" s="127"/>
      <c r="S58" s="100">
        <f t="shared" si="11"/>
        <v>75900</v>
      </c>
      <c r="T58" s="100">
        <v>75900</v>
      </c>
      <c r="U58" s="152">
        <f t="shared" si="15"/>
        <v>0</v>
      </c>
    </row>
    <row r="59" spans="1:21" ht="102" outlineLevel="1">
      <c r="A59" s="22" t="s">
        <v>75</v>
      </c>
      <c r="B59" s="23" t="s">
        <v>90</v>
      </c>
      <c r="C59" s="38">
        <v>25600</v>
      </c>
      <c r="D59" s="54"/>
      <c r="E59" s="54">
        <v>25600</v>
      </c>
      <c r="F59" s="54"/>
      <c r="G59" s="54">
        <v>25600</v>
      </c>
      <c r="H59" s="54"/>
      <c r="I59" s="54">
        <v>25600</v>
      </c>
      <c r="J59" s="54"/>
      <c r="K59" s="54">
        <v>25600</v>
      </c>
      <c r="L59" s="54"/>
      <c r="M59" s="54">
        <v>25600</v>
      </c>
      <c r="N59" s="54"/>
      <c r="O59" s="100">
        <f t="shared" si="13"/>
        <v>25600</v>
      </c>
      <c r="P59" s="100"/>
      <c r="Q59" s="100">
        <f t="shared" si="0"/>
        <v>25600</v>
      </c>
      <c r="R59" s="127"/>
      <c r="S59" s="100">
        <f t="shared" si="11"/>
        <v>25600</v>
      </c>
      <c r="T59" s="100">
        <v>25600</v>
      </c>
      <c r="U59" s="152">
        <f t="shared" si="15"/>
        <v>0</v>
      </c>
    </row>
    <row r="60" spans="1:21" s="5" customFormat="1" ht="63.75" outlineLevel="1">
      <c r="A60" s="22" t="s">
        <v>53</v>
      </c>
      <c r="B60" s="23" t="s">
        <v>90</v>
      </c>
      <c r="C60" s="38">
        <v>256000</v>
      </c>
      <c r="D60" s="54"/>
      <c r="E60" s="54">
        <v>256000</v>
      </c>
      <c r="F60" s="54"/>
      <c r="G60" s="54">
        <v>256000</v>
      </c>
      <c r="H60" s="54"/>
      <c r="I60" s="54">
        <v>256000</v>
      </c>
      <c r="J60" s="54"/>
      <c r="K60" s="54">
        <v>256000</v>
      </c>
      <c r="L60" s="54"/>
      <c r="M60" s="54">
        <v>256000</v>
      </c>
      <c r="N60" s="54"/>
      <c r="O60" s="100">
        <f t="shared" si="13"/>
        <v>256000</v>
      </c>
      <c r="P60" s="100"/>
      <c r="Q60" s="100">
        <f t="shared" si="0"/>
        <v>256000</v>
      </c>
      <c r="R60" s="127">
        <v>-56400</v>
      </c>
      <c r="S60" s="100">
        <f t="shared" si="11"/>
        <v>199600</v>
      </c>
      <c r="T60" s="100">
        <v>175344.87</v>
      </c>
      <c r="U60" s="152">
        <f t="shared" si="15"/>
        <v>-24255.130000000005</v>
      </c>
    </row>
    <row r="61" spans="1:21" ht="38.25" outlineLevel="1">
      <c r="A61" s="22" t="s">
        <v>54</v>
      </c>
      <c r="B61" s="23" t="s">
        <v>90</v>
      </c>
      <c r="C61" s="38">
        <v>798600</v>
      </c>
      <c r="D61" s="54">
        <v>225000</v>
      </c>
      <c r="E61" s="54">
        <f>C61+D61</f>
        <v>1023600</v>
      </c>
      <c r="F61" s="54"/>
      <c r="G61" s="54">
        <v>1023600</v>
      </c>
      <c r="H61" s="54"/>
      <c r="I61" s="54">
        <v>1023600</v>
      </c>
      <c r="J61" s="54"/>
      <c r="K61" s="54">
        <v>1023600</v>
      </c>
      <c r="L61" s="54"/>
      <c r="M61" s="54">
        <v>1023600</v>
      </c>
      <c r="N61" s="54"/>
      <c r="O61" s="100">
        <f t="shared" si="13"/>
        <v>1023600</v>
      </c>
      <c r="P61" s="100"/>
      <c r="Q61" s="100">
        <f t="shared" si="0"/>
        <v>1023600</v>
      </c>
      <c r="R61" s="127"/>
      <c r="S61" s="100">
        <f t="shared" si="11"/>
        <v>1023600</v>
      </c>
      <c r="T61" s="100">
        <v>1023600</v>
      </c>
      <c r="U61" s="152">
        <f t="shared" si="15"/>
        <v>0</v>
      </c>
    </row>
    <row r="62" spans="1:21" ht="76.5" outlineLevel="1">
      <c r="A62" s="22" t="s">
        <v>86</v>
      </c>
      <c r="B62" s="23" t="s">
        <v>90</v>
      </c>
      <c r="C62" s="38">
        <v>843600</v>
      </c>
      <c r="D62" s="54"/>
      <c r="E62" s="54">
        <v>843600</v>
      </c>
      <c r="F62" s="54"/>
      <c r="G62" s="54">
        <v>843600</v>
      </c>
      <c r="H62" s="54"/>
      <c r="I62" s="54">
        <v>843600</v>
      </c>
      <c r="J62" s="54"/>
      <c r="K62" s="54">
        <v>843600</v>
      </c>
      <c r="L62" s="54"/>
      <c r="M62" s="54">
        <v>843600</v>
      </c>
      <c r="N62" s="54"/>
      <c r="O62" s="100">
        <f t="shared" si="13"/>
        <v>843600</v>
      </c>
      <c r="P62" s="100"/>
      <c r="Q62" s="100">
        <f t="shared" si="0"/>
        <v>843600</v>
      </c>
      <c r="R62" s="127"/>
      <c r="S62" s="100">
        <f t="shared" si="11"/>
        <v>843600</v>
      </c>
      <c r="T62" s="100">
        <v>843600</v>
      </c>
      <c r="U62" s="152">
        <f t="shared" si="15"/>
        <v>0</v>
      </c>
    </row>
    <row r="63" spans="1:21" ht="63.75" outlineLevel="1">
      <c r="A63" s="22" t="s">
        <v>87</v>
      </c>
      <c r="B63" s="23" t="s">
        <v>90</v>
      </c>
      <c r="C63" s="38">
        <v>15631800</v>
      </c>
      <c r="D63" s="54"/>
      <c r="E63" s="54">
        <v>15631800</v>
      </c>
      <c r="F63" s="54"/>
      <c r="G63" s="54">
        <v>15631800</v>
      </c>
      <c r="H63" s="54"/>
      <c r="I63" s="54">
        <v>15631800</v>
      </c>
      <c r="J63" s="54"/>
      <c r="K63" s="54">
        <v>15631800</v>
      </c>
      <c r="L63" s="54"/>
      <c r="M63" s="54">
        <v>15631800</v>
      </c>
      <c r="N63" s="54"/>
      <c r="O63" s="100">
        <f t="shared" si="13"/>
        <v>15631800</v>
      </c>
      <c r="P63" s="110">
        <f>20385400-O63</f>
        <v>4753600</v>
      </c>
      <c r="Q63" s="100">
        <f t="shared" si="0"/>
        <v>20385400</v>
      </c>
      <c r="R63" s="128"/>
      <c r="S63" s="100">
        <f t="shared" si="11"/>
        <v>20385400</v>
      </c>
      <c r="T63" s="100">
        <v>20385400</v>
      </c>
      <c r="U63" s="152">
        <f t="shared" si="15"/>
        <v>0</v>
      </c>
    </row>
    <row r="64" spans="1:21" ht="25.5" outlineLevel="1">
      <c r="A64" s="22" t="s">
        <v>55</v>
      </c>
      <c r="B64" s="23" t="s">
        <v>90</v>
      </c>
      <c r="C64" s="38">
        <v>141725600</v>
      </c>
      <c r="D64" s="54"/>
      <c r="E64" s="54">
        <v>141725600</v>
      </c>
      <c r="F64" s="54"/>
      <c r="G64" s="54">
        <v>141725600</v>
      </c>
      <c r="H64" s="54"/>
      <c r="I64" s="54">
        <v>141725600</v>
      </c>
      <c r="J64" s="54"/>
      <c r="K64" s="54">
        <v>141725600</v>
      </c>
      <c r="L64" s="54"/>
      <c r="M64" s="54">
        <v>141725600</v>
      </c>
      <c r="N64" s="54"/>
      <c r="O64" s="100">
        <f t="shared" si="13"/>
        <v>141725600</v>
      </c>
      <c r="P64" s="100"/>
      <c r="Q64" s="100">
        <f t="shared" si="0"/>
        <v>141725600</v>
      </c>
      <c r="R64" s="127"/>
      <c r="S64" s="100">
        <f t="shared" si="11"/>
        <v>141725600</v>
      </c>
      <c r="T64" s="100">
        <v>141725600</v>
      </c>
      <c r="U64" s="152">
        <f t="shared" si="15"/>
        <v>0</v>
      </c>
    </row>
    <row r="65" spans="1:21" ht="25.5" outlineLevel="1">
      <c r="A65" s="56" t="s">
        <v>133</v>
      </c>
      <c r="B65" s="23" t="s">
        <v>90</v>
      </c>
      <c r="C65" s="38"/>
      <c r="D65" s="54"/>
      <c r="E65" s="54"/>
      <c r="F65" s="54"/>
      <c r="G65" s="54"/>
      <c r="H65" s="54">
        <v>13095400</v>
      </c>
      <c r="I65" s="54">
        <f>H65</f>
        <v>13095400</v>
      </c>
      <c r="J65" s="54"/>
      <c r="K65" s="54">
        <f>I65</f>
        <v>13095400</v>
      </c>
      <c r="L65" s="54"/>
      <c r="M65" s="54">
        <f>K65</f>
        <v>13095400</v>
      </c>
      <c r="N65" s="54">
        <v>0</v>
      </c>
      <c r="O65" s="100">
        <f t="shared" si="13"/>
        <v>13095400</v>
      </c>
      <c r="P65" s="100">
        <v>843300</v>
      </c>
      <c r="Q65" s="100">
        <f t="shared" si="0"/>
        <v>13938700</v>
      </c>
      <c r="R65" s="127"/>
      <c r="S65" s="100">
        <f t="shared" si="11"/>
        <v>13938700</v>
      </c>
      <c r="T65" s="100">
        <v>13938700</v>
      </c>
      <c r="U65" s="152">
        <f t="shared" si="15"/>
        <v>0</v>
      </c>
    </row>
    <row r="66" spans="1:21" ht="29.25" customHeight="1" outlineLevel="1">
      <c r="A66" s="56" t="s">
        <v>144</v>
      </c>
      <c r="B66" s="23" t="s">
        <v>90</v>
      </c>
      <c r="C66" s="38"/>
      <c r="D66" s="54"/>
      <c r="E66" s="54"/>
      <c r="F66" s="54"/>
      <c r="G66" s="54"/>
      <c r="H66" s="54"/>
      <c r="I66" s="54"/>
      <c r="J66" s="54"/>
      <c r="K66" s="54"/>
      <c r="L66" s="54">
        <v>167000</v>
      </c>
      <c r="M66" s="54">
        <f>L66</f>
        <v>167000</v>
      </c>
      <c r="N66" s="54"/>
      <c r="O66" s="100">
        <f t="shared" si="13"/>
        <v>167000</v>
      </c>
      <c r="P66" s="100"/>
      <c r="Q66" s="100">
        <f t="shared" si="0"/>
        <v>167000</v>
      </c>
      <c r="R66" s="127"/>
      <c r="S66" s="100">
        <f t="shared" si="11"/>
        <v>167000</v>
      </c>
      <c r="T66" s="100">
        <v>167000</v>
      </c>
      <c r="U66" s="152">
        <f t="shared" si="15"/>
        <v>0</v>
      </c>
    </row>
    <row r="67" spans="1:21" ht="38.25" outlineLevel="1">
      <c r="A67" s="56" t="s">
        <v>145</v>
      </c>
      <c r="B67" s="23" t="s">
        <v>90</v>
      </c>
      <c r="C67" s="38"/>
      <c r="D67" s="54"/>
      <c r="E67" s="54"/>
      <c r="F67" s="54"/>
      <c r="G67" s="54"/>
      <c r="H67" s="54"/>
      <c r="I67" s="54"/>
      <c r="J67" s="54"/>
      <c r="K67" s="54"/>
      <c r="L67" s="54">
        <v>1346321</v>
      </c>
      <c r="M67" s="54">
        <f>L67</f>
        <v>1346321</v>
      </c>
      <c r="N67" s="54"/>
      <c r="O67" s="100">
        <f t="shared" si="13"/>
        <v>1346321</v>
      </c>
      <c r="P67" s="100"/>
      <c r="Q67" s="100">
        <f t="shared" si="0"/>
        <v>1346321</v>
      </c>
      <c r="R67" s="127"/>
      <c r="S67" s="100">
        <f t="shared" si="11"/>
        <v>1346321</v>
      </c>
      <c r="T67" s="100">
        <v>1346321</v>
      </c>
      <c r="U67" s="152">
        <f t="shared" si="15"/>
        <v>0</v>
      </c>
    </row>
    <row r="68" spans="1:21" ht="25.5" outlineLevel="1">
      <c r="A68" s="119" t="s">
        <v>160</v>
      </c>
      <c r="B68" s="118" t="s">
        <v>90</v>
      </c>
      <c r="C68" s="38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100"/>
      <c r="P68" s="100"/>
      <c r="Q68" s="100"/>
      <c r="R68" s="127">
        <v>470936.12</v>
      </c>
      <c r="S68" s="100">
        <f t="shared" si="11"/>
        <v>470936.12</v>
      </c>
      <c r="T68" s="100">
        <v>470936.12</v>
      </c>
      <c r="U68" s="152">
        <f t="shared" si="15"/>
        <v>0</v>
      </c>
    </row>
    <row r="69" spans="1:21" ht="38.25" outlineLevel="1">
      <c r="A69" s="56" t="s">
        <v>151</v>
      </c>
      <c r="B69" s="23" t="s">
        <v>90</v>
      </c>
      <c r="C69" s="38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100">
        <f t="shared" si="13"/>
        <v>0</v>
      </c>
      <c r="P69" s="100">
        <v>600000</v>
      </c>
      <c r="Q69" s="100">
        <f t="shared" si="0"/>
        <v>600000</v>
      </c>
      <c r="R69" s="127"/>
      <c r="S69" s="100">
        <f t="shared" si="11"/>
        <v>600000</v>
      </c>
      <c r="T69" s="100">
        <v>600000</v>
      </c>
      <c r="U69" s="152">
        <f t="shared" si="15"/>
        <v>0</v>
      </c>
    </row>
    <row r="70" spans="1:21" ht="38.25" outlineLevel="1">
      <c r="A70" s="56" t="s">
        <v>153</v>
      </c>
      <c r="B70" s="23" t="s">
        <v>90</v>
      </c>
      <c r="C70" s="38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100"/>
      <c r="P70" s="111">
        <v>2000000</v>
      </c>
      <c r="Q70" s="100">
        <f t="shared" si="0"/>
        <v>2000000</v>
      </c>
      <c r="R70" s="128"/>
      <c r="S70" s="100">
        <f t="shared" si="11"/>
        <v>2000000</v>
      </c>
      <c r="T70" s="100">
        <v>2000000</v>
      </c>
      <c r="U70" s="152">
        <f t="shared" si="15"/>
        <v>0</v>
      </c>
    </row>
    <row r="71" spans="1:21" ht="25.5" outlineLevel="1">
      <c r="A71" s="85" t="s">
        <v>146</v>
      </c>
      <c r="B71" s="23" t="s">
        <v>90</v>
      </c>
      <c r="C71" s="38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>
        <v>0</v>
      </c>
      <c r="O71" s="100">
        <f t="shared" si="13"/>
        <v>0</v>
      </c>
      <c r="P71" s="111">
        <v>2995204.1</v>
      </c>
      <c r="Q71" s="100">
        <f t="shared" si="0"/>
        <v>2995204.1</v>
      </c>
      <c r="R71" s="128"/>
      <c r="S71" s="100">
        <f t="shared" si="11"/>
        <v>2995204.1</v>
      </c>
      <c r="T71" s="100">
        <v>2995204.1</v>
      </c>
      <c r="U71" s="152">
        <f t="shared" si="15"/>
        <v>0</v>
      </c>
    </row>
    <row r="72" spans="1:21" s="25" customFormat="1" ht="25.5" outlineLevel="1">
      <c r="A72" s="24" t="s">
        <v>57</v>
      </c>
      <c r="B72" s="18" t="s">
        <v>69</v>
      </c>
      <c r="C72" s="39">
        <f t="shared" ref="C72:L72" si="16">SUM(C73:C86)</f>
        <v>541336200</v>
      </c>
      <c r="D72" s="48">
        <f t="shared" si="16"/>
        <v>91.88</v>
      </c>
      <c r="E72" s="48">
        <f t="shared" si="16"/>
        <v>541336291.88</v>
      </c>
      <c r="F72" s="48">
        <f t="shared" si="16"/>
        <v>0</v>
      </c>
      <c r="G72" s="48">
        <f t="shared" si="16"/>
        <v>541336291.88</v>
      </c>
      <c r="H72" s="48">
        <f t="shared" si="16"/>
        <v>10737200</v>
      </c>
      <c r="I72" s="48">
        <f t="shared" si="16"/>
        <v>552073491.88</v>
      </c>
      <c r="J72" s="48">
        <f t="shared" si="16"/>
        <v>0</v>
      </c>
      <c r="K72" s="48">
        <f t="shared" si="16"/>
        <v>552073491.88</v>
      </c>
      <c r="L72" s="48">
        <f t="shared" si="16"/>
        <v>0</v>
      </c>
      <c r="M72" s="48">
        <f>SUM(M73:M86)</f>
        <v>552073491.88</v>
      </c>
      <c r="N72" s="48">
        <f t="shared" ref="N72" si="17">SUM(N73:N86)</f>
        <v>0</v>
      </c>
      <c r="O72" s="95">
        <f>SUM(O73:O86)</f>
        <v>552073491.88</v>
      </c>
      <c r="P72" s="95">
        <f t="shared" ref="P72" si="18">SUM(P73:P86)</f>
        <v>5417668.1200000001</v>
      </c>
      <c r="Q72" s="95">
        <f t="shared" si="0"/>
        <v>557491160</v>
      </c>
      <c r="R72" s="122">
        <f t="shared" ref="R72:T72" si="19">SUM(R73:R86)</f>
        <v>0</v>
      </c>
      <c r="S72" s="122">
        <f t="shared" si="19"/>
        <v>558739060</v>
      </c>
      <c r="T72" s="122">
        <f t="shared" si="19"/>
        <v>558739060</v>
      </c>
      <c r="U72" s="150">
        <f>558739060-S72</f>
        <v>0</v>
      </c>
    </row>
    <row r="73" spans="1:21" s="29" customFormat="1" ht="51" outlineLevel="1">
      <c r="A73" s="27" t="s">
        <v>79</v>
      </c>
      <c r="B73" s="28" t="s">
        <v>71</v>
      </c>
      <c r="C73" s="38">
        <v>5724500</v>
      </c>
      <c r="D73" s="54"/>
      <c r="E73" s="54">
        <v>5724500</v>
      </c>
      <c r="F73" s="54"/>
      <c r="G73" s="54">
        <v>5724500</v>
      </c>
      <c r="H73" s="54"/>
      <c r="I73" s="54">
        <v>5724500</v>
      </c>
      <c r="J73" s="54"/>
      <c r="K73" s="54">
        <v>5724500</v>
      </c>
      <c r="L73" s="54"/>
      <c r="M73" s="54">
        <v>5724500</v>
      </c>
      <c r="N73" s="54"/>
      <c r="O73" s="100">
        <f>SUM(M73:N73)</f>
        <v>5724500</v>
      </c>
      <c r="P73" s="100"/>
      <c r="Q73" s="100">
        <f t="shared" si="0"/>
        <v>5724500</v>
      </c>
      <c r="R73" s="127"/>
      <c r="S73" s="100">
        <f t="shared" si="11"/>
        <v>5724500</v>
      </c>
      <c r="T73" s="100">
        <v>5724500</v>
      </c>
      <c r="U73" s="151">
        <f>SUM(S73:S80)</f>
        <v>16692600</v>
      </c>
    </row>
    <row r="74" spans="1:21" s="29" customFormat="1" ht="38.25" outlineLevel="1">
      <c r="A74" s="30" t="s">
        <v>77</v>
      </c>
      <c r="B74" s="28" t="s">
        <v>71</v>
      </c>
      <c r="C74" s="38">
        <v>3246700</v>
      </c>
      <c r="D74" s="54"/>
      <c r="E74" s="54">
        <v>3246700</v>
      </c>
      <c r="F74" s="54"/>
      <c r="G74" s="54">
        <v>3246700</v>
      </c>
      <c r="H74" s="54"/>
      <c r="I74" s="54">
        <v>3246700</v>
      </c>
      <c r="J74" s="54"/>
      <c r="K74" s="54">
        <v>3246700</v>
      </c>
      <c r="L74" s="54"/>
      <c r="M74" s="54">
        <v>3246700</v>
      </c>
      <c r="N74" s="54"/>
      <c r="O74" s="100">
        <f t="shared" ref="O74:O86" si="20">SUM(M74:N74)</f>
        <v>3246700</v>
      </c>
      <c r="P74" s="100"/>
      <c r="Q74" s="100">
        <f t="shared" si="0"/>
        <v>3246700</v>
      </c>
      <c r="R74" s="127"/>
      <c r="S74" s="100">
        <f t="shared" si="11"/>
        <v>3246700</v>
      </c>
      <c r="T74" s="100">
        <v>3246700</v>
      </c>
      <c r="U74" s="152">
        <f t="shared" ref="U74:U101" si="21">T74-S74</f>
        <v>0</v>
      </c>
    </row>
    <row r="75" spans="1:21" ht="38.25" outlineLevel="1">
      <c r="A75" s="22" t="s">
        <v>59</v>
      </c>
      <c r="B75" s="28" t="s">
        <v>71</v>
      </c>
      <c r="C75" s="38">
        <v>999000</v>
      </c>
      <c r="D75" s="54"/>
      <c r="E75" s="54">
        <v>999000</v>
      </c>
      <c r="F75" s="54"/>
      <c r="G75" s="54">
        <v>999000</v>
      </c>
      <c r="H75" s="54"/>
      <c r="I75" s="54">
        <v>999000</v>
      </c>
      <c r="J75" s="54"/>
      <c r="K75" s="54">
        <v>999000</v>
      </c>
      <c r="L75" s="54"/>
      <c r="M75" s="54">
        <v>999000</v>
      </c>
      <c r="N75" s="54"/>
      <c r="O75" s="100">
        <f t="shared" si="20"/>
        <v>999000</v>
      </c>
      <c r="P75" s="100"/>
      <c r="Q75" s="100">
        <f t="shared" si="0"/>
        <v>999000</v>
      </c>
      <c r="R75" s="127"/>
      <c r="S75" s="100">
        <f t="shared" si="11"/>
        <v>999000</v>
      </c>
      <c r="T75" s="100">
        <v>999000</v>
      </c>
      <c r="U75" s="152">
        <f t="shared" si="21"/>
        <v>0</v>
      </c>
    </row>
    <row r="76" spans="1:21" ht="25.5" outlineLevel="1">
      <c r="A76" s="22" t="s">
        <v>60</v>
      </c>
      <c r="B76" s="28" t="s">
        <v>71</v>
      </c>
      <c r="C76" s="38">
        <v>249700</v>
      </c>
      <c r="D76" s="54"/>
      <c r="E76" s="54">
        <v>249700</v>
      </c>
      <c r="F76" s="54"/>
      <c r="G76" s="54">
        <v>249700</v>
      </c>
      <c r="H76" s="54"/>
      <c r="I76" s="54">
        <v>249700</v>
      </c>
      <c r="J76" s="54"/>
      <c r="K76" s="54">
        <v>249700</v>
      </c>
      <c r="L76" s="54"/>
      <c r="M76" s="54">
        <v>249700</v>
      </c>
      <c r="N76" s="54"/>
      <c r="O76" s="100">
        <f t="shared" si="20"/>
        <v>249700</v>
      </c>
      <c r="P76" s="100"/>
      <c r="Q76" s="100">
        <f t="shared" si="0"/>
        <v>249700</v>
      </c>
      <c r="R76" s="127"/>
      <c r="S76" s="100">
        <f t="shared" si="11"/>
        <v>249700</v>
      </c>
      <c r="T76" s="100">
        <v>249700</v>
      </c>
      <c r="U76" s="152">
        <f t="shared" si="21"/>
        <v>0</v>
      </c>
    </row>
    <row r="77" spans="1:21" ht="38.25" outlineLevel="1">
      <c r="A77" s="22" t="s">
        <v>61</v>
      </c>
      <c r="B77" s="28" t="s">
        <v>71</v>
      </c>
      <c r="C77" s="38">
        <v>1012500</v>
      </c>
      <c r="D77" s="54"/>
      <c r="E77" s="54">
        <v>1012500</v>
      </c>
      <c r="F77" s="54"/>
      <c r="G77" s="54">
        <v>1012500</v>
      </c>
      <c r="H77" s="54"/>
      <c r="I77" s="54">
        <v>1012500</v>
      </c>
      <c r="J77" s="54"/>
      <c r="K77" s="54">
        <v>1012500</v>
      </c>
      <c r="L77" s="54"/>
      <c r="M77" s="54">
        <v>1012500</v>
      </c>
      <c r="N77" s="54"/>
      <c r="O77" s="100">
        <f t="shared" si="20"/>
        <v>1012500</v>
      </c>
      <c r="P77" s="100"/>
      <c r="Q77" s="100">
        <f t="shared" si="0"/>
        <v>1012500</v>
      </c>
      <c r="R77" s="127"/>
      <c r="S77" s="100">
        <f t="shared" si="11"/>
        <v>1012500</v>
      </c>
      <c r="T77" s="100">
        <v>1012500</v>
      </c>
      <c r="U77" s="152">
        <f t="shared" si="21"/>
        <v>0</v>
      </c>
    </row>
    <row r="78" spans="1:21" ht="63.75" outlineLevel="1">
      <c r="A78" s="22" t="s">
        <v>62</v>
      </c>
      <c r="B78" s="28" t="s">
        <v>71</v>
      </c>
      <c r="C78" s="38">
        <v>10000</v>
      </c>
      <c r="D78" s="54"/>
      <c r="E78" s="54">
        <v>10000</v>
      </c>
      <c r="F78" s="54"/>
      <c r="G78" s="54">
        <v>10000</v>
      </c>
      <c r="H78" s="54"/>
      <c r="I78" s="54">
        <v>10000</v>
      </c>
      <c r="J78" s="54"/>
      <c r="K78" s="54">
        <v>10000</v>
      </c>
      <c r="L78" s="54"/>
      <c r="M78" s="54">
        <v>10000</v>
      </c>
      <c r="N78" s="54"/>
      <c r="O78" s="100">
        <f t="shared" si="20"/>
        <v>10000</v>
      </c>
      <c r="P78" s="100"/>
      <c r="Q78" s="100">
        <f t="shared" si="0"/>
        <v>10000</v>
      </c>
      <c r="R78" s="127"/>
      <c r="S78" s="100">
        <f t="shared" si="11"/>
        <v>10000</v>
      </c>
      <c r="T78" s="100">
        <v>10000</v>
      </c>
      <c r="U78" s="152">
        <f t="shared" si="21"/>
        <v>0</v>
      </c>
    </row>
    <row r="79" spans="1:21" ht="25.5" outlineLevel="1">
      <c r="A79" s="22" t="s">
        <v>63</v>
      </c>
      <c r="B79" s="28" t="s">
        <v>71</v>
      </c>
      <c r="C79" s="38">
        <v>25000</v>
      </c>
      <c r="D79" s="54"/>
      <c r="E79" s="54">
        <v>25000</v>
      </c>
      <c r="F79" s="54"/>
      <c r="G79" s="54">
        <v>25000</v>
      </c>
      <c r="H79" s="54"/>
      <c r="I79" s="54">
        <v>25000</v>
      </c>
      <c r="J79" s="54"/>
      <c r="K79" s="54">
        <v>25000</v>
      </c>
      <c r="L79" s="54"/>
      <c r="M79" s="54">
        <v>25000</v>
      </c>
      <c r="N79" s="54"/>
      <c r="O79" s="100">
        <f t="shared" si="20"/>
        <v>25000</v>
      </c>
      <c r="P79" s="100"/>
      <c r="Q79" s="100">
        <f t="shared" si="0"/>
        <v>25000</v>
      </c>
      <c r="R79" s="127"/>
      <c r="S79" s="100">
        <f t="shared" si="11"/>
        <v>25000</v>
      </c>
      <c r="T79" s="100">
        <v>25000</v>
      </c>
      <c r="U79" s="152">
        <f t="shared" si="21"/>
        <v>0</v>
      </c>
    </row>
    <row r="80" spans="1:21" ht="63.75" outlineLevel="1">
      <c r="A80" s="69" t="s">
        <v>110</v>
      </c>
      <c r="B80" s="28" t="s">
        <v>71</v>
      </c>
      <c r="C80" s="38">
        <v>6586100</v>
      </c>
      <c r="D80" s="54">
        <v>38</v>
      </c>
      <c r="E80" s="54">
        <f>C80+D80</f>
        <v>6586138</v>
      </c>
      <c r="F80" s="54"/>
      <c r="G80" s="54">
        <v>6586138</v>
      </c>
      <c r="H80" s="54"/>
      <c r="I80" s="54">
        <v>6586138</v>
      </c>
      <c r="J80" s="54"/>
      <c r="K80" s="54">
        <v>6586138</v>
      </c>
      <c r="L80" s="54"/>
      <c r="M80" s="54">
        <v>6586138</v>
      </c>
      <c r="N80" s="54">
        <v>0</v>
      </c>
      <c r="O80" s="100">
        <f>SUM(M80:N80)</f>
        <v>6586138</v>
      </c>
      <c r="P80" s="100">
        <f>-755498-405440</f>
        <v>-1160938</v>
      </c>
      <c r="Q80" s="100">
        <f t="shared" si="0"/>
        <v>5425200</v>
      </c>
      <c r="R80" s="127"/>
      <c r="S80" s="100">
        <f t="shared" si="11"/>
        <v>5425200</v>
      </c>
      <c r="T80" s="100">
        <v>5425200</v>
      </c>
      <c r="U80" s="152">
        <f t="shared" si="21"/>
        <v>0</v>
      </c>
    </row>
    <row r="81" spans="1:21" ht="51" outlineLevel="1">
      <c r="A81" s="22" t="s">
        <v>76</v>
      </c>
      <c r="B81" s="31" t="s">
        <v>72</v>
      </c>
      <c r="C81" s="38">
        <v>9352700</v>
      </c>
      <c r="D81" s="54"/>
      <c r="E81" s="54">
        <v>9352700</v>
      </c>
      <c r="F81" s="54"/>
      <c r="G81" s="54">
        <v>9352700</v>
      </c>
      <c r="H81" s="54"/>
      <c r="I81" s="54">
        <v>9352700</v>
      </c>
      <c r="J81" s="54"/>
      <c r="K81" s="54">
        <v>9352700</v>
      </c>
      <c r="L81" s="54"/>
      <c r="M81" s="54">
        <v>9352700</v>
      </c>
      <c r="N81" s="54"/>
      <c r="O81" s="100">
        <f t="shared" si="20"/>
        <v>9352700</v>
      </c>
      <c r="P81" s="100">
        <v>8700</v>
      </c>
      <c r="Q81" s="100">
        <f t="shared" si="0"/>
        <v>9361400</v>
      </c>
      <c r="R81" s="127"/>
      <c r="S81" s="100">
        <v>10609300</v>
      </c>
      <c r="T81" s="100">
        <v>10609300</v>
      </c>
      <c r="U81" s="152">
        <f t="shared" si="21"/>
        <v>0</v>
      </c>
    </row>
    <row r="82" spans="1:21" ht="114.75" outlineLevel="1">
      <c r="A82" s="22" t="s">
        <v>88</v>
      </c>
      <c r="B82" s="31" t="s">
        <v>83</v>
      </c>
      <c r="C82" s="38">
        <v>3328900</v>
      </c>
      <c r="D82" s="54">
        <v>11.6</v>
      </c>
      <c r="E82" s="54">
        <f>C82+D82</f>
        <v>3328911.6</v>
      </c>
      <c r="F82" s="54"/>
      <c r="G82" s="54">
        <v>3328911.6</v>
      </c>
      <c r="H82" s="54"/>
      <c r="I82" s="54">
        <v>3328911.6</v>
      </c>
      <c r="J82" s="54"/>
      <c r="K82" s="54">
        <v>3328911.6</v>
      </c>
      <c r="L82" s="54"/>
      <c r="M82" s="54">
        <v>3328911.6</v>
      </c>
      <c r="N82" s="54"/>
      <c r="O82" s="100">
        <f t="shared" si="20"/>
        <v>3328911.6</v>
      </c>
      <c r="P82" s="100">
        <f>1073525.51+119280.61</f>
        <v>1192806.1200000001</v>
      </c>
      <c r="Q82" s="100">
        <f t="shared" ref="Q82:Q111" si="22">P82+O82</f>
        <v>4521717.7200000007</v>
      </c>
      <c r="R82" s="127"/>
      <c r="S82" s="100">
        <f t="shared" si="11"/>
        <v>4521717.7200000007</v>
      </c>
      <c r="T82" s="100">
        <v>4521717.7200000007</v>
      </c>
      <c r="U82" s="152">
        <f t="shared" si="21"/>
        <v>0</v>
      </c>
    </row>
    <row r="83" spans="1:21" ht="38.25" outlineLevel="1">
      <c r="A83" s="22" t="s">
        <v>58</v>
      </c>
      <c r="B83" s="26" t="s">
        <v>68</v>
      </c>
      <c r="C83" s="38">
        <v>2180400</v>
      </c>
      <c r="D83" s="54"/>
      <c r="E83" s="54">
        <v>2180400</v>
      </c>
      <c r="F83" s="54"/>
      <c r="G83" s="54">
        <v>2180400</v>
      </c>
      <c r="H83" s="54"/>
      <c r="I83" s="54">
        <v>2180400</v>
      </c>
      <c r="J83" s="54"/>
      <c r="K83" s="54">
        <v>2180400</v>
      </c>
      <c r="L83" s="54"/>
      <c r="M83" s="54">
        <v>2180400</v>
      </c>
      <c r="N83" s="54"/>
      <c r="O83" s="100">
        <f t="shared" si="20"/>
        <v>2180400</v>
      </c>
      <c r="P83" s="110">
        <f>2615700-O83</f>
        <v>435300</v>
      </c>
      <c r="Q83" s="100">
        <f t="shared" si="22"/>
        <v>2615700</v>
      </c>
      <c r="R83" s="128"/>
      <c r="S83" s="100">
        <f t="shared" si="11"/>
        <v>2615700</v>
      </c>
      <c r="T83" s="100">
        <v>2615700</v>
      </c>
      <c r="U83" s="152">
        <f t="shared" si="21"/>
        <v>0</v>
      </c>
    </row>
    <row r="84" spans="1:21" s="25" customFormat="1" ht="63.75" outlineLevel="1">
      <c r="A84" s="53" t="s">
        <v>109</v>
      </c>
      <c r="B84" s="28" t="s">
        <v>108</v>
      </c>
      <c r="C84" s="38">
        <v>140600</v>
      </c>
      <c r="D84" s="54"/>
      <c r="E84" s="54">
        <v>140600</v>
      </c>
      <c r="F84" s="54"/>
      <c r="G84" s="54">
        <v>140600</v>
      </c>
      <c r="H84" s="54"/>
      <c r="I84" s="54">
        <v>140600</v>
      </c>
      <c r="J84" s="54"/>
      <c r="K84" s="54">
        <v>140600</v>
      </c>
      <c r="L84" s="54"/>
      <c r="M84" s="54">
        <v>140600</v>
      </c>
      <c r="N84" s="54"/>
      <c r="O84" s="100">
        <f t="shared" si="20"/>
        <v>140600</v>
      </c>
      <c r="P84" s="100"/>
      <c r="Q84" s="100">
        <f t="shared" si="22"/>
        <v>140600</v>
      </c>
      <c r="R84" s="127"/>
      <c r="S84" s="100">
        <f t="shared" si="11"/>
        <v>140600</v>
      </c>
      <c r="T84" s="100">
        <v>140600</v>
      </c>
      <c r="U84" s="152">
        <f t="shared" si="21"/>
        <v>0</v>
      </c>
    </row>
    <row r="85" spans="1:21" ht="76.5" outlineLevel="1">
      <c r="A85" s="22" t="s">
        <v>64</v>
      </c>
      <c r="B85" s="31" t="s">
        <v>82</v>
      </c>
      <c r="C85" s="38">
        <v>2635400</v>
      </c>
      <c r="D85" s="54">
        <v>42.28</v>
      </c>
      <c r="E85" s="54">
        <f>C85+D85</f>
        <v>2635442.2799999998</v>
      </c>
      <c r="F85" s="54"/>
      <c r="G85" s="54">
        <v>2635442.2799999998</v>
      </c>
      <c r="H85" s="54"/>
      <c r="I85" s="54">
        <v>2635442.2799999998</v>
      </c>
      <c r="J85" s="54"/>
      <c r="K85" s="54">
        <v>2635442.2799999998</v>
      </c>
      <c r="L85" s="54"/>
      <c r="M85" s="54">
        <v>2635442.2799999998</v>
      </c>
      <c r="N85" s="54"/>
      <c r="O85" s="100">
        <f t="shared" si="20"/>
        <v>2635442.2799999998</v>
      </c>
      <c r="P85" s="100"/>
      <c r="Q85" s="100">
        <f t="shared" si="22"/>
        <v>2635442.2799999998</v>
      </c>
      <c r="R85" s="127"/>
      <c r="S85" s="100">
        <f t="shared" si="11"/>
        <v>2635442.2799999998</v>
      </c>
      <c r="T85" s="100">
        <v>2635442.2799999998</v>
      </c>
      <c r="U85" s="152">
        <f t="shared" si="21"/>
        <v>0</v>
      </c>
    </row>
    <row r="86" spans="1:21" outlineLevel="1">
      <c r="A86" s="32" t="s">
        <v>78</v>
      </c>
      <c r="B86" s="31" t="s">
        <v>82</v>
      </c>
      <c r="C86" s="38">
        <v>505844700</v>
      </c>
      <c r="D86" s="54"/>
      <c r="E86" s="54">
        <v>505844700</v>
      </c>
      <c r="F86" s="54"/>
      <c r="G86" s="54">
        <v>505844700</v>
      </c>
      <c r="H86" s="54">
        <v>10737200</v>
      </c>
      <c r="I86" s="54">
        <f>505844700+H86</f>
        <v>516581900</v>
      </c>
      <c r="J86" s="54"/>
      <c r="K86" s="54">
        <f>I86</f>
        <v>516581900</v>
      </c>
      <c r="L86" s="54"/>
      <c r="M86" s="54">
        <f>K86</f>
        <v>516581900</v>
      </c>
      <c r="N86" s="54">
        <v>0</v>
      </c>
      <c r="O86" s="100">
        <f t="shared" si="20"/>
        <v>516581900</v>
      </c>
      <c r="P86" s="100">
        <v>4941800</v>
      </c>
      <c r="Q86" s="100">
        <f t="shared" si="22"/>
        <v>521523700</v>
      </c>
      <c r="R86" s="127"/>
      <c r="S86" s="100">
        <f t="shared" si="11"/>
        <v>521523700</v>
      </c>
      <c r="T86" s="100">
        <v>521523700</v>
      </c>
      <c r="U86" s="152">
        <f t="shared" si="21"/>
        <v>0</v>
      </c>
    </row>
    <row r="87" spans="1:21" s="29" customFormat="1" ht="25.5" outlineLevel="1">
      <c r="A87" s="6" t="s">
        <v>65</v>
      </c>
      <c r="B87" s="33" t="s">
        <v>84</v>
      </c>
      <c r="C87" s="44">
        <f>SUM(C91:C100)</f>
        <v>47972800</v>
      </c>
      <c r="D87" s="57">
        <f>SUM(D89:D92)</f>
        <v>55467.12</v>
      </c>
      <c r="E87" s="57">
        <f>SUM(E88:E92)</f>
        <v>48028267.119999997</v>
      </c>
      <c r="F87" s="57">
        <f>SUM(F88:F92)</f>
        <v>47300</v>
      </c>
      <c r="G87" s="57">
        <f>SUM(G88:G92)</f>
        <v>48075567.119999997</v>
      </c>
      <c r="H87" s="57">
        <f>SUM(H88:H95)</f>
        <v>2497096</v>
      </c>
      <c r="I87" s="57">
        <f>SUM(I88:I95)</f>
        <v>50572663.119999997</v>
      </c>
      <c r="J87" s="57">
        <f>SUM(J88:J95)</f>
        <v>1917</v>
      </c>
      <c r="K87" s="57">
        <f>SUM(K88:K95)</f>
        <v>50574580.119999997</v>
      </c>
      <c r="L87" s="57">
        <f>SUM(L88:L95)</f>
        <v>0</v>
      </c>
      <c r="M87" s="57">
        <f>SUM(M88:M99)</f>
        <v>50574580.119999997</v>
      </c>
      <c r="N87" s="57">
        <f>SUM(N88:N99)</f>
        <v>0</v>
      </c>
      <c r="O87" s="101">
        <f>SUM(O88:O99)</f>
        <v>50574580.119999997</v>
      </c>
      <c r="P87" s="101">
        <f>SUM(P88:P99)</f>
        <v>2439727.1399999997</v>
      </c>
      <c r="Q87" s="95">
        <f t="shared" si="22"/>
        <v>53014307.259999998</v>
      </c>
      <c r="R87" s="122">
        <f>SUM(R88:R99)</f>
        <v>4736341.3</v>
      </c>
      <c r="S87" s="122">
        <f t="shared" ref="S87:T87" si="23">SUM(S88:S99)</f>
        <v>57752931.559999995</v>
      </c>
      <c r="T87" s="122">
        <f t="shared" si="23"/>
        <v>57752931.559999995</v>
      </c>
      <c r="U87" s="152">
        <f t="shared" si="21"/>
        <v>0</v>
      </c>
    </row>
    <row r="88" spans="1:21" s="29" customFormat="1" ht="38.25" outlineLevel="1">
      <c r="A88" s="73" t="s">
        <v>124</v>
      </c>
      <c r="B88" s="74" t="s">
        <v>114</v>
      </c>
      <c r="C88" s="44"/>
      <c r="D88" s="57"/>
      <c r="E88" s="57"/>
      <c r="F88" s="54">
        <v>30000</v>
      </c>
      <c r="G88" s="54">
        <f>F88</f>
        <v>30000</v>
      </c>
      <c r="H88" s="54"/>
      <c r="I88" s="54">
        <v>30000</v>
      </c>
      <c r="J88" s="54"/>
      <c r="K88" s="54">
        <v>30000</v>
      </c>
      <c r="L88" s="54"/>
      <c r="M88" s="54">
        <v>30000</v>
      </c>
      <c r="N88" s="54"/>
      <c r="O88" s="100">
        <f>SUM(M88:N88)</f>
        <v>30000</v>
      </c>
      <c r="P88" s="100"/>
      <c r="Q88" s="100">
        <f t="shared" si="22"/>
        <v>30000</v>
      </c>
      <c r="R88" s="127"/>
      <c r="S88" s="100">
        <f t="shared" si="11"/>
        <v>30000</v>
      </c>
      <c r="T88" s="100">
        <v>30000</v>
      </c>
      <c r="U88" s="152">
        <f t="shared" si="21"/>
        <v>0</v>
      </c>
    </row>
    <row r="89" spans="1:21" s="29" customFormat="1" ht="25.5" outlineLevel="1">
      <c r="A89" s="73" t="s">
        <v>113</v>
      </c>
      <c r="B89" s="74" t="s">
        <v>114</v>
      </c>
      <c r="C89" s="44"/>
      <c r="D89" s="54">
        <v>55467</v>
      </c>
      <c r="E89" s="54">
        <f>D89</f>
        <v>55467</v>
      </c>
      <c r="F89" s="54">
        <v>17300</v>
      </c>
      <c r="G89" s="54">
        <f>55467+F89</f>
        <v>72767</v>
      </c>
      <c r="H89" s="54">
        <v>496</v>
      </c>
      <c r="I89" s="54">
        <f>72767+H89</f>
        <v>73263</v>
      </c>
      <c r="J89" s="54">
        <v>1917</v>
      </c>
      <c r="K89" s="54">
        <f>I89+J89</f>
        <v>75180</v>
      </c>
      <c r="L89" s="54"/>
      <c r="M89" s="54">
        <v>75180</v>
      </c>
      <c r="N89" s="54"/>
      <c r="O89" s="100">
        <f t="shared" ref="O89:O101" si="24">SUM(M89:N89)</f>
        <v>75180</v>
      </c>
      <c r="P89" s="100"/>
      <c r="Q89" s="100">
        <f t="shared" si="22"/>
        <v>75180</v>
      </c>
      <c r="R89" s="127"/>
      <c r="S89" s="100">
        <v>77463</v>
      </c>
      <c r="T89" s="100">
        <v>77463</v>
      </c>
      <c r="U89" s="152">
        <f t="shared" si="21"/>
        <v>0</v>
      </c>
    </row>
    <row r="90" spans="1:21" s="29" customFormat="1" ht="38.25" outlineLevel="1">
      <c r="A90" s="86" t="s">
        <v>148</v>
      </c>
      <c r="B90" s="16" t="s">
        <v>85</v>
      </c>
      <c r="C90" s="44"/>
      <c r="D90" s="54"/>
      <c r="E90" s="54"/>
      <c r="F90" s="54"/>
      <c r="G90" s="54"/>
      <c r="H90" s="54"/>
      <c r="I90" s="54"/>
      <c r="J90" s="54"/>
      <c r="K90" s="54"/>
      <c r="L90" s="54"/>
      <c r="M90" s="54">
        <f>L90</f>
        <v>0</v>
      </c>
      <c r="N90" s="54">
        <v>0</v>
      </c>
      <c r="O90" s="100">
        <f t="shared" si="24"/>
        <v>0</v>
      </c>
      <c r="P90" s="100">
        <f>1102881.98-14995.84</f>
        <v>1087886.1399999999</v>
      </c>
      <c r="Q90" s="100">
        <f t="shared" si="22"/>
        <v>1087886.1399999999</v>
      </c>
      <c r="R90" s="127">
        <f>185141.3+45600</f>
        <v>230741.3</v>
      </c>
      <c r="S90" s="100">
        <f t="shared" si="11"/>
        <v>1318627.44</v>
      </c>
      <c r="T90" s="100">
        <v>1318627.44</v>
      </c>
      <c r="U90" s="152">
        <f t="shared" si="21"/>
        <v>0</v>
      </c>
    </row>
    <row r="91" spans="1:21" ht="89.25" outlineLevel="1">
      <c r="A91" s="70" t="s">
        <v>111</v>
      </c>
      <c r="B91" s="16" t="s">
        <v>85</v>
      </c>
      <c r="C91" s="38">
        <v>47820400</v>
      </c>
      <c r="D91" s="54"/>
      <c r="E91" s="54">
        <v>47820400</v>
      </c>
      <c r="F91" s="54"/>
      <c r="G91" s="54">
        <v>47820400</v>
      </c>
      <c r="H91" s="54"/>
      <c r="I91" s="54">
        <v>47820400</v>
      </c>
      <c r="J91" s="54"/>
      <c r="K91" s="54">
        <v>47820400</v>
      </c>
      <c r="L91" s="54"/>
      <c r="M91" s="54">
        <v>47820400</v>
      </c>
      <c r="N91" s="54"/>
      <c r="O91" s="100">
        <f t="shared" si="24"/>
        <v>47820400</v>
      </c>
      <c r="P91" s="100"/>
      <c r="Q91" s="100">
        <f t="shared" si="22"/>
        <v>47820400</v>
      </c>
      <c r="R91" s="127"/>
      <c r="S91" s="100">
        <f t="shared" si="11"/>
        <v>47820400</v>
      </c>
      <c r="T91" s="100">
        <v>47820400</v>
      </c>
      <c r="U91" s="152">
        <f t="shared" si="21"/>
        <v>0</v>
      </c>
    </row>
    <row r="92" spans="1:21" ht="76.5" outlineLevel="1">
      <c r="A92" s="34" t="s">
        <v>89</v>
      </c>
      <c r="B92" s="16" t="s">
        <v>85</v>
      </c>
      <c r="C92" s="79">
        <v>152400</v>
      </c>
      <c r="D92" s="60">
        <v>0.12</v>
      </c>
      <c r="E92" s="60">
        <f>C92+D92</f>
        <v>152400.12</v>
      </c>
      <c r="F92" s="60"/>
      <c r="G92" s="60">
        <v>152400.12</v>
      </c>
      <c r="H92" s="60"/>
      <c r="I92" s="60">
        <v>152400.12</v>
      </c>
      <c r="J92" s="60"/>
      <c r="K92" s="60">
        <v>152400.12</v>
      </c>
      <c r="L92" s="60"/>
      <c r="M92" s="60">
        <v>152400.12</v>
      </c>
      <c r="N92" s="60"/>
      <c r="O92" s="100">
        <f t="shared" si="24"/>
        <v>152400.12</v>
      </c>
      <c r="P92" s="102"/>
      <c r="Q92" s="100">
        <f t="shared" si="22"/>
        <v>152400.12</v>
      </c>
      <c r="R92" s="129"/>
      <c r="S92" s="100">
        <f t="shared" si="11"/>
        <v>152400.12</v>
      </c>
      <c r="T92" s="100">
        <v>152400.12</v>
      </c>
      <c r="U92" s="152">
        <f t="shared" si="21"/>
        <v>0</v>
      </c>
    </row>
    <row r="93" spans="1:21" ht="51.75" customHeight="1" outlineLevel="1">
      <c r="A93" s="61" t="s">
        <v>161</v>
      </c>
      <c r="B93" s="120" t="s">
        <v>85</v>
      </c>
      <c r="C93" s="79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100"/>
      <c r="P93" s="102"/>
      <c r="Q93" s="100"/>
      <c r="R93" s="129">
        <v>3784200</v>
      </c>
      <c r="S93" s="100">
        <f t="shared" si="11"/>
        <v>3784200</v>
      </c>
      <c r="T93" s="100">
        <v>3784200</v>
      </c>
      <c r="U93" s="152">
        <f t="shared" si="21"/>
        <v>0</v>
      </c>
    </row>
    <row r="94" spans="1:21" ht="38.25" outlineLevel="1">
      <c r="A94" s="61" t="s">
        <v>162</v>
      </c>
      <c r="B94" s="120" t="s">
        <v>85</v>
      </c>
      <c r="C94" s="79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100"/>
      <c r="P94" s="102"/>
      <c r="Q94" s="100"/>
      <c r="R94" s="129">
        <v>105000</v>
      </c>
      <c r="S94" s="100">
        <f t="shared" si="11"/>
        <v>105000</v>
      </c>
      <c r="T94" s="100">
        <v>105000</v>
      </c>
      <c r="U94" s="152">
        <f t="shared" si="21"/>
        <v>0</v>
      </c>
    </row>
    <row r="95" spans="1:21" ht="38.25" outlineLevel="1">
      <c r="A95" s="61" t="s">
        <v>134</v>
      </c>
      <c r="B95" s="16" t="s">
        <v>85</v>
      </c>
      <c r="C95" s="79"/>
      <c r="D95" s="60"/>
      <c r="E95" s="60"/>
      <c r="F95" s="60"/>
      <c r="G95" s="60"/>
      <c r="H95" s="60">
        <v>2496600</v>
      </c>
      <c r="I95" s="60">
        <f>H95</f>
        <v>2496600</v>
      </c>
      <c r="J95" s="60"/>
      <c r="K95" s="60">
        <f>I95</f>
        <v>2496600</v>
      </c>
      <c r="L95" s="60"/>
      <c r="M95" s="60">
        <f>K95</f>
        <v>2496600</v>
      </c>
      <c r="N95" s="60"/>
      <c r="O95" s="100">
        <f t="shared" si="24"/>
        <v>2496600</v>
      </c>
      <c r="P95" s="102"/>
      <c r="Q95" s="100">
        <f t="shared" si="22"/>
        <v>2496600</v>
      </c>
      <c r="R95" s="129"/>
      <c r="S95" s="100">
        <f t="shared" si="11"/>
        <v>2496600</v>
      </c>
      <c r="T95" s="100">
        <v>2496600</v>
      </c>
      <c r="U95" s="152">
        <f t="shared" si="21"/>
        <v>0</v>
      </c>
    </row>
    <row r="96" spans="1:21" ht="25.5" outlineLevel="1">
      <c r="A96" s="61" t="s">
        <v>147</v>
      </c>
      <c r="B96" s="16" t="s">
        <v>85</v>
      </c>
      <c r="C96" s="79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>
        <v>0</v>
      </c>
      <c r="O96" s="100">
        <f t="shared" si="24"/>
        <v>0</v>
      </c>
      <c r="P96" s="102">
        <v>900000</v>
      </c>
      <c r="Q96" s="100">
        <f t="shared" si="22"/>
        <v>900000</v>
      </c>
      <c r="R96" s="129"/>
      <c r="S96" s="100">
        <f t="shared" si="11"/>
        <v>900000</v>
      </c>
      <c r="T96" s="100">
        <v>900000</v>
      </c>
      <c r="U96" s="152">
        <f t="shared" si="21"/>
        <v>0</v>
      </c>
    </row>
    <row r="97" spans="1:23" ht="25.5" customHeight="1" outlineLevel="1">
      <c r="A97" s="61" t="s">
        <v>149</v>
      </c>
      <c r="B97" s="16" t="s">
        <v>85</v>
      </c>
      <c r="C97" s="79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>
        <v>0</v>
      </c>
      <c r="O97" s="100">
        <f t="shared" si="24"/>
        <v>0</v>
      </c>
      <c r="P97" s="102">
        <v>250000</v>
      </c>
      <c r="Q97" s="100">
        <f t="shared" si="22"/>
        <v>250000</v>
      </c>
      <c r="R97" s="129"/>
      <c r="S97" s="100">
        <f t="shared" si="11"/>
        <v>250000</v>
      </c>
      <c r="T97" s="100">
        <v>250000</v>
      </c>
      <c r="U97" s="152">
        <f t="shared" si="21"/>
        <v>0</v>
      </c>
    </row>
    <row r="98" spans="1:23" ht="25.5" outlineLevel="1">
      <c r="A98" s="61" t="s">
        <v>163</v>
      </c>
      <c r="B98" s="16" t="s">
        <v>85</v>
      </c>
      <c r="C98" s="79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100"/>
      <c r="P98" s="102"/>
      <c r="Q98" s="100"/>
      <c r="R98" s="129">
        <v>616400</v>
      </c>
      <c r="S98" s="100">
        <f t="shared" si="11"/>
        <v>616400</v>
      </c>
      <c r="T98" s="100">
        <v>616400</v>
      </c>
      <c r="U98" s="152">
        <f t="shared" si="21"/>
        <v>0</v>
      </c>
    </row>
    <row r="99" spans="1:23" ht="38.25" outlineLevel="1">
      <c r="A99" s="61" t="s">
        <v>150</v>
      </c>
      <c r="B99" s="16" t="s">
        <v>85</v>
      </c>
      <c r="C99" s="79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>
        <v>0</v>
      </c>
      <c r="O99" s="100">
        <f t="shared" si="24"/>
        <v>0</v>
      </c>
      <c r="P99" s="102">
        <v>201841</v>
      </c>
      <c r="Q99" s="100">
        <f t="shared" si="22"/>
        <v>201841</v>
      </c>
      <c r="R99" s="129"/>
      <c r="S99" s="100">
        <f t="shared" si="11"/>
        <v>201841</v>
      </c>
      <c r="T99" s="100">
        <v>201841</v>
      </c>
      <c r="U99" s="152">
        <f t="shared" si="21"/>
        <v>0</v>
      </c>
    </row>
    <row r="100" spans="1:23" s="64" customFormat="1" ht="18" customHeight="1" outlineLevel="1">
      <c r="A100" s="75" t="s">
        <v>96</v>
      </c>
      <c r="B100" s="136" t="s">
        <v>97</v>
      </c>
      <c r="C100" s="137">
        <f>C101</f>
        <v>0</v>
      </c>
      <c r="D100" s="137">
        <f>D101</f>
        <v>0</v>
      </c>
      <c r="E100" s="138">
        <f>SUM(C100:D100)</f>
        <v>0</v>
      </c>
      <c r="F100" s="137">
        <f>F101</f>
        <v>6108454</v>
      </c>
      <c r="G100" s="138">
        <f>SUM(E100:F100)</f>
        <v>6108454</v>
      </c>
      <c r="H100" s="137">
        <f>H101</f>
        <v>0</v>
      </c>
      <c r="I100" s="138">
        <f>SUM(G100:H100)</f>
        <v>6108454</v>
      </c>
      <c r="J100" s="137">
        <f>J101</f>
        <v>0</v>
      </c>
      <c r="K100" s="138">
        <f>SUM(I100:J100)</f>
        <v>6108454</v>
      </c>
      <c r="L100" s="137">
        <f>L101</f>
        <v>0</v>
      </c>
      <c r="M100" s="138">
        <f>SUM(K100:L100)</f>
        <v>6108454</v>
      </c>
      <c r="N100" s="137">
        <f>N101</f>
        <v>0</v>
      </c>
      <c r="O100" s="134">
        <f>O101</f>
        <v>6108454</v>
      </c>
      <c r="P100" s="134">
        <f t="shared" ref="P100" si="25">P101</f>
        <v>-131869.19000000041</v>
      </c>
      <c r="Q100" s="134">
        <f t="shared" si="22"/>
        <v>5976584.8099999996</v>
      </c>
      <c r="R100" s="139">
        <f t="shared" ref="R100:T100" si="26">R101</f>
        <v>0</v>
      </c>
      <c r="S100" s="139">
        <f t="shared" si="26"/>
        <v>5976584.8099999996</v>
      </c>
      <c r="T100" s="139">
        <f t="shared" si="26"/>
        <v>5976584.8099999996</v>
      </c>
      <c r="U100" s="152">
        <f t="shared" si="21"/>
        <v>0</v>
      </c>
      <c r="V100" s="25"/>
      <c r="W100" s="25"/>
    </row>
    <row r="101" spans="1:23" ht="25.5" outlineLevel="1">
      <c r="A101" s="76" t="s">
        <v>98</v>
      </c>
      <c r="B101" s="65" t="s">
        <v>99</v>
      </c>
      <c r="C101" s="66"/>
      <c r="D101" s="66"/>
      <c r="E101" s="60">
        <f>SUM(C101:D101)</f>
        <v>0</v>
      </c>
      <c r="F101" s="66">
        <f>6108454</f>
        <v>6108454</v>
      </c>
      <c r="G101" s="60">
        <f>SUM(E101:F101)</f>
        <v>6108454</v>
      </c>
      <c r="H101" s="66"/>
      <c r="I101" s="60">
        <v>6108454</v>
      </c>
      <c r="J101" s="66"/>
      <c r="K101" s="60">
        <v>6108454</v>
      </c>
      <c r="L101" s="66"/>
      <c r="M101" s="60">
        <v>6108454</v>
      </c>
      <c r="N101" s="66">
        <v>0</v>
      </c>
      <c r="O101" s="100">
        <f t="shared" si="24"/>
        <v>6108454</v>
      </c>
      <c r="P101" s="104">
        <f>5976584.81-O101</f>
        <v>-131869.19000000041</v>
      </c>
      <c r="Q101" s="100">
        <f t="shared" si="22"/>
        <v>5976584.8099999996</v>
      </c>
      <c r="R101" s="130">
        <f>5976584.81-Q101</f>
        <v>0</v>
      </c>
      <c r="S101" s="100">
        <f t="shared" si="11"/>
        <v>5976584.8099999996</v>
      </c>
      <c r="T101" s="100">
        <f>S101</f>
        <v>5976584.8099999996</v>
      </c>
      <c r="U101" s="25">
        <f t="shared" si="21"/>
        <v>0</v>
      </c>
      <c r="V101" s="25"/>
      <c r="W101" s="25"/>
    </row>
    <row r="102" spans="1:23" s="64" customFormat="1" ht="38.25" outlineLevel="1">
      <c r="A102" s="75" t="s">
        <v>100</v>
      </c>
      <c r="B102" s="67" t="s">
        <v>101</v>
      </c>
      <c r="C102" s="62">
        <f t="shared" ref="C102:N102" si="27">SUM(C103:C105)</f>
        <v>0</v>
      </c>
      <c r="D102" s="62">
        <f t="shared" si="27"/>
        <v>2811200.03</v>
      </c>
      <c r="E102" s="63">
        <f t="shared" si="27"/>
        <v>2811200.03</v>
      </c>
      <c r="F102" s="62">
        <f t="shared" si="27"/>
        <v>-1058911.94</v>
      </c>
      <c r="G102" s="63">
        <f t="shared" si="27"/>
        <v>1752288.0899999999</v>
      </c>
      <c r="H102" s="62">
        <f t="shared" si="27"/>
        <v>0</v>
      </c>
      <c r="I102" s="63">
        <f t="shared" si="27"/>
        <v>1752288.0899999999</v>
      </c>
      <c r="J102" s="62">
        <f t="shared" si="27"/>
        <v>0</v>
      </c>
      <c r="K102" s="63">
        <f t="shared" si="27"/>
        <v>1752288.0899999999</v>
      </c>
      <c r="L102" s="62">
        <f t="shared" si="27"/>
        <v>0</v>
      </c>
      <c r="M102" s="63">
        <f t="shared" si="27"/>
        <v>1752288.0899999999</v>
      </c>
      <c r="N102" s="62">
        <f t="shared" si="27"/>
        <v>0</v>
      </c>
      <c r="O102" s="103">
        <f>SUM(O103:O105)</f>
        <v>1752288.0899999999</v>
      </c>
      <c r="P102" s="105">
        <f t="shared" ref="P102" si="28">SUM(P103:P105)</f>
        <v>0</v>
      </c>
      <c r="Q102" s="134">
        <f t="shared" si="22"/>
        <v>1752288.0899999999</v>
      </c>
      <c r="R102" s="135">
        <f>SUM(R103:R105)</f>
        <v>0</v>
      </c>
      <c r="S102" s="135">
        <f t="shared" ref="S102:T102" si="29">SUM(S103:S105)</f>
        <v>1752288.0899999999</v>
      </c>
      <c r="T102" s="135">
        <f t="shared" si="29"/>
        <v>1752288.0899999999</v>
      </c>
      <c r="U102" s="3"/>
      <c r="V102" s="3"/>
      <c r="W102" s="3"/>
    </row>
    <row r="103" spans="1:23" s="64" customFormat="1" ht="76.5" outlineLevel="1">
      <c r="A103" s="82" t="s">
        <v>125</v>
      </c>
      <c r="B103" s="80" t="s">
        <v>126</v>
      </c>
      <c r="C103" s="62"/>
      <c r="D103" s="62"/>
      <c r="E103" s="63"/>
      <c r="F103" s="66">
        <v>1136104.44</v>
      </c>
      <c r="G103" s="60">
        <f>SUM(E103:F103)</f>
        <v>1136104.44</v>
      </c>
      <c r="H103" s="66"/>
      <c r="I103" s="60">
        <v>1136104.44</v>
      </c>
      <c r="J103" s="66"/>
      <c r="K103" s="60">
        <v>1136104.44</v>
      </c>
      <c r="L103" s="66"/>
      <c r="M103" s="60">
        <v>1136104.44</v>
      </c>
      <c r="N103" s="66"/>
      <c r="O103" s="102">
        <f>SUM(M103:N103)</f>
        <v>1136104.44</v>
      </c>
      <c r="P103" s="104"/>
      <c r="Q103" s="102">
        <f t="shared" si="22"/>
        <v>1136104.44</v>
      </c>
      <c r="R103" s="130"/>
      <c r="S103" s="102">
        <f t="shared" si="11"/>
        <v>1136104.44</v>
      </c>
      <c r="T103" s="102">
        <v>1136104.44</v>
      </c>
      <c r="U103" s="3"/>
      <c r="V103" s="3"/>
      <c r="W103" s="3"/>
    </row>
    <row r="104" spans="1:23" s="64" customFormat="1" ht="51" outlineLevel="1">
      <c r="A104" s="53" t="s">
        <v>129</v>
      </c>
      <c r="B104" s="80" t="s">
        <v>128</v>
      </c>
      <c r="C104" s="62"/>
      <c r="D104" s="62"/>
      <c r="E104" s="63"/>
      <c r="F104" s="66">
        <v>1377.13</v>
      </c>
      <c r="G104" s="60">
        <f>SUM(E104:F104)</f>
        <v>1377.13</v>
      </c>
      <c r="H104" s="66"/>
      <c r="I104" s="60">
        <v>1377.13</v>
      </c>
      <c r="J104" s="66"/>
      <c r="K104" s="60">
        <v>1377.13</v>
      </c>
      <c r="L104" s="66"/>
      <c r="M104" s="60">
        <v>1377.13</v>
      </c>
      <c r="N104" s="66"/>
      <c r="O104" s="102">
        <f t="shared" ref="O104:O105" si="30">SUM(M104:N104)</f>
        <v>1377.13</v>
      </c>
      <c r="P104" s="104"/>
      <c r="Q104" s="102">
        <f t="shared" si="22"/>
        <v>1377.13</v>
      </c>
      <c r="R104" s="130"/>
      <c r="S104" s="102">
        <f t="shared" si="11"/>
        <v>1377.13</v>
      </c>
      <c r="T104" s="102">
        <v>1377.13</v>
      </c>
      <c r="U104" s="3"/>
      <c r="V104" s="3"/>
      <c r="W104" s="3"/>
    </row>
    <row r="105" spans="1:23" ht="51" outlineLevel="1">
      <c r="A105" s="76" t="s">
        <v>102</v>
      </c>
      <c r="B105" s="55" t="s">
        <v>103</v>
      </c>
      <c r="C105" s="66"/>
      <c r="D105" s="66">
        <v>2811200.03</v>
      </c>
      <c r="E105" s="60">
        <f>D105</f>
        <v>2811200.03</v>
      </c>
      <c r="F105" s="66">
        <f>-1058911.94-1136104.44-1377.13</f>
        <v>-2196393.5099999998</v>
      </c>
      <c r="G105" s="60">
        <f>2811200.03+F105</f>
        <v>614806.52</v>
      </c>
      <c r="H105" s="66"/>
      <c r="I105" s="60">
        <v>614806.52</v>
      </c>
      <c r="J105" s="66"/>
      <c r="K105" s="60">
        <v>614806.52</v>
      </c>
      <c r="L105" s="66"/>
      <c r="M105" s="60">
        <v>614806.52</v>
      </c>
      <c r="N105" s="66"/>
      <c r="O105" s="102">
        <f t="shared" si="30"/>
        <v>614806.52</v>
      </c>
      <c r="P105" s="104"/>
      <c r="Q105" s="102">
        <f t="shared" si="22"/>
        <v>614806.52</v>
      </c>
      <c r="R105" s="130"/>
      <c r="S105" s="102">
        <f t="shared" si="11"/>
        <v>614806.52</v>
      </c>
      <c r="T105" s="102">
        <v>614806.52</v>
      </c>
    </row>
    <row r="106" spans="1:23" s="64" customFormat="1" ht="25.5" outlineLevel="1">
      <c r="A106" s="75" t="s">
        <v>104</v>
      </c>
      <c r="B106" s="67" t="s">
        <v>105</v>
      </c>
      <c r="C106" s="138">
        <f t="shared" ref="C106:I106" si="31">SUM(C107:C109)</f>
        <v>0</v>
      </c>
      <c r="D106" s="138">
        <f t="shared" si="31"/>
        <v>-2532287.4900000002</v>
      </c>
      <c r="E106" s="138">
        <f t="shared" si="31"/>
        <v>-2532287.4900000002</v>
      </c>
      <c r="F106" s="138">
        <f t="shared" si="31"/>
        <v>780000</v>
      </c>
      <c r="G106" s="138">
        <f t="shared" si="31"/>
        <v>-1752287.4900000002</v>
      </c>
      <c r="H106" s="138">
        <f t="shared" si="31"/>
        <v>0</v>
      </c>
      <c r="I106" s="138">
        <f t="shared" si="31"/>
        <v>-1752287.4899999998</v>
      </c>
      <c r="J106" s="138">
        <f t="shared" ref="J106:N106" si="32">SUM(J107:J109)</f>
        <v>0</v>
      </c>
      <c r="K106" s="138">
        <f t="shared" si="32"/>
        <v>-1752287.4899999998</v>
      </c>
      <c r="L106" s="138">
        <f t="shared" si="32"/>
        <v>0</v>
      </c>
      <c r="M106" s="138">
        <f t="shared" si="32"/>
        <v>-1752287.4899999998</v>
      </c>
      <c r="N106" s="138">
        <f t="shared" si="32"/>
        <v>0</v>
      </c>
      <c r="O106" s="134">
        <f>SUM(O107:O109)</f>
        <v>-1752287.4899999998</v>
      </c>
      <c r="P106" s="134">
        <f t="shared" ref="P106" si="33">SUM(P107:P109)</f>
        <v>0</v>
      </c>
      <c r="Q106" s="134">
        <f t="shared" si="22"/>
        <v>-1752287.4899999998</v>
      </c>
      <c r="R106" s="139">
        <f t="shared" ref="R106" si="34">SUM(R107:R109)</f>
        <v>-29833.25</v>
      </c>
      <c r="S106" s="134">
        <f t="shared" si="11"/>
        <v>-1782120.7399999998</v>
      </c>
      <c r="T106" s="134">
        <f>SUM(T107:T109)</f>
        <v>-1824756.7399999998</v>
      </c>
      <c r="U106" s="3"/>
      <c r="V106" s="3"/>
      <c r="W106" s="3"/>
    </row>
    <row r="107" spans="1:23" s="64" customFormat="1" ht="76.5" outlineLevel="1">
      <c r="A107" s="53" t="s">
        <v>132</v>
      </c>
      <c r="B107" s="80" t="s">
        <v>131</v>
      </c>
      <c r="C107" s="62"/>
      <c r="D107" s="62"/>
      <c r="E107" s="63"/>
      <c r="F107" s="66">
        <f>-1136104.44</f>
        <v>-1136104.44</v>
      </c>
      <c r="G107" s="60">
        <f>SUM(E107:F107)</f>
        <v>-1136104.44</v>
      </c>
      <c r="H107" s="66"/>
      <c r="I107" s="60">
        <v>-1136104.44</v>
      </c>
      <c r="J107" s="66"/>
      <c r="K107" s="60">
        <v>-1136104.44</v>
      </c>
      <c r="L107" s="66"/>
      <c r="M107" s="60">
        <v>-1136104.44</v>
      </c>
      <c r="N107" s="66"/>
      <c r="O107" s="102">
        <f>SUM(M107:N107)</f>
        <v>-1136104.44</v>
      </c>
      <c r="P107" s="104"/>
      <c r="Q107" s="102">
        <f t="shared" si="22"/>
        <v>-1136104.44</v>
      </c>
      <c r="R107" s="130">
        <v>-29833.25</v>
      </c>
      <c r="S107" s="102">
        <f t="shared" si="11"/>
        <v>-1165937.69</v>
      </c>
      <c r="T107" s="102">
        <v>-1165937.69</v>
      </c>
      <c r="U107" s="3"/>
      <c r="V107" s="3"/>
      <c r="W107" s="3"/>
    </row>
    <row r="108" spans="1:23" s="64" customFormat="1" ht="51" outlineLevel="1">
      <c r="A108" s="82" t="s">
        <v>130</v>
      </c>
      <c r="B108" s="80" t="s">
        <v>127</v>
      </c>
      <c r="C108" s="62"/>
      <c r="D108" s="62"/>
      <c r="E108" s="63"/>
      <c r="F108" s="66">
        <f>-1377.13</f>
        <v>-1377.13</v>
      </c>
      <c r="G108" s="60">
        <f>SUM(E108:F108)</f>
        <v>-1377.13</v>
      </c>
      <c r="H108" s="66"/>
      <c r="I108" s="60">
        <v>-1377.13</v>
      </c>
      <c r="J108" s="66"/>
      <c r="K108" s="60">
        <v>-1377.13</v>
      </c>
      <c r="L108" s="66"/>
      <c r="M108" s="60">
        <v>-1377.13</v>
      </c>
      <c r="N108" s="66"/>
      <c r="O108" s="102">
        <f t="shared" ref="O108:O109" si="35">SUM(M108:N108)</f>
        <v>-1377.13</v>
      </c>
      <c r="P108" s="104"/>
      <c r="Q108" s="102">
        <f t="shared" si="22"/>
        <v>-1377.13</v>
      </c>
      <c r="R108" s="130"/>
      <c r="S108" s="102">
        <f t="shared" si="11"/>
        <v>-1377.13</v>
      </c>
      <c r="T108" s="102">
        <v>-1377.13</v>
      </c>
      <c r="U108" s="3"/>
      <c r="V108" s="3"/>
      <c r="W108" s="3"/>
    </row>
    <row r="109" spans="1:23" ht="51" outlineLevel="1">
      <c r="A109" s="76" t="s">
        <v>106</v>
      </c>
      <c r="B109" s="65" t="s">
        <v>107</v>
      </c>
      <c r="C109" s="66"/>
      <c r="D109" s="66">
        <v>-2532287.4900000002</v>
      </c>
      <c r="E109" s="60">
        <f>D109</f>
        <v>-2532287.4900000002</v>
      </c>
      <c r="F109" s="66">
        <f>780000+1136104.44+1377.13</f>
        <v>1917481.5699999998</v>
      </c>
      <c r="G109" s="60">
        <f>-2532287.49+F109</f>
        <v>-614805.92000000039</v>
      </c>
      <c r="H109" s="66"/>
      <c r="I109" s="60">
        <v>-614805.92000000004</v>
      </c>
      <c r="J109" s="66"/>
      <c r="K109" s="60">
        <v>-614805.92000000004</v>
      </c>
      <c r="L109" s="66"/>
      <c r="M109" s="60">
        <v>-614805.92000000004</v>
      </c>
      <c r="N109" s="66"/>
      <c r="O109" s="102">
        <f t="shared" si="35"/>
        <v>-614805.92000000004</v>
      </c>
      <c r="P109" s="104"/>
      <c r="Q109" s="102">
        <f t="shared" si="22"/>
        <v>-614805.92000000004</v>
      </c>
      <c r="R109" s="130"/>
      <c r="S109" s="102">
        <f t="shared" si="11"/>
        <v>-614805.92000000004</v>
      </c>
      <c r="T109" s="102">
        <v>-657441.92000000004</v>
      </c>
    </row>
    <row r="110" spans="1:23" s="25" customFormat="1" outlineLevel="1">
      <c r="A110" s="35" t="s">
        <v>67</v>
      </c>
      <c r="B110" s="18"/>
      <c r="C110" s="40">
        <f t="shared" ref="C110:P110" si="36">C37</f>
        <v>802378400</v>
      </c>
      <c r="D110" s="40">
        <f t="shared" si="36"/>
        <v>635371.53999999957</v>
      </c>
      <c r="E110" s="49">
        <f t="shared" si="36"/>
        <v>803013771.53999996</v>
      </c>
      <c r="F110" s="40">
        <f t="shared" si="36"/>
        <v>14518074.780000001</v>
      </c>
      <c r="G110" s="49">
        <f t="shared" si="36"/>
        <v>817531846.32000005</v>
      </c>
      <c r="H110" s="40">
        <f t="shared" si="36"/>
        <v>26329696</v>
      </c>
      <c r="I110" s="49">
        <f t="shared" si="36"/>
        <v>843861542.32000005</v>
      </c>
      <c r="J110" s="40">
        <f t="shared" si="36"/>
        <v>16199337.76</v>
      </c>
      <c r="K110" s="49">
        <f t="shared" si="36"/>
        <v>860060880.08000004</v>
      </c>
      <c r="L110" s="40">
        <f t="shared" si="36"/>
        <v>5756557</v>
      </c>
      <c r="M110" s="49">
        <f t="shared" si="36"/>
        <v>865817437.08000004</v>
      </c>
      <c r="N110" s="40">
        <f t="shared" si="36"/>
        <v>0</v>
      </c>
      <c r="O110" s="96">
        <f t="shared" si="36"/>
        <v>865817437.08000004</v>
      </c>
      <c r="P110" s="106">
        <f t="shared" si="36"/>
        <v>18767671.759999998</v>
      </c>
      <c r="Q110" s="140">
        <f t="shared" si="22"/>
        <v>884585108.84000003</v>
      </c>
      <c r="R110" s="141">
        <f>R37</f>
        <v>59227418.729999997</v>
      </c>
      <c r="S110" s="141">
        <f t="shared" ref="S110:T110" si="37">S37</f>
        <v>945062710.56999993</v>
      </c>
      <c r="T110" s="141">
        <f t="shared" si="37"/>
        <v>944664043.76999986</v>
      </c>
      <c r="U110" s="3"/>
      <c r="V110" s="3"/>
      <c r="W110" s="3"/>
    </row>
    <row r="111" spans="1:23" s="25" customFormat="1">
      <c r="A111" s="35" t="s">
        <v>66</v>
      </c>
      <c r="B111" s="4"/>
      <c r="C111" s="46">
        <f t="shared" ref="C111:P111" si="38">C110+C8</f>
        <v>996459628</v>
      </c>
      <c r="D111" s="46">
        <f t="shared" si="38"/>
        <v>635371.53999999957</v>
      </c>
      <c r="E111" s="72">
        <f t="shared" si="38"/>
        <v>997094999.53999996</v>
      </c>
      <c r="F111" s="46">
        <f t="shared" si="38"/>
        <v>14518074.780000001</v>
      </c>
      <c r="G111" s="72">
        <f t="shared" si="38"/>
        <v>1011613074.3200001</v>
      </c>
      <c r="H111" s="46">
        <f t="shared" si="38"/>
        <v>26375579.41</v>
      </c>
      <c r="I111" s="72">
        <f t="shared" si="38"/>
        <v>1037988653.73</v>
      </c>
      <c r="J111" s="46">
        <f t="shared" si="38"/>
        <v>16199337.76</v>
      </c>
      <c r="K111" s="72">
        <f t="shared" si="38"/>
        <v>1054187991.49</v>
      </c>
      <c r="L111" s="46">
        <f t="shared" si="38"/>
        <v>5756557</v>
      </c>
      <c r="M111" s="72">
        <f t="shared" si="38"/>
        <v>1059944548.49</v>
      </c>
      <c r="N111" s="46">
        <f t="shared" si="38"/>
        <v>0</v>
      </c>
      <c r="O111" s="107">
        <f t="shared" si="38"/>
        <v>1059944548.49</v>
      </c>
      <c r="P111" s="108">
        <f t="shared" si="38"/>
        <v>55271671.759999998</v>
      </c>
      <c r="Q111" s="107">
        <f t="shared" si="22"/>
        <v>1115216220.25</v>
      </c>
      <c r="R111" s="131">
        <f>R110+R8</f>
        <v>64910283.559999995</v>
      </c>
      <c r="S111" s="131">
        <f t="shared" ref="S111:T111" si="39">S110+S8</f>
        <v>1181376686.8099999</v>
      </c>
      <c r="T111" s="131">
        <f t="shared" si="39"/>
        <v>1193367040.27</v>
      </c>
      <c r="U111" s="3"/>
      <c r="V111" s="3"/>
      <c r="W111" s="3"/>
    </row>
  </sheetData>
  <mergeCells count="1">
    <mergeCell ref="A5:T5"/>
  </mergeCells>
  <pageMargins left="0.96" right="0.19685039370078741" top="0.39" bottom="0.41" header="0.21" footer="0"/>
  <pageSetup paperSize="9" scale="9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4"/>
  <sheetViews>
    <sheetView tabSelected="1" workbookViewId="0">
      <selection activeCell="B11" sqref="B11"/>
    </sheetView>
  </sheetViews>
  <sheetFormatPr defaultColWidth="8" defaultRowHeight="12.75"/>
  <cols>
    <col min="1" max="1" width="55.5703125" style="3" customWidth="1"/>
    <col min="2" max="2" width="18.140625" style="36" customWidth="1"/>
    <col min="3" max="3" width="13.140625" style="92" customWidth="1"/>
    <col min="4" max="4" width="13.28515625" style="92" customWidth="1"/>
    <col min="5" max="5" width="20.5703125" style="3" customWidth="1"/>
    <col min="6" max="210" width="8" style="3"/>
    <col min="211" max="211" width="69.85546875" style="3" customWidth="1"/>
    <col min="212" max="212" width="21.7109375" style="3" customWidth="1"/>
    <col min="213" max="213" width="0" style="3" hidden="1" customWidth="1"/>
    <col min="214" max="214" width="15.5703125" style="3" customWidth="1"/>
    <col min="215" max="218" width="0" style="3" hidden="1" customWidth="1"/>
    <col min="219" max="219" width="8" style="3"/>
    <col min="220" max="220" width="13.7109375" style="3" customWidth="1"/>
    <col min="221" max="16384" width="8" style="3"/>
  </cols>
  <sheetData>
    <row r="1" spans="1:5" s="2" customFormat="1" ht="12" customHeight="1">
      <c r="B1" s="88"/>
      <c r="C1" s="90"/>
      <c r="D1" s="90" t="s">
        <v>178</v>
      </c>
    </row>
    <row r="2" spans="1:5" s="2" customFormat="1" ht="12" customHeight="1">
      <c r="B2" s="88"/>
      <c r="C2" s="90"/>
      <c r="D2" s="90" t="s">
        <v>152</v>
      </c>
    </row>
    <row r="3" spans="1:5" s="2" customFormat="1" ht="12" customHeight="1">
      <c r="B3" s="87"/>
      <c r="C3" s="91"/>
      <c r="D3" s="91" t="s">
        <v>177</v>
      </c>
    </row>
    <row r="4" spans="1:5" s="2" customFormat="1" ht="18.75" customHeight="1">
      <c r="B4" s="87"/>
      <c r="C4" s="91"/>
      <c r="D4" s="91"/>
    </row>
    <row r="5" spans="1:5" ht="42" customHeight="1">
      <c r="A5" s="213" t="s">
        <v>170</v>
      </c>
      <c r="B5" s="213"/>
      <c r="C5" s="213"/>
      <c r="D5" s="213"/>
    </row>
    <row r="6" spans="1:5" s="47" customFormat="1" ht="50.25" customHeight="1">
      <c r="A6" s="4" t="s">
        <v>0</v>
      </c>
      <c r="B6" s="4" t="s">
        <v>1</v>
      </c>
      <c r="C6" s="153" t="s">
        <v>168</v>
      </c>
      <c r="D6" s="153" t="s">
        <v>169</v>
      </c>
    </row>
    <row r="7" spans="1:5" s="78" customFormat="1" ht="6" customHeight="1">
      <c r="A7" s="77"/>
      <c r="B7" s="77"/>
      <c r="C7" s="93"/>
      <c r="D7" s="93"/>
      <c r="E7" s="47"/>
    </row>
    <row r="8" spans="1:5" s="5" customFormat="1" ht="22.5">
      <c r="A8" s="164" t="s">
        <v>2</v>
      </c>
      <c r="B8" s="201" t="s">
        <v>3</v>
      </c>
      <c r="C8" s="194">
        <v>236313976.23999998</v>
      </c>
      <c r="D8" s="210">
        <v>248702996.5</v>
      </c>
      <c r="E8" s="47"/>
    </row>
    <row r="9" spans="1:5" s="29" customFormat="1" ht="15" customHeight="1">
      <c r="A9" s="203" t="s">
        <v>4</v>
      </c>
      <c r="B9" s="201" t="s">
        <v>5</v>
      </c>
      <c r="C9" s="200">
        <v>164538307.38999999</v>
      </c>
      <c r="D9" s="200">
        <v>169623276.15000001</v>
      </c>
      <c r="E9" s="47"/>
    </row>
    <row r="10" spans="1:5">
      <c r="A10" s="165" t="s">
        <v>6</v>
      </c>
      <c r="B10" s="9" t="s">
        <v>7</v>
      </c>
      <c r="C10" s="98">
        <v>164538307.38999999</v>
      </c>
      <c r="D10" s="98">
        <v>169623276.15000001</v>
      </c>
      <c r="E10" s="47"/>
    </row>
    <row r="11" spans="1:5" s="29" customFormat="1" ht="26.25" customHeight="1">
      <c r="A11" s="208" t="s">
        <v>8</v>
      </c>
      <c r="B11" s="201" t="s">
        <v>9</v>
      </c>
      <c r="C11" s="200">
        <v>19440510</v>
      </c>
      <c r="D11" s="200">
        <v>20790932.620000001</v>
      </c>
      <c r="E11" s="47"/>
    </row>
    <row r="12" spans="1:5" ht="24">
      <c r="A12" s="167" t="s">
        <v>10</v>
      </c>
      <c r="B12" s="9" t="s">
        <v>11</v>
      </c>
      <c r="C12" s="98">
        <v>19440510</v>
      </c>
      <c r="D12" s="98">
        <v>20790932.620000001</v>
      </c>
      <c r="E12" s="47"/>
    </row>
    <row r="13" spans="1:5" s="29" customFormat="1" ht="15" customHeight="1">
      <c r="A13" s="203" t="s">
        <v>12</v>
      </c>
      <c r="B13" s="201" t="s">
        <v>13</v>
      </c>
      <c r="C13" s="200">
        <v>22951500</v>
      </c>
      <c r="D13" s="200">
        <v>23481295.920000002</v>
      </c>
    </row>
    <row r="14" spans="1:5">
      <c r="A14" s="168" t="s">
        <v>14</v>
      </c>
      <c r="B14" s="12" t="s">
        <v>15</v>
      </c>
      <c r="C14" s="98">
        <v>22911000</v>
      </c>
      <c r="D14" s="98">
        <v>23440198.82</v>
      </c>
    </row>
    <row r="15" spans="1:5">
      <c r="A15" s="168" t="s">
        <v>16</v>
      </c>
      <c r="B15" s="12" t="s">
        <v>17</v>
      </c>
      <c r="C15" s="98">
        <v>3300</v>
      </c>
      <c r="D15" s="98">
        <v>3886.94</v>
      </c>
    </row>
    <row r="16" spans="1:5" ht="13.5" customHeight="1">
      <c r="A16" s="168" t="s">
        <v>18</v>
      </c>
      <c r="B16" s="12" t="s">
        <v>19</v>
      </c>
      <c r="C16" s="98">
        <v>37200</v>
      </c>
      <c r="D16" s="98">
        <v>37210.160000000003</v>
      </c>
    </row>
    <row r="17" spans="1:4" s="29" customFormat="1" ht="15" customHeight="1">
      <c r="A17" s="203" t="s">
        <v>20</v>
      </c>
      <c r="B17" s="201" t="s">
        <v>21</v>
      </c>
      <c r="C17" s="207">
        <v>4060000</v>
      </c>
      <c r="D17" s="207">
        <v>4074805.88</v>
      </c>
    </row>
    <row r="18" spans="1:4" ht="36">
      <c r="A18" s="165" t="s">
        <v>171</v>
      </c>
      <c r="B18" s="9" t="s">
        <v>172</v>
      </c>
      <c r="C18" s="98">
        <v>2885000</v>
      </c>
      <c r="D18" s="98">
        <v>2889805.88</v>
      </c>
    </row>
    <row r="19" spans="1:4" ht="27.75" customHeight="1">
      <c r="A19" s="165" t="s">
        <v>173</v>
      </c>
      <c r="B19" s="9" t="s">
        <v>174</v>
      </c>
      <c r="C19" s="98">
        <v>1175000</v>
      </c>
      <c r="D19" s="98">
        <v>1185000</v>
      </c>
    </row>
    <row r="20" spans="1:4" s="29" customFormat="1" ht="26.25" customHeight="1">
      <c r="A20" s="205" t="s">
        <v>164</v>
      </c>
      <c r="B20" s="206" t="s">
        <v>165</v>
      </c>
      <c r="C20" s="207">
        <v>3860</v>
      </c>
      <c r="D20" s="207">
        <v>3865.64</v>
      </c>
    </row>
    <row r="21" spans="1:4" s="29" customFormat="1" ht="26.25" customHeight="1">
      <c r="A21" s="203" t="s">
        <v>22</v>
      </c>
      <c r="B21" s="201" t="s">
        <v>23</v>
      </c>
      <c r="C21" s="200">
        <v>17206781.850000001</v>
      </c>
      <c r="D21" s="200">
        <v>18559337.859999999</v>
      </c>
    </row>
    <row r="22" spans="1:4" s="2" customFormat="1" ht="24">
      <c r="A22" s="169" t="s">
        <v>24</v>
      </c>
      <c r="B22" s="14" t="s">
        <v>25</v>
      </c>
      <c r="C22" s="98">
        <v>13558468.359999999</v>
      </c>
      <c r="D22" s="98">
        <v>14488393.01</v>
      </c>
    </row>
    <row r="23" spans="1:4" s="2" customFormat="1" ht="39.75" customHeight="1">
      <c r="A23" s="169" t="s">
        <v>26</v>
      </c>
      <c r="B23" s="14" t="s">
        <v>27</v>
      </c>
      <c r="C23" s="98">
        <v>272000</v>
      </c>
      <c r="D23" s="98">
        <v>367007</v>
      </c>
    </row>
    <row r="24" spans="1:4" s="2" customFormat="1" ht="24">
      <c r="A24" s="169" t="s">
        <v>28</v>
      </c>
      <c r="B24" s="14" t="s">
        <v>29</v>
      </c>
      <c r="C24" s="98">
        <v>325000</v>
      </c>
      <c r="D24" s="98">
        <v>659554.52</v>
      </c>
    </row>
    <row r="25" spans="1:4" s="2" customFormat="1" ht="36">
      <c r="A25" s="169" t="s">
        <v>154</v>
      </c>
      <c r="B25" s="14" t="s">
        <v>155</v>
      </c>
      <c r="C25" s="98">
        <v>582813.49</v>
      </c>
      <c r="D25" s="98">
        <v>582813.49</v>
      </c>
    </row>
    <row r="26" spans="1:4" s="1" customFormat="1" ht="47.25" customHeight="1">
      <c r="A26" s="170" t="s">
        <v>30</v>
      </c>
      <c r="B26" s="16" t="s">
        <v>31</v>
      </c>
      <c r="C26" s="99">
        <v>2468500</v>
      </c>
      <c r="D26" s="99">
        <v>2461569.84</v>
      </c>
    </row>
    <row r="27" spans="1:4" s="29" customFormat="1" ht="15" customHeight="1">
      <c r="A27" s="203" t="s">
        <v>32</v>
      </c>
      <c r="B27" s="201" t="s">
        <v>33</v>
      </c>
      <c r="C27" s="207">
        <v>530000</v>
      </c>
      <c r="D27" s="207">
        <v>568914.57999999996</v>
      </c>
    </row>
    <row r="28" spans="1:4" s="2" customFormat="1" ht="12.75" customHeight="1">
      <c r="A28" s="165" t="s">
        <v>34</v>
      </c>
      <c r="B28" s="9" t="s">
        <v>35</v>
      </c>
      <c r="C28" s="98">
        <v>530000</v>
      </c>
      <c r="D28" s="98">
        <v>568914.57999999996</v>
      </c>
    </row>
    <row r="29" spans="1:4" s="29" customFormat="1" ht="32.25" customHeight="1">
      <c r="A29" s="203" t="s">
        <v>36</v>
      </c>
      <c r="B29" s="204" t="s">
        <v>37</v>
      </c>
      <c r="C29" s="200">
        <v>298573</v>
      </c>
      <c r="D29" s="200">
        <v>420495.26</v>
      </c>
    </row>
    <row r="30" spans="1:4" ht="24">
      <c r="A30" s="171" t="s">
        <v>135</v>
      </c>
      <c r="B30" s="14" t="s">
        <v>93</v>
      </c>
      <c r="C30" s="98">
        <v>172000</v>
      </c>
      <c r="D30" s="98">
        <v>171700.22</v>
      </c>
    </row>
    <row r="31" spans="1:4">
      <c r="A31" s="170" t="s">
        <v>38</v>
      </c>
      <c r="B31" s="14" t="s">
        <v>39</v>
      </c>
      <c r="C31" s="98">
        <v>126573</v>
      </c>
      <c r="D31" s="98">
        <v>248795.04</v>
      </c>
    </row>
    <row r="32" spans="1:4" s="29" customFormat="1" ht="32.25" customHeight="1">
      <c r="A32" s="203" t="s">
        <v>40</v>
      </c>
      <c r="B32" s="204" t="s">
        <v>41</v>
      </c>
      <c r="C32" s="200">
        <v>4354444</v>
      </c>
      <c r="D32" s="200">
        <v>8108208.3000000007</v>
      </c>
    </row>
    <row r="33" spans="1:4" ht="52.5" customHeight="1">
      <c r="A33" s="170" t="s">
        <v>42</v>
      </c>
      <c r="B33" s="14" t="s">
        <v>43</v>
      </c>
      <c r="C33" s="98">
        <v>2939000</v>
      </c>
      <c r="D33" s="98">
        <v>2951049.4</v>
      </c>
    </row>
    <row r="34" spans="1:4" ht="36">
      <c r="A34" s="170" t="s">
        <v>44</v>
      </c>
      <c r="B34" s="14" t="s">
        <v>45</v>
      </c>
      <c r="C34" s="98">
        <v>1415444</v>
      </c>
      <c r="D34" s="98">
        <v>5157158.9000000004</v>
      </c>
    </row>
    <row r="35" spans="1:4" ht="21" customHeight="1">
      <c r="A35" s="165" t="s">
        <v>46</v>
      </c>
      <c r="B35" s="17" t="s">
        <v>47</v>
      </c>
      <c r="C35" s="98">
        <v>2930000</v>
      </c>
      <c r="D35" s="98">
        <v>3057655.81</v>
      </c>
    </row>
    <row r="36" spans="1:4" ht="14.25" customHeight="1">
      <c r="A36" s="165" t="s">
        <v>175</v>
      </c>
      <c r="B36" s="17" t="s">
        <v>176</v>
      </c>
      <c r="C36" s="98">
        <v>0</v>
      </c>
      <c r="D36" s="98">
        <v>14208.48</v>
      </c>
    </row>
    <row r="37" spans="1:4" s="5" customFormat="1" collapsed="1">
      <c r="A37" s="164" t="s">
        <v>48</v>
      </c>
      <c r="B37" s="28" t="s">
        <v>49</v>
      </c>
      <c r="C37" s="195">
        <v>945062710.56999993</v>
      </c>
      <c r="D37" s="195">
        <v>944664043.76999986</v>
      </c>
    </row>
    <row r="38" spans="1:4" s="20" customFormat="1" ht="24">
      <c r="A38" s="172" t="s">
        <v>81</v>
      </c>
      <c r="B38" s="16" t="s">
        <v>50</v>
      </c>
      <c r="C38" s="195">
        <v>939115958.40999997</v>
      </c>
      <c r="D38" s="195">
        <v>938759927.6099999</v>
      </c>
    </row>
    <row r="39" spans="1:4" s="5" customFormat="1" ht="30" customHeight="1">
      <c r="A39" s="164" t="s">
        <v>51</v>
      </c>
      <c r="B39" s="28" t="s">
        <v>73</v>
      </c>
      <c r="C39" s="194">
        <v>105026180</v>
      </c>
      <c r="D39" s="194">
        <v>105026180</v>
      </c>
    </row>
    <row r="40" spans="1:4" s="20" customFormat="1" ht="24">
      <c r="A40" s="173" t="s">
        <v>74</v>
      </c>
      <c r="B40" s="114" t="s">
        <v>80</v>
      </c>
      <c r="C40" s="99">
        <v>52021200</v>
      </c>
      <c r="D40" s="99">
        <v>52021200</v>
      </c>
    </row>
    <row r="41" spans="1:4" s="20" customFormat="1" ht="24">
      <c r="A41" s="173" t="s">
        <v>156</v>
      </c>
      <c r="B41" s="114" t="s">
        <v>157</v>
      </c>
      <c r="C41" s="99">
        <v>53004980</v>
      </c>
      <c r="D41" s="99">
        <v>53004980</v>
      </c>
    </row>
    <row r="42" spans="1:4" s="5" customFormat="1" ht="30" customHeight="1">
      <c r="A42" s="164" t="s">
        <v>52</v>
      </c>
      <c r="B42" s="28" t="s">
        <v>70</v>
      </c>
      <c r="C42" s="194">
        <v>217597786.84999999</v>
      </c>
      <c r="D42" s="194">
        <v>217241756.04999998</v>
      </c>
    </row>
    <row r="43" spans="1:4" ht="72">
      <c r="A43" s="174" t="s">
        <v>56</v>
      </c>
      <c r="B43" s="23" t="s">
        <v>91</v>
      </c>
      <c r="C43" s="99">
        <v>1767000</v>
      </c>
      <c r="D43" s="99">
        <v>1767000</v>
      </c>
    </row>
    <row r="44" spans="1:4" ht="40.5" customHeight="1">
      <c r="A44" s="171" t="s">
        <v>116</v>
      </c>
      <c r="B44" s="154" t="s">
        <v>117</v>
      </c>
      <c r="C44" s="99">
        <v>507522.04</v>
      </c>
      <c r="D44" s="99">
        <v>507522.04</v>
      </c>
    </row>
    <row r="45" spans="1:4" ht="24">
      <c r="A45" s="175" t="s">
        <v>136</v>
      </c>
      <c r="B45" s="155" t="s">
        <v>137</v>
      </c>
      <c r="C45" s="99">
        <v>16627855.76</v>
      </c>
      <c r="D45" s="99">
        <v>16404244.57</v>
      </c>
    </row>
    <row r="46" spans="1:4" ht="41.25" customHeight="1">
      <c r="A46" s="176" t="s">
        <v>118</v>
      </c>
      <c r="B46" s="155" t="s">
        <v>94</v>
      </c>
      <c r="C46" s="99">
        <v>30178.86</v>
      </c>
      <c r="D46" s="99">
        <v>30178.86</v>
      </c>
    </row>
    <row r="47" spans="1:4" ht="39" customHeight="1">
      <c r="A47" s="177" t="s">
        <v>159</v>
      </c>
      <c r="B47" s="156" t="s">
        <v>158</v>
      </c>
      <c r="C47" s="99">
        <v>1195335.56</v>
      </c>
      <c r="D47" s="99">
        <v>1195335.56</v>
      </c>
    </row>
    <row r="48" spans="1:4" ht="36">
      <c r="A48" s="175" t="s">
        <v>119</v>
      </c>
      <c r="B48" s="155" t="s">
        <v>95</v>
      </c>
      <c r="C48" s="99">
        <v>6061342.3400000008</v>
      </c>
      <c r="D48" s="99">
        <v>6013314.54</v>
      </c>
    </row>
    <row r="49" spans="1:4" ht="24">
      <c r="A49" s="178" t="s">
        <v>140</v>
      </c>
      <c r="B49" s="155" t="s">
        <v>142</v>
      </c>
      <c r="C49" s="99">
        <v>544768.89</v>
      </c>
      <c r="D49" s="99">
        <v>544768.81000000006</v>
      </c>
    </row>
    <row r="50" spans="1:4" ht="24">
      <c r="A50" s="178" t="s">
        <v>141</v>
      </c>
      <c r="B50" s="157" t="s">
        <v>90</v>
      </c>
      <c r="C50" s="99">
        <v>2267523.11</v>
      </c>
      <c r="D50" s="99">
        <v>2267523.11</v>
      </c>
    </row>
    <row r="51" spans="1:4" ht="24">
      <c r="A51" s="176" t="s">
        <v>120</v>
      </c>
      <c r="B51" s="157" t="s">
        <v>90</v>
      </c>
      <c r="C51" s="99">
        <v>872712</v>
      </c>
      <c r="D51" s="99">
        <v>872712</v>
      </c>
    </row>
    <row r="52" spans="1:4" ht="24">
      <c r="A52" s="176" t="s">
        <v>121</v>
      </c>
      <c r="B52" s="157" t="s">
        <v>90</v>
      </c>
      <c r="C52" s="99">
        <v>200000</v>
      </c>
      <c r="D52" s="99">
        <v>154560.26</v>
      </c>
    </row>
    <row r="53" spans="1:4" ht="36">
      <c r="A53" s="176" t="s">
        <v>122</v>
      </c>
      <c r="B53" s="157" t="s">
        <v>90</v>
      </c>
      <c r="C53" s="99">
        <v>282000</v>
      </c>
      <c r="D53" s="99">
        <v>282000</v>
      </c>
    </row>
    <row r="54" spans="1:4" ht="36">
      <c r="A54" s="176" t="s">
        <v>139</v>
      </c>
      <c r="B54" s="157" t="s">
        <v>90</v>
      </c>
      <c r="C54" s="99">
        <v>210000</v>
      </c>
      <c r="D54" s="99">
        <v>210000</v>
      </c>
    </row>
    <row r="55" spans="1:4" ht="24">
      <c r="A55" s="179" t="s">
        <v>143</v>
      </c>
      <c r="B55" s="157" t="s">
        <v>90</v>
      </c>
      <c r="C55" s="99">
        <v>500000</v>
      </c>
      <c r="D55" s="99">
        <v>500000</v>
      </c>
    </row>
    <row r="56" spans="1:4" ht="24">
      <c r="A56" s="175" t="s">
        <v>138</v>
      </c>
      <c r="B56" s="157" t="s">
        <v>90</v>
      </c>
      <c r="C56" s="99">
        <v>196568</v>
      </c>
      <c r="D56" s="99">
        <v>185876.5</v>
      </c>
    </row>
    <row r="57" spans="1:4" ht="36">
      <c r="A57" s="175" t="s">
        <v>123</v>
      </c>
      <c r="B57" s="157" t="s">
        <v>90</v>
      </c>
      <c r="C57" s="99">
        <v>537519.06999999995</v>
      </c>
      <c r="D57" s="99">
        <v>533513.71</v>
      </c>
    </row>
    <row r="58" spans="1:4" ht="24">
      <c r="A58" s="180" t="s">
        <v>112</v>
      </c>
      <c r="B58" s="23" t="s">
        <v>90</v>
      </c>
      <c r="C58" s="99">
        <v>75900</v>
      </c>
      <c r="D58" s="99">
        <v>75900</v>
      </c>
    </row>
    <row r="59" spans="1:4" ht="72">
      <c r="A59" s="174" t="s">
        <v>75</v>
      </c>
      <c r="B59" s="23" t="s">
        <v>90</v>
      </c>
      <c r="C59" s="99">
        <v>25600</v>
      </c>
      <c r="D59" s="99">
        <v>25600</v>
      </c>
    </row>
    <row r="60" spans="1:4" s="5" customFormat="1" ht="48">
      <c r="A60" s="174" t="s">
        <v>53</v>
      </c>
      <c r="B60" s="23" t="s">
        <v>90</v>
      </c>
      <c r="C60" s="99">
        <v>199600</v>
      </c>
      <c r="D60" s="99">
        <v>175344.87</v>
      </c>
    </row>
    <row r="61" spans="1:4" ht="24">
      <c r="A61" s="174" t="s">
        <v>54</v>
      </c>
      <c r="B61" s="23" t="s">
        <v>90</v>
      </c>
      <c r="C61" s="99">
        <v>1023600</v>
      </c>
      <c r="D61" s="99">
        <v>1023600</v>
      </c>
    </row>
    <row r="62" spans="1:4" ht="60">
      <c r="A62" s="174" t="s">
        <v>86</v>
      </c>
      <c r="B62" s="23" t="s">
        <v>90</v>
      </c>
      <c r="C62" s="99">
        <v>843600</v>
      </c>
      <c r="D62" s="99">
        <v>843600</v>
      </c>
    </row>
    <row r="63" spans="1:4" ht="48">
      <c r="A63" s="174" t="s">
        <v>87</v>
      </c>
      <c r="B63" s="23" t="s">
        <v>90</v>
      </c>
      <c r="C63" s="99">
        <v>20385400</v>
      </c>
      <c r="D63" s="99">
        <v>20385400</v>
      </c>
    </row>
    <row r="64" spans="1:4" ht="17.25" customHeight="1">
      <c r="A64" s="174" t="s">
        <v>55</v>
      </c>
      <c r="B64" s="23" t="s">
        <v>90</v>
      </c>
      <c r="C64" s="99">
        <v>141725600</v>
      </c>
      <c r="D64" s="99">
        <v>141725600</v>
      </c>
    </row>
    <row r="65" spans="1:4" ht="24">
      <c r="A65" s="180" t="s">
        <v>133</v>
      </c>
      <c r="B65" s="23" t="s">
        <v>90</v>
      </c>
      <c r="C65" s="99">
        <v>13938700</v>
      </c>
      <c r="D65" s="99">
        <v>13938700</v>
      </c>
    </row>
    <row r="66" spans="1:4" ht="29.25" customHeight="1">
      <c r="A66" s="180" t="s">
        <v>144</v>
      </c>
      <c r="B66" s="23" t="s">
        <v>90</v>
      </c>
      <c r="C66" s="99">
        <v>167000</v>
      </c>
      <c r="D66" s="99">
        <v>167000</v>
      </c>
    </row>
    <row r="67" spans="1:4" ht="24">
      <c r="A67" s="180" t="s">
        <v>145</v>
      </c>
      <c r="B67" s="23" t="s">
        <v>90</v>
      </c>
      <c r="C67" s="99">
        <v>1346321</v>
      </c>
      <c r="D67" s="99">
        <v>1346321</v>
      </c>
    </row>
    <row r="68" spans="1:4" ht="24">
      <c r="A68" s="181" t="s">
        <v>160</v>
      </c>
      <c r="B68" s="158" t="s">
        <v>90</v>
      </c>
      <c r="C68" s="99">
        <v>470936.12</v>
      </c>
      <c r="D68" s="99">
        <v>470936.12</v>
      </c>
    </row>
    <row r="69" spans="1:4" ht="24">
      <c r="A69" s="180" t="s">
        <v>151</v>
      </c>
      <c r="B69" s="23" t="s">
        <v>90</v>
      </c>
      <c r="C69" s="99">
        <v>600000</v>
      </c>
      <c r="D69" s="99">
        <v>600000</v>
      </c>
    </row>
    <row r="70" spans="1:4" ht="24">
      <c r="A70" s="180" t="s">
        <v>153</v>
      </c>
      <c r="B70" s="23" t="s">
        <v>90</v>
      </c>
      <c r="C70" s="99">
        <v>2000000</v>
      </c>
      <c r="D70" s="99">
        <v>2000000</v>
      </c>
    </row>
    <row r="71" spans="1:4" ht="24">
      <c r="A71" s="179" t="s">
        <v>146</v>
      </c>
      <c r="B71" s="23" t="s">
        <v>90</v>
      </c>
      <c r="C71" s="99">
        <v>2995204.1</v>
      </c>
      <c r="D71" s="99">
        <v>2995204.1</v>
      </c>
    </row>
    <row r="72" spans="1:4" s="25" customFormat="1" ht="30" customHeight="1">
      <c r="A72" s="182" t="s">
        <v>57</v>
      </c>
      <c r="B72" s="28" t="s">
        <v>69</v>
      </c>
      <c r="C72" s="194">
        <v>558739060</v>
      </c>
      <c r="D72" s="194">
        <v>558739060</v>
      </c>
    </row>
    <row r="73" spans="1:4" s="29" customFormat="1" ht="36">
      <c r="A73" s="183" t="s">
        <v>79</v>
      </c>
      <c r="B73" s="28" t="s">
        <v>71</v>
      </c>
      <c r="C73" s="99">
        <v>5724500</v>
      </c>
      <c r="D73" s="99">
        <v>5724500</v>
      </c>
    </row>
    <row r="74" spans="1:4" s="29" customFormat="1" ht="24">
      <c r="A74" s="184" t="s">
        <v>77</v>
      </c>
      <c r="B74" s="28" t="s">
        <v>71</v>
      </c>
      <c r="C74" s="99">
        <v>3246700</v>
      </c>
      <c r="D74" s="99">
        <v>3246700</v>
      </c>
    </row>
    <row r="75" spans="1:4" ht="24">
      <c r="A75" s="174" t="s">
        <v>59</v>
      </c>
      <c r="B75" s="28" t="s">
        <v>71</v>
      </c>
      <c r="C75" s="99">
        <v>999000</v>
      </c>
      <c r="D75" s="99">
        <v>999000</v>
      </c>
    </row>
    <row r="76" spans="1:4" ht="24">
      <c r="A76" s="174" t="s">
        <v>60</v>
      </c>
      <c r="B76" s="28" t="s">
        <v>71</v>
      </c>
      <c r="C76" s="99">
        <v>249700</v>
      </c>
      <c r="D76" s="99">
        <v>249700</v>
      </c>
    </row>
    <row r="77" spans="1:4" ht="24">
      <c r="A77" s="174" t="s">
        <v>61</v>
      </c>
      <c r="B77" s="28" t="s">
        <v>71</v>
      </c>
      <c r="C77" s="99">
        <v>1012500</v>
      </c>
      <c r="D77" s="99">
        <v>1012500</v>
      </c>
    </row>
    <row r="78" spans="1:4" ht="37.5" customHeight="1">
      <c r="A78" s="174" t="s">
        <v>62</v>
      </c>
      <c r="B78" s="28" t="s">
        <v>71</v>
      </c>
      <c r="C78" s="99">
        <v>10000</v>
      </c>
      <c r="D78" s="99">
        <v>10000</v>
      </c>
    </row>
    <row r="79" spans="1:4" ht="24">
      <c r="A79" s="174" t="s">
        <v>63</v>
      </c>
      <c r="B79" s="28" t="s">
        <v>71</v>
      </c>
      <c r="C79" s="99">
        <v>25000</v>
      </c>
      <c r="D79" s="99">
        <v>25000</v>
      </c>
    </row>
    <row r="80" spans="1:4" ht="36">
      <c r="A80" s="185" t="s">
        <v>110</v>
      </c>
      <c r="B80" s="28" t="s">
        <v>71</v>
      </c>
      <c r="C80" s="99">
        <v>5425200</v>
      </c>
      <c r="D80" s="99">
        <v>5425200</v>
      </c>
    </row>
    <row r="81" spans="1:4" ht="36">
      <c r="A81" s="174" t="s">
        <v>76</v>
      </c>
      <c r="B81" s="31" t="s">
        <v>72</v>
      </c>
      <c r="C81" s="99">
        <v>10609300</v>
      </c>
      <c r="D81" s="99">
        <v>10609300</v>
      </c>
    </row>
    <row r="82" spans="1:4" ht="84">
      <c r="A82" s="174" t="s">
        <v>88</v>
      </c>
      <c r="B82" s="31" t="s">
        <v>83</v>
      </c>
      <c r="C82" s="99">
        <v>4521717.7200000007</v>
      </c>
      <c r="D82" s="99">
        <v>4521717.7200000007</v>
      </c>
    </row>
    <row r="83" spans="1:4" ht="36">
      <c r="A83" s="174" t="s">
        <v>58</v>
      </c>
      <c r="B83" s="159" t="s">
        <v>68</v>
      </c>
      <c r="C83" s="99">
        <v>2615700</v>
      </c>
      <c r="D83" s="99">
        <v>2615700</v>
      </c>
    </row>
    <row r="84" spans="1:4" s="25" customFormat="1" ht="48">
      <c r="A84" s="171" t="s">
        <v>109</v>
      </c>
      <c r="B84" s="28" t="s">
        <v>108</v>
      </c>
      <c r="C84" s="99">
        <v>140600</v>
      </c>
      <c r="D84" s="99">
        <v>140600</v>
      </c>
    </row>
    <row r="85" spans="1:4" ht="60">
      <c r="A85" s="174" t="s">
        <v>64</v>
      </c>
      <c r="B85" s="31" t="s">
        <v>82</v>
      </c>
      <c r="C85" s="99">
        <v>2635442.2799999998</v>
      </c>
      <c r="D85" s="99">
        <v>2635442.2799999998</v>
      </c>
    </row>
    <row r="86" spans="1:4" ht="13.5" customHeight="1">
      <c r="A86" s="186" t="s">
        <v>78</v>
      </c>
      <c r="B86" s="31" t="s">
        <v>82</v>
      </c>
      <c r="C86" s="99">
        <v>521523700</v>
      </c>
      <c r="D86" s="99">
        <v>521523700</v>
      </c>
    </row>
    <row r="87" spans="1:4" s="29" customFormat="1" ht="30" customHeight="1">
      <c r="A87" s="164" t="s">
        <v>65</v>
      </c>
      <c r="B87" s="33" t="s">
        <v>84</v>
      </c>
      <c r="C87" s="194">
        <v>57752931.559999995</v>
      </c>
      <c r="D87" s="194">
        <v>57752931.559999995</v>
      </c>
    </row>
    <row r="88" spans="1:4" s="29" customFormat="1" ht="24">
      <c r="A88" s="187" t="s">
        <v>124</v>
      </c>
      <c r="B88" s="160" t="s">
        <v>114</v>
      </c>
      <c r="C88" s="99">
        <v>30000</v>
      </c>
      <c r="D88" s="99">
        <v>30000</v>
      </c>
    </row>
    <row r="89" spans="1:4" s="29" customFormat="1" ht="24">
      <c r="A89" s="187" t="s">
        <v>113</v>
      </c>
      <c r="B89" s="160" t="s">
        <v>114</v>
      </c>
      <c r="C89" s="99">
        <v>77463</v>
      </c>
      <c r="D89" s="99">
        <v>77463</v>
      </c>
    </row>
    <row r="90" spans="1:4" s="29" customFormat="1" ht="24">
      <c r="A90" s="188" t="s">
        <v>148</v>
      </c>
      <c r="B90" s="16" t="s">
        <v>85</v>
      </c>
      <c r="C90" s="99">
        <v>1318627.44</v>
      </c>
      <c r="D90" s="99">
        <v>1318627.44</v>
      </c>
    </row>
    <row r="91" spans="1:4" ht="72">
      <c r="A91" s="189" t="s">
        <v>111</v>
      </c>
      <c r="B91" s="16" t="s">
        <v>85</v>
      </c>
      <c r="C91" s="99">
        <v>47820400</v>
      </c>
      <c r="D91" s="99">
        <v>47820400</v>
      </c>
    </row>
    <row r="92" spans="1:4" ht="60">
      <c r="A92" s="166" t="s">
        <v>89</v>
      </c>
      <c r="B92" s="16" t="s">
        <v>85</v>
      </c>
      <c r="C92" s="99">
        <v>152400.12</v>
      </c>
      <c r="D92" s="99">
        <v>152400.12</v>
      </c>
    </row>
    <row r="93" spans="1:4" ht="51.75" customHeight="1">
      <c r="A93" s="190" t="s">
        <v>161</v>
      </c>
      <c r="B93" s="161" t="s">
        <v>85</v>
      </c>
      <c r="C93" s="99">
        <v>3784200</v>
      </c>
      <c r="D93" s="99">
        <v>3784200</v>
      </c>
    </row>
    <row r="94" spans="1:4" ht="24">
      <c r="A94" s="190" t="s">
        <v>162</v>
      </c>
      <c r="B94" s="161" t="s">
        <v>85</v>
      </c>
      <c r="C94" s="99">
        <v>105000</v>
      </c>
      <c r="D94" s="99">
        <v>105000</v>
      </c>
    </row>
    <row r="95" spans="1:4" ht="24">
      <c r="A95" s="190" t="s">
        <v>134</v>
      </c>
      <c r="B95" s="16" t="s">
        <v>85</v>
      </c>
      <c r="C95" s="99">
        <v>2496600</v>
      </c>
      <c r="D95" s="99">
        <v>2496600</v>
      </c>
    </row>
    <row r="96" spans="1:4" ht="24">
      <c r="A96" s="190" t="s">
        <v>147</v>
      </c>
      <c r="B96" s="16" t="s">
        <v>85</v>
      </c>
      <c r="C96" s="99">
        <v>900000</v>
      </c>
      <c r="D96" s="99">
        <v>900000</v>
      </c>
    </row>
    <row r="97" spans="1:4" ht="25.5" customHeight="1">
      <c r="A97" s="190" t="s">
        <v>149</v>
      </c>
      <c r="B97" s="16" t="s">
        <v>85</v>
      </c>
      <c r="C97" s="99">
        <v>250000</v>
      </c>
      <c r="D97" s="99">
        <v>250000</v>
      </c>
    </row>
    <row r="98" spans="1:4" ht="24">
      <c r="A98" s="190" t="s">
        <v>163</v>
      </c>
      <c r="B98" s="16" t="s">
        <v>85</v>
      </c>
      <c r="C98" s="99">
        <v>616400</v>
      </c>
      <c r="D98" s="99">
        <v>616400</v>
      </c>
    </row>
    <row r="99" spans="1:4" ht="24">
      <c r="A99" s="190" t="s">
        <v>150</v>
      </c>
      <c r="B99" s="16" t="s">
        <v>85</v>
      </c>
      <c r="C99" s="99">
        <v>201841</v>
      </c>
      <c r="D99" s="99">
        <v>201841</v>
      </c>
    </row>
    <row r="100" spans="1:4" s="64" customFormat="1" ht="18.75" customHeight="1">
      <c r="A100" s="191" t="s">
        <v>96</v>
      </c>
      <c r="B100" s="202" t="s">
        <v>97</v>
      </c>
      <c r="C100" s="196">
        <v>5976584.8099999996</v>
      </c>
      <c r="D100" s="196">
        <v>5976584.8099999996</v>
      </c>
    </row>
    <row r="101" spans="1:4" ht="13.5" customHeight="1">
      <c r="A101" s="175" t="s">
        <v>98</v>
      </c>
      <c r="B101" s="162" t="s">
        <v>99</v>
      </c>
      <c r="C101" s="99">
        <v>5976584.8099999996</v>
      </c>
      <c r="D101" s="99">
        <v>5976584.8099999996</v>
      </c>
    </row>
    <row r="102" spans="1:4" s="64" customFormat="1" ht="43.5" customHeight="1">
      <c r="A102" s="191" t="s">
        <v>100</v>
      </c>
      <c r="B102" s="202" t="s">
        <v>101</v>
      </c>
      <c r="C102" s="197">
        <v>1752288.0899999999</v>
      </c>
      <c r="D102" s="197">
        <v>1752288.0899999999</v>
      </c>
    </row>
    <row r="103" spans="1:4" s="64" customFormat="1" ht="48" customHeight="1">
      <c r="A103" s="192" t="s">
        <v>125</v>
      </c>
      <c r="B103" s="154" t="s">
        <v>126</v>
      </c>
      <c r="C103" s="198">
        <v>1136104.44</v>
      </c>
      <c r="D103" s="198">
        <v>1136104.44</v>
      </c>
    </row>
    <row r="104" spans="1:4" s="64" customFormat="1" ht="39.75" customHeight="1">
      <c r="A104" s="171" t="s">
        <v>129</v>
      </c>
      <c r="B104" s="154" t="s">
        <v>128</v>
      </c>
      <c r="C104" s="198">
        <v>1377.13</v>
      </c>
      <c r="D104" s="198">
        <v>1377.13</v>
      </c>
    </row>
    <row r="105" spans="1:4" ht="36">
      <c r="A105" s="175" t="s">
        <v>102</v>
      </c>
      <c r="B105" s="163" t="s">
        <v>103</v>
      </c>
      <c r="C105" s="198">
        <v>614806.52</v>
      </c>
      <c r="D105" s="198">
        <v>614806.52</v>
      </c>
    </row>
    <row r="106" spans="1:4" s="64" customFormat="1" ht="18.75" customHeight="1">
      <c r="A106" s="191" t="s">
        <v>104</v>
      </c>
      <c r="B106" s="202" t="s">
        <v>105</v>
      </c>
      <c r="C106" s="199">
        <v>-1782120.7399999998</v>
      </c>
      <c r="D106" s="199">
        <v>-1824756.7399999998</v>
      </c>
    </row>
    <row r="107" spans="1:4" s="64" customFormat="1" ht="50.25" customHeight="1">
      <c r="A107" s="171" t="s">
        <v>132</v>
      </c>
      <c r="B107" s="154" t="s">
        <v>131</v>
      </c>
      <c r="C107" s="198">
        <v>-1165937.69</v>
      </c>
      <c r="D107" s="198">
        <v>-1165937.69</v>
      </c>
    </row>
    <row r="108" spans="1:4" s="64" customFormat="1" ht="36">
      <c r="A108" s="192" t="s">
        <v>130</v>
      </c>
      <c r="B108" s="154" t="s">
        <v>127</v>
      </c>
      <c r="C108" s="198">
        <v>-1377.13</v>
      </c>
      <c r="D108" s="198">
        <v>-1377.13</v>
      </c>
    </row>
    <row r="109" spans="1:4" ht="36">
      <c r="A109" s="175" t="s">
        <v>106</v>
      </c>
      <c r="B109" s="162" t="s">
        <v>107</v>
      </c>
      <c r="C109" s="198">
        <v>-614805.92000000004</v>
      </c>
      <c r="D109" s="198">
        <v>-657441.92000000004</v>
      </c>
    </row>
    <row r="110" spans="1:4" s="25" customFormat="1" ht="18.75" customHeight="1">
      <c r="A110" s="193" t="s">
        <v>67</v>
      </c>
      <c r="B110" s="18"/>
      <c r="C110" s="209">
        <v>945062710.56999993</v>
      </c>
      <c r="D110" s="209">
        <v>944664043.76999986</v>
      </c>
    </row>
    <row r="111" spans="1:4" s="25" customFormat="1" ht="18.75" customHeight="1" collapsed="1">
      <c r="A111" s="193" t="s">
        <v>66</v>
      </c>
      <c r="B111" s="4"/>
      <c r="C111" s="212">
        <v>1181376686.8099999</v>
      </c>
      <c r="D111" s="212">
        <v>1193367040.27</v>
      </c>
    </row>
    <row r="112" spans="1:4">
      <c r="D112" s="211">
        <f>1193367040.27-D111</f>
        <v>0</v>
      </c>
    </row>
    <row r="114" spans="3:4">
      <c r="C114" s="211"/>
      <c r="D114" s="211"/>
    </row>
  </sheetData>
  <mergeCells count="1">
    <mergeCell ref="A5:D5"/>
  </mergeCells>
  <pageMargins left="0.74" right="0.19685039370078741" top="0.39" bottom="0.33" header="0.21" footer="0"/>
  <pageSetup paperSize="9" scale="9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ПЗ</vt:lpstr>
      <vt:lpstr>Приложение доходы</vt:lpstr>
      <vt:lpstr>ПЗ!Заголовки_для_печати</vt:lpstr>
      <vt:lpstr>'Приложение доходы'!Заголовки_для_печати</vt:lpstr>
      <vt:lpstr>ПЗ!Область_печати</vt:lpstr>
      <vt:lpstr>'Приложение доходы'!Область_печати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2019-04-30T12:07:01Z</cp:lastPrinted>
  <dcterms:created xsi:type="dcterms:W3CDTF">2015-11-20T04:47:03Z</dcterms:created>
  <dcterms:modified xsi:type="dcterms:W3CDTF">2019-04-30T12:07:05Z</dcterms:modified>
</cp:coreProperties>
</file>