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Приложение доходы " sheetId="5" r:id="rId1"/>
    <sheet name="Пояснительная записка" sheetId="6" r:id="rId2"/>
  </sheets>
  <definedNames>
    <definedName name="А134" localSheetId="1">#REF!</definedName>
    <definedName name="А134" localSheetId="0">#REF!</definedName>
    <definedName name="А134">#REF!</definedName>
    <definedName name="ДЕКАБРЬ" localSheetId="1">#REF!</definedName>
    <definedName name="ДЕКАБРЬ" localSheetId="0">#REF!</definedName>
    <definedName name="ДЕКАБРЬ">#REF!</definedName>
    <definedName name="ДЕКАБРЬ.2" localSheetId="1">#REF!</definedName>
    <definedName name="ДЕКАБРЬ.2" localSheetId="0">#REF!</definedName>
    <definedName name="ДЕКАБРЬ.2">#REF!</definedName>
    <definedName name="_xlnm.Print_Titles" localSheetId="1">'Пояснительная записка'!$29:$29</definedName>
    <definedName name="_xlnm.Print_Titles" localSheetId="0">'Приложение доходы '!$34:$34</definedName>
    <definedName name="нгша" localSheetId="1">#REF!</definedName>
    <definedName name="нгша" localSheetId="0">#REF!</definedName>
    <definedName name="нгша">#REF!</definedName>
    <definedName name="ноябрь" localSheetId="1">#REF!</definedName>
    <definedName name="ноябрь" localSheetId="0">#REF!</definedName>
    <definedName name="ноябрь">#REF!</definedName>
    <definedName name="_xlnm.Print_Area" localSheetId="1">'Пояснительная записка'!$A$1:$S$131</definedName>
    <definedName name="_xlnm.Print_Area" localSheetId="0">'Приложение доходы '!$A$1:$S$136</definedName>
    <definedName name="октябрь" localSheetId="1">#REF!</definedName>
    <definedName name="октябрь" localSheetId="0">#REF!</definedName>
    <definedName name="октябрь">#REF!</definedName>
    <definedName name="пппп" localSheetId="1">#REF!</definedName>
    <definedName name="пппп" localSheetId="0">#REF!</definedName>
    <definedName name="пппп">#REF!</definedName>
    <definedName name="ыфва" localSheetId="1">#REF!</definedName>
    <definedName name="ыфва" localSheetId="0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R115" i="5"/>
  <c r="R110" i="6"/>
  <c r="R81" i="5"/>
  <c r="R76" i="6"/>
  <c r="R131" i="5"/>
  <c r="R127"/>
  <c r="R126"/>
  <c r="R125"/>
  <c r="R112"/>
  <c r="R97"/>
  <c r="R75"/>
  <c r="R74"/>
  <c r="R67" s="1"/>
  <c r="R64"/>
  <c r="R59"/>
  <c r="R58" s="1"/>
  <c r="R56"/>
  <c r="R55"/>
  <c r="R53"/>
  <c r="R52"/>
  <c r="R51"/>
  <c r="R49"/>
  <c r="R47" s="1"/>
  <c r="R46"/>
  <c r="R44"/>
  <c r="R43"/>
  <c r="R41" s="1"/>
  <c r="R39"/>
  <c r="R37"/>
  <c r="R63" l="1"/>
  <c r="R62" s="1"/>
  <c r="R135" s="1"/>
  <c r="R36"/>
  <c r="S50"/>
  <c r="O134"/>
  <c r="Q134" s="1"/>
  <c r="S134" s="1"/>
  <c r="F134"/>
  <c r="G134" s="1"/>
  <c r="E134"/>
  <c r="O133"/>
  <c r="F133"/>
  <c r="G133" s="1"/>
  <c r="O132"/>
  <c r="Q132" s="1"/>
  <c r="S132" s="1"/>
  <c r="F132"/>
  <c r="G132" s="1"/>
  <c r="P131"/>
  <c r="N131"/>
  <c r="M131"/>
  <c r="L131"/>
  <c r="K131"/>
  <c r="J131"/>
  <c r="I131"/>
  <c r="H131"/>
  <c r="E131"/>
  <c r="D131"/>
  <c r="C131"/>
  <c r="O130"/>
  <c r="F130"/>
  <c r="G130" s="1"/>
  <c r="E130"/>
  <c r="O129"/>
  <c r="Q129" s="1"/>
  <c r="S129" s="1"/>
  <c r="G129"/>
  <c r="O128"/>
  <c r="Q128" s="1"/>
  <c r="S128" s="1"/>
  <c r="G128"/>
  <c r="P127"/>
  <c r="N127"/>
  <c r="M127"/>
  <c r="L127"/>
  <c r="K127"/>
  <c r="J127"/>
  <c r="I127"/>
  <c r="H127"/>
  <c r="F127"/>
  <c r="E127"/>
  <c r="D127"/>
  <c r="C127"/>
  <c r="O126"/>
  <c r="P126" s="1"/>
  <c r="F126"/>
  <c r="G126" s="1"/>
  <c r="E126"/>
  <c r="N125"/>
  <c r="L125"/>
  <c r="J125"/>
  <c r="H125"/>
  <c r="F125"/>
  <c r="D125"/>
  <c r="C125"/>
  <c r="E125" s="1"/>
  <c r="G125" s="1"/>
  <c r="I125" s="1"/>
  <c r="K125" s="1"/>
  <c r="M125" s="1"/>
  <c r="S124"/>
  <c r="Q124"/>
  <c r="O124"/>
  <c r="S123"/>
  <c r="S122"/>
  <c r="Q122"/>
  <c r="O122"/>
  <c r="O121"/>
  <c r="Q121" s="1"/>
  <c r="S121" s="1"/>
  <c r="I120"/>
  <c r="K120" s="1"/>
  <c r="M120" s="1"/>
  <c r="O120" s="1"/>
  <c r="Q120" s="1"/>
  <c r="S120" s="1"/>
  <c r="S119"/>
  <c r="S118"/>
  <c r="O117"/>
  <c r="Q117" s="1"/>
  <c r="S117" s="1"/>
  <c r="E117"/>
  <c r="O116"/>
  <c r="Q116" s="1"/>
  <c r="S116" s="1"/>
  <c r="P115"/>
  <c r="M115"/>
  <c r="O114"/>
  <c r="Q114" s="1"/>
  <c r="S114" s="1"/>
  <c r="K114"/>
  <c r="I114"/>
  <c r="G114"/>
  <c r="E114"/>
  <c r="O113"/>
  <c r="Q113" s="1"/>
  <c r="S113" s="1"/>
  <c r="G113"/>
  <c r="P112"/>
  <c r="N112"/>
  <c r="L112"/>
  <c r="J112"/>
  <c r="I112"/>
  <c r="H112"/>
  <c r="F112"/>
  <c r="E112"/>
  <c r="D112"/>
  <c r="C112"/>
  <c r="I111"/>
  <c r="K111" s="1"/>
  <c r="O110"/>
  <c r="Q110" s="1"/>
  <c r="S110" s="1"/>
  <c r="E110"/>
  <c r="O109"/>
  <c r="Q109" s="1"/>
  <c r="S109" s="1"/>
  <c r="O108"/>
  <c r="P108" s="1"/>
  <c r="P107"/>
  <c r="Q107" s="1"/>
  <c r="S107" s="1"/>
  <c r="O107"/>
  <c r="E107"/>
  <c r="O106"/>
  <c r="Q106" s="1"/>
  <c r="S106" s="1"/>
  <c r="P105"/>
  <c r="O105"/>
  <c r="Q105" s="1"/>
  <c r="S105" s="1"/>
  <c r="E105"/>
  <c r="E97" s="1"/>
  <c r="O104"/>
  <c r="Q104" s="1"/>
  <c r="S104" s="1"/>
  <c r="O103"/>
  <c r="Q103" s="1"/>
  <c r="S103" s="1"/>
  <c r="Q102"/>
  <c r="S102" s="1"/>
  <c r="O102"/>
  <c r="O101"/>
  <c r="Q101" s="1"/>
  <c r="S101" s="1"/>
  <c r="O100"/>
  <c r="O99"/>
  <c r="Q99" s="1"/>
  <c r="S99" s="1"/>
  <c r="O98"/>
  <c r="Q98" s="1"/>
  <c r="S98" s="1"/>
  <c r="N97"/>
  <c r="L97"/>
  <c r="J97"/>
  <c r="H97"/>
  <c r="G97"/>
  <c r="F97"/>
  <c r="D97"/>
  <c r="C97"/>
  <c r="O96"/>
  <c r="Q96" s="1"/>
  <c r="S96" s="1"/>
  <c r="Q95"/>
  <c r="S95" s="1"/>
  <c r="O94"/>
  <c r="Q94" s="1"/>
  <c r="S94" s="1"/>
  <c r="S93"/>
  <c r="M92"/>
  <c r="O92" s="1"/>
  <c r="Q92" s="1"/>
  <c r="S92" s="1"/>
  <c r="O91"/>
  <c r="Q91" s="1"/>
  <c r="S91" s="1"/>
  <c r="M91"/>
  <c r="I90"/>
  <c r="K90" s="1"/>
  <c r="M90" s="1"/>
  <c r="O89"/>
  <c r="Q89" s="1"/>
  <c r="S89" s="1"/>
  <c r="O88"/>
  <c r="P88" s="1"/>
  <c r="O87"/>
  <c r="Q87" s="1"/>
  <c r="S87" s="1"/>
  <c r="Q86"/>
  <c r="S86" s="1"/>
  <c r="O86"/>
  <c r="E86"/>
  <c r="O85"/>
  <c r="Q85" s="1"/>
  <c r="S85" s="1"/>
  <c r="O84"/>
  <c r="Q84" s="1"/>
  <c r="S84" s="1"/>
  <c r="O83"/>
  <c r="Q83" s="1"/>
  <c r="S83" s="1"/>
  <c r="E83"/>
  <c r="O82"/>
  <c r="Q82" s="1"/>
  <c r="S82" s="1"/>
  <c r="G82"/>
  <c r="O81"/>
  <c r="Q81" s="1"/>
  <c r="S81" s="1"/>
  <c r="K81"/>
  <c r="M80"/>
  <c r="O80" s="1"/>
  <c r="Q80" s="1"/>
  <c r="S80" s="1"/>
  <c r="O79"/>
  <c r="Q79" s="1"/>
  <c r="S79" s="1"/>
  <c r="K79"/>
  <c r="O78"/>
  <c r="Q78" s="1"/>
  <c r="S78" s="1"/>
  <c r="G78"/>
  <c r="O77"/>
  <c r="Q77" s="1"/>
  <c r="S77" s="1"/>
  <c r="G77"/>
  <c r="O76"/>
  <c r="Q76" s="1"/>
  <c r="S76" s="1"/>
  <c r="G76"/>
  <c r="O75"/>
  <c r="Q75" s="1"/>
  <c r="S75" s="1"/>
  <c r="M75"/>
  <c r="M74"/>
  <c r="O74" s="1"/>
  <c r="Q74" s="1"/>
  <c r="P73"/>
  <c r="Q73" s="1"/>
  <c r="S73" s="1"/>
  <c r="O73"/>
  <c r="G73"/>
  <c r="S72"/>
  <c r="O71"/>
  <c r="Q71" s="1"/>
  <c r="S71" s="1"/>
  <c r="G71"/>
  <c r="O70"/>
  <c r="Q70" s="1"/>
  <c r="S70" s="1"/>
  <c r="K70"/>
  <c r="K67" s="1"/>
  <c r="O69"/>
  <c r="Q69" s="1"/>
  <c r="S69" s="1"/>
  <c r="G69"/>
  <c r="G67" s="1"/>
  <c r="O68"/>
  <c r="N67"/>
  <c r="L67"/>
  <c r="L63" s="1"/>
  <c r="L62" s="1"/>
  <c r="L135" s="1"/>
  <c r="J67"/>
  <c r="I67"/>
  <c r="H67"/>
  <c r="H63" s="1"/>
  <c r="H62" s="1"/>
  <c r="H135" s="1"/>
  <c r="F67"/>
  <c r="E67"/>
  <c r="D67"/>
  <c r="D63" s="1"/>
  <c r="D62" s="1"/>
  <c r="D135" s="1"/>
  <c r="D136" s="1"/>
  <c r="C67"/>
  <c r="S66"/>
  <c r="Q65"/>
  <c r="S65" s="1"/>
  <c r="P64"/>
  <c r="O64"/>
  <c r="N64"/>
  <c r="M64"/>
  <c r="K64"/>
  <c r="I64"/>
  <c r="G64"/>
  <c r="E64"/>
  <c r="C64"/>
  <c r="N63"/>
  <c r="N62" s="1"/>
  <c r="N135" s="1"/>
  <c r="J63"/>
  <c r="J62" s="1"/>
  <c r="J135" s="1"/>
  <c r="F63"/>
  <c r="C63"/>
  <c r="C62" s="1"/>
  <c r="C135" s="1"/>
  <c r="Q61"/>
  <c r="S61" s="1"/>
  <c r="Q60"/>
  <c r="S60" s="1"/>
  <c r="S59"/>
  <c r="Q59"/>
  <c r="O58"/>
  <c r="Q58" s="1"/>
  <c r="M58"/>
  <c r="K58"/>
  <c r="I58"/>
  <c r="G58"/>
  <c r="E58"/>
  <c r="C58"/>
  <c r="Q57"/>
  <c r="S57" s="1"/>
  <c r="H56"/>
  <c r="I56" s="1"/>
  <c r="P55"/>
  <c r="N55"/>
  <c r="N36" s="1"/>
  <c r="L55"/>
  <c r="J55"/>
  <c r="J36" s="1"/>
  <c r="H55"/>
  <c r="G55"/>
  <c r="E55"/>
  <c r="C55"/>
  <c r="Q54"/>
  <c r="S54" s="1"/>
  <c r="S53"/>
  <c r="O53"/>
  <c r="Q53" s="1"/>
  <c r="M53"/>
  <c r="K53"/>
  <c r="I53"/>
  <c r="G53"/>
  <c r="E53"/>
  <c r="C53"/>
  <c r="S52"/>
  <c r="Q52"/>
  <c r="S51"/>
  <c r="Q51"/>
  <c r="S49"/>
  <c r="Q49"/>
  <c r="Q48"/>
  <c r="O47"/>
  <c r="Q47" s="1"/>
  <c r="M47"/>
  <c r="K47"/>
  <c r="I47"/>
  <c r="G47"/>
  <c r="E47"/>
  <c r="C47"/>
  <c r="S46"/>
  <c r="Q46"/>
  <c r="S45"/>
  <c r="Q44"/>
  <c r="S44" s="1"/>
  <c r="Q43"/>
  <c r="S43" s="1"/>
  <c r="Q42"/>
  <c r="O41"/>
  <c r="Q41" s="1"/>
  <c r="M41"/>
  <c r="K41"/>
  <c r="I41"/>
  <c r="G41"/>
  <c r="E41"/>
  <c r="C41"/>
  <c r="Q40"/>
  <c r="O39"/>
  <c r="M39"/>
  <c r="K39"/>
  <c r="I39"/>
  <c r="G39"/>
  <c r="E39"/>
  <c r="C39"/>
  <c r="S38"/>
  <c r="Q38"/>
  <c r="P37"/>
  <c r="O37"/>
  <c r="Q37" s="1"/>
  <c r="M37"/>
  <c r="K37"/>
  <c r="I37"/>
  <c r="G37"/>
  <c r="E37"/>
  <c r="C37"/>
  <c r="C36" s="1"/>
  <c r="P36"/>
  <c r="L36"/>
  <c r="H36"/>
  <c r="S40" i="6"/>
  <c r="S118"/>
  <c r="R47"/>
  <c r="R48"/>
  <c r="R34"/>
  <c r="S114"/>
  <c r="S113"/>
  <c r="S88"/>
  <c r="R136" i="5" l="1"/>
  <c r="S64"/>
  <c r="I55"/>
  <c r="K56"/>
  <c r="M56" s="1"/>
  <c r="O56" s="1"/>
  <c r="L136"/>
  <c r="G112"/>
  <c r="O125"/>
  <c r="S127"/>
  <c r="G131"/>
  <c r="O131"/>
  <c r="G36"/>
  <c r="Q64"/>
  <c r="E63"/>
  <c r="E62" s="1"/>
  <c r="E135" s="1"/>
  <c r="Q127"/>
  <c r="O127"/>
  <c r="E36"/>
  <c r="Q131"/>
  <c r="I36"/>
  <c r="N136"/>
  <c r="H136"/>
  <c r="S40"/>
  <c r="S42"/>
  <c r="S41"/>
  <c r="S74"/>
  <c r="Q108"/>
  <c r="S108" s="1"/>
  <c r="P97"/>
  <c r="M111"/>
  <c r="K97"/>
  <c r="M55"/>
  <c r="Q88"/>
  <c r="S88" s="1"/>
  <c r="P67"/>
  <c r="P63" s="1"/>
  <c r="P125"/>
  <c r="Q125" s="1"/>
  <c r="Q126"/>
  <c r="J136"/>
  <c r="E136"/>
  <c r="G63"/>
  <c r="M112"/>
  <c r="S131"/>
  <c r="S48"/>
  <c r="S47"/>
  <c r="M67"/>
  <c r="O90"/>
  <c r="Q90" s="1"/>
  <c r="S90" s="1"/>
  <c r="M36"/>
  <c r="C136"/>
  <c r="K112"/>
  <c r="K63" s="1"/>
  <c r="K62" s="1"/>
  <c r="K135" s="1"/>
  <c r="G127"/>
  <c r="Q39"/>
  <c r="K55"/>
  <c r="K36" s="1"/>
  <c r="S58"/>
  <c r="Q68"/>
  <c r="I97"/>
  <c r="I63" s="1"/>
  <c r="I62" s="1"/>
  <c r="I135" s="1"/>
  <c r="I136" s="1"/>
  <c r="Q100"/>
  <c r="S100" s="1"/>
  <c r="F131"/>
  <c r="F62" s="1"/>
  <c r="F135" s="1"/>
  <c r="F136" s="1"/>
  <c r="O115"/>
  <c r="Q115" s="1"/>
  <c r="S115" s="1"/>
  <c r="Q130"/>
  <c r="S130" s="1"/>
  <c r="Q133"/>
  <c r="S133" s="1"/>
  <c r="S67" i="6"/>
  <c r="R59"/>
  <c r="S61"/>
  <c r="O112" i="5" l="1"/>
  <c r="Q112" s="1"/>
  <c r="O67"/>
  <c r="S125"/>
  <c r="S126"/>
  <c r="O111"/>
  <c r="M97"/>
  <c r="M63" s="1"/>
  <c r="M62" s="1"/>
  <c r="M135" s="1"/>
  <c r="M136" s="1"/>
  <c r="S112"/>
  <c r="P62"/>
  <c r="S68"/>
  <c r="Q67"/>
  <c r="S37"/>
  <c r="Q56"/>
  <c r="O55"/>
  <c r="K136"/>
  <c r="G62"/>
  <c r="G135" s="1"/>
  <c r="G136" s="1"/>
  <c r="S39"/>
  <c r="S45" i="6"/>
  <c r="S56" i="5" l="1"/>
  <c r="S67"/>
  <c r="Q111"/>
  <c r="S111" s="1"/>
  <c r="O97"/>
  <c r="Q55"/>
  <c r="Q36" s="1"/>
  <c r="O36"/>
  <c r="P135"/>
  <c r="R126" i="6"/>
  <c r="R122"/>
  <c r="R107"/>
  <c r="R92"/>
  <c r="R32"/>
  <c r="S55" i="5" l="1"/>
  <c r="S36" s="1"/>
  <c r="P136"/>
  <c r="O63"/>
  <c r="Q97"/>
  <c r="Q90" i="6"/>
  <c r="S90" s="1"/>
  <c r="Q33"/>
  <c r="S33" s="1"/>
  <c r="Q35"/>
  <c r="S35" s="1"/>
  <c r="Q37"/>
  <c r="S37" s="1"/>
  <c r="Q38"/>
  <c r="Q39"/>
  <c r="Q41"/>
  <c r="Q43"/>
  <c r="S43" s="1"/>
  <c r="Q44"/>
  <c r="Q46"/>
  <c r="Q47"/>
  <c r="S47" s="1"/>
  <c r="Q49"/>
  <c r="S49" s="1"/>
  <c r="Q52"/>
  <c r="S52" s="1"/>
  <c r="Q54"/>
  <c r="Q55"/>
  <c r="S55" s="1"/>
  <c r="Q56"/>
  <c r="S56" s="1"/>
  <c r="Q60"/>
  <c r="P32"/>
  <c r="R44" l="1"/>
  <c r="S44" s="1"/>
  <c r="S38"/>
  <c r="R38"/>
  <c r="R54"/>
  <c r="R53" s="1"/>
  <c r="S46"/>
  <c r="R46"/>
  <c r="R39"/>
  <c r="R36" s="1"/>
  <c r="S41"/>
  <c r="R41"/>
  <c r="S97" i="5"/>
  <c r="O62"/>
  <c r="Q63"/>
  <c r="S63" s="1"/>
  <c r="Q59" i="6"/>
  <c r="S60"/>
  <c r="S59" s="1"/>
  <c r="R42" l="1"/>
  <c r="S39"/>
  <c r="S54"/>
  <c r="O135" i="5"/>
  <c r="Q62"/>
  <c r="S62" s="1"/>
  <c r="O129" i="6"/>
  <c r="Q129" s="1"/>
  <c r="S129" s="1"/>
  <c r="F129"/>
  <c r="G129" s="1"/>
  <c r="E129"/>
  <c r="E126" s="1"/>
  <c r="O128"/>
  <c r="Q128" s="1"/>
  <c r="S128" s="1"/>
  <c r="F128"/>
  <c r="G128" s="1"/>
  <c r="O127"/>
  <c r="G127"/>
  <c r="F127"/>
  <c r="P126"/>
  <c r="N126"/>
  <c r="M126"/>
  <c r="L126"/>
  <c r="K126"/>
  <c r="J126"/>
  <c r="I126"/>
  <c r="H126"/>
  <c r="F126"/>
  <c r="D126"/>
  <c r="C126"/>
  <c r="O125"/>
  <c r="Q125" s="1"/>
  <c r="S125" s="1"/>
  <c r="F125"/>
  <c r="G125" s="1"/>
  <c r="E125"/>
  <c r="E122" s="1"/>
  <c r="O124"/>
  <c r="Q124" s="1"/>
  <c r="S124" s="1"/>
  <c r="G124"/>
  <c r="O123"/>
  <c r="G123"/>
  <c r="P122"/>
  <c r="N122"/>
  <c r="M122"/>
  <c r="L122"/>
  <c r="K122"/>
  <c r="J122"/>
  <c r="I122"/>
  <c r="H122"/>
  <c r="D122"/>
  <c r="C122"/>
  <c r="O121"/>
  <c r="P121" s="1"/>
  <c r="Q121" s="1"/>
  <c r="R121" s="1"/>
  <c r="F121"/>
  <c r="F120" s="1"/>
  <c r="E121"/>
  <c r="G121" s="1"/>
  <c r="N120"/>
  <c r="L120"/>
  <c r="J120"/>
  <c r="H120"/>
  <c r="D120"/>
  <c r="C120"/>
  <c r="O119"/>
  <c r="Q119" s="1"/>
  <c r="S119" s="1"/>
  <c r="O117"/>
  <c r="Q117" s="1"/>
  <c r="S117" s="1"/>
  <c r="O116"/>
  <c r="Q116" s="1"/>
  <c r="S116" s="1"/>
  <c r="I115"/>
  <c r="K115" s="1"/>
  <c r="M115" s="1"/>
  <c r="O115" s="1"/>
  <c r="Q115" s="1"/>
  <c r="S115" s="1"/>
  <c r="O112"/>
  <c r="Q112" s="1"/>
  <c r="S112" s="1"/>
  <c r="E112"/>
  <c r="O111"/>
  <c r="Q111" s="1"/>
  <c r="S111" s="1"/>
  <c r="P110"/>
  <c r="M110"/>
  <c r="O109"/>
  <c r="Q109" s="1"/>
  <c r="S109" s="1"/>
  <c r="I109"/>
  <c r="K109" s="1"/>
  <c r="G109"/>
  <c r="E109"/>
  <c r="O108"/>
  <c r="Q108" s="1"/>
  <c r="S108" s="1"/>
  <c r="G108"/>
  <c r="P107"/>
  <c r="N107"/>
  <c r="L107"/>
  <c r="J107"/>
  <c r="H107"/>
  <c r="F107"/>
  <c r="D107"/>
  <c r="I106"/>
  <c r="K106" s="1"/>
  <c r="O105"/>
  <c r="Q105" s="1"/>
  <c r="S105" s="1"/>
  <c r="E105"/>
  <c r="O104"/>
  <c r="Q104" s="1"/>
  <c r="S104" s="1"/>
  <c r="O103"/>
  <c r="P102"/>
  <c r="O102"/>
  <c r="E102"/>
  <c r="O101"/>
  <c r="Q101" s="1"/>
  <c r="S101" s="1"/>
  <c r="P100"/>
  <c r="O100"/>
  <c r="E100"/>
  <c r="O99"/>
  <c r="Q99" s="1"/>
  <c r="S99" s="1"/>
  <c r="O98"/>
  <c r="Q98" s="1"/>
  <c r="S98" s="1"/>
  <c r="O97"/>
  <c r="Q97" s="1"/>
  <c r="S97" s="1"/>
  <c r="O96"/>
  <c r="Q96" s="1"/>
  <c r="S96" s="1"/>
  <c r="O95"/>
  <c r="Q95" s="1"/>
  <c r="S95" s="1"/>
  <c r="O94"/>
  <c r="Q94" s="1"/>
  <c r="S94" s="1"/>
  <c r="O93"/>
  <c r="Q93" s="1"/>
  <c r="S93" s="1"/>
  <c r="N92"/>
  <c r="L92"/>
  <c r="J92"/>
  <c r="H92"/>
  <c r="G92"/>
  <c r="F92"/>
  <c r="D92"/>
  <c r="C92"/>
  <c r="O91"/>
  <c r="Q91" s="1"/>
  <c r="S91" s="1"/>
  <c r="O89"/>
  <c r="Q89" s="1"/>
  <c r="S89" s="1"/>
  <c r="M87"/>
  <c r="O87" s="1"/>
  <c r="Q87" s="1"/>
  <c r="S87" s="1"/>
  <c r="M86"/>
  <c r="O86" s="1"/>
  <c r="Q86" s="1"/>
  <c r="S86" s="1"/>
  <c r="I85"/>
  <c r="K85" s="1"/>
  <c r="M85" s="1"/>
  <c r="O85" s="1"/>
  <c r="Q85" s="1"/>
  <c r="S85" s="1"/>
  <c r="O84"/>
  <c r="Q84" s="1"/>
  <c r="S84" s="1"/>
  <c r="O83"/>
  <c r="O82"/>
  <c r="Q82" s="1"/>
  <c r="S82" s="1"/>
  <c r="O81"/>
  <c r="Q81" s="1"/>
  <c r="S81" s="1"/>
  <c r="E81"/>
  <c r="O80"/>
  <c r="Q80" s="1"/>
  <c r="S80" s="1"/>
  <c r="O79"/>
  <c r="Q79" s="1"/>
  <c r="S79" s="1"/>
  <c r="O78"/>
  <c r="Q78" s="1"/>
  <c r="S78" s="1"/>
  <c r="E78"/>
  <c r="O77"/>
  <c r="Q77" s="1"/>
  <c r="S77" s="1"/>
  <c r="G77"/>
  <c r="O76"/>
  <c r="Q76" s="1"/>
  <c r="S76" s="1"/>
  <c r="K76"/>
  <c r="M75"/>
  <c r="O75" s="1"/>
  <c r="Q75" s="1"/>
  <c r="S75" s="1"/>
  <c r="O74"/>
  <c r="Q74" s="1"/>
  <c r="S74" s="1"/>
  <c r="K74"/>
  <c r="O73"/>
  <c r="Q73" s="1"/>
  <c r="S73" s="1"/>
  <c r="G73"/>
  <c r="O72"/>
  <c r="Q72" s="1"/>
  <c r="S72" s="1"/>
  <c r="G72"/>
  <c r="O71"/>
  <c r="Q71" s="1"/>
  <c r="S71" s="1"/>
  <c r="G71"/>
  <c r="M70"/>
  <c r="O70" s="1"/>
  <c r="Q70" s="1"/>
  <c r="M69"/>
  <c r="O69" s="1"/>
  <c r="Q69" s="1"/>
  <c r="P68"/>
  <c r="O68"/>
  <c r="G68"/>
  <c r="O66"/>
  <c r="Q66" s="1"/>
  <c r="S66" s="1"/>
  <c r="G66"/>
  <c r="O65"/>
  <c r="Q65" s="1"/>
  <c r="S65" s="1"/>
  <c r="K65"/>
  <c r="O64"/>
  <c r="Q64" s="1"/>
  <c r="S64" s="1"/>
  <c r="G64"/>
  <c r="O63"/>
  <c r="Q63" s="1"/>
  <c r="N62"/>
  <c r="L62"/>
  <c r="J62"/>
  <c r="J58" s="1"/>
  <c r="J57" s="1"/>
  <c r="J130" s="1"/>
  <c r="I62"/>
  <c r="H62"/>
  <c r="H58" s="1"/>
  <c r="H57" s="1"/>
  <c r="H130" s="1"/>
  <c r="F62"/>
  <c r="D62"/>
  <c r="D58" s="1"/>
  <c r="D57" s="1"/>
  <c r="D130" s="1"/>
  <c r="D131" s="1"/>
  <c r="C62"/>
  <c r="P59"/>
  <c r="O59"/>
  <c r="N59"/>
  <c r="M59"/>
  <c r="K59"/>
  <c r="I59"/>
  <c r="G59"/>
  <c r="E59"/>
  <c r="C59"/>
  <c r="O53"/>
  <c r="Q53" s="1"/>
  <c r="S53" s="1"/>
  <c r="M53"/>
  <c r="K53"/>
  <c r="I53"/>
  <c r="G53"/>
  <c r="E53"/>
  <c r="C53"/>
  <c r="H51"/>
  <c r="H50" s="1"/>
  <c r="H31" s="1"/>
  <c r="P50"/>
  <c r="N50"/>
  <c r="N31" s="1"/>
  <c r="L50"/>
  <c r="J50"/>
  <c r="J31" s="1"/>
  <c r="G50"/>
  <c r="E50"/>
  <c r="C50"/>
  <c r="O48"/>
  <c r="Q48" s="1"/>
  <c r="S48" s="1"/>
  <c r="M48"/>
  <c r="K48"/>
  <c r="I48"/>
  <c r="G48"/>
  <c r="E48"/>
  <c r="C48"/>
  <c r="O42"/>
  <c r="Q42" s="1"/>
  <c r="S42" s="1"/>
  <c r="M42"/>
  <c r="K42"/>
  <c r="I42"/>
  <c r="G42"/>
  <c r="E42"/>
  <c r="C42"/>
  <c r="O36"/>
  <c r="Q36" s="1"/>
  <c r="S36" s="1"/>
  <c r="M36"/>
  <c r="K36"/>
  <c r="I36"/>
  <c r="G36"/>
  <c r="E36"/>
  <c r="C36"/>
  <c r="O34"/>
  <c r="Q34" s="1"/>
  <c r="S34" s="1"/>
  <c r="M34"/>
  <c r="K34"/>
  <c r="I34"/>
  <c r="G34"/>
  <c r="E34"/>
  <c r="C34"/>
  <c r="C31" s="1"/>
  <c r="O32"/>
  <c r="M32"/>
  <c r="K32"/>
  <c r="I32"/>
  <c r="G32"/>
  <c r="E32"/>
  <c r="C32"/>
  <c r="L31"/>
  <c r="R70" l="1"/>
  <c r="S70" s="1"/>
  <c r="S69"/>
  <c r="R69"/>
  <c r="F58"/>
  <c r="G122"/>
  <c r="M107"/>
  <c r="O136" i="5"/>
  <c r="Q136" s="1"/>
  <c r="S136" s="1"/>
  <c r="Q135"/>
  <c r="S135" s="1"/>
  <c r="S63" i="6"/>
  <c r="P83"/>
  <c r="Q83" s="1"/>
  <c r="S83" s="1"/>
  <c r="E92"/>
  <c r="E107"/>
  <c r="O120"/>
  <c r="S121"/>
  <c r="R120"/>
  <c r="P103"/>
  <c r="P92" s="1"/>
  <c r="G31"/>
  <c r="G107"/>
  <c r="E120"/>
  <c r="G120" s="1"/>
  <c r="I120" s="1"/>
  <c r="K120" s="1"/>
  <c r="M120" s="1"/>
  <c r="K92"/>
  <c r="M106"/>
  <c r="M92" s="1"/>
  <c r="Q32"/>
  <c r="S32" s="1"/>
  <c r="K107"/>
  <c r="I51"/>
  <c r="I50" s="1"/>
  <c r="I31" s="1"/>
  <c r="K62"/>
  <c r="I92"/>
  <c r="I107"/>
  <c r="O110"/>
  <c r="O107" s="1"/>
  <c r="Q107" s="1"/>
  <c r="S107" s="1"/>
  <c r="N58"/>
  <c r="N57" s="1"/>
  <c r="N130" s="1"/>
  <c r="N131" s="1"/>
  <c r="O122"/>
  <c r="Q122" s="1"/>
  <c r="S122" s="1"/>
  <c r="Q123"/>
  <c r="S123" s="1"/>
  <c r="P31"/>
  <c r="O126"/>
  <c r="Q126" s="1"/>
  <c r="S126" s="1"/>
  <c r="Q127"/>
  <c r="S127" s="1"/>
  <c r="E62"/>
  <c r="E58" s="1"/>
  <c r="G126"/>
  <c r="E31"/>
  <c r="I58"/>
  <c r="I57" s="1"/>
  <c r="I130" s="1"/>
  <c r="I131" s="1"/>
  <c r="L58"/>
  <c r="L57" s="1"/>
  <c r="L130" s="1"/>
  <c r="L131" s="1"/>
  <c r="Q68"/>
  <c r="S68" s="1"/>
  <c r="G62"/>
  <c r="Q100"/>
  <c r="S100" s="1"/>
  <c r="Q102"/>
  <c r="S102" s="1"/>
  <c r="C107"/>
  <c r="C58" s="1"/>
  <c r="C57" s="1"/>
  <c r="C130" s="1"/>
  <c r="C131" s="1"/>
  <c r="P120"/>
  <c r="Q120" s="1"/>
  <c r="J131"/>
  <c r="H131"/>
  <c r="E57"/>
  <c r="E130" s="1"/>
  <c r="E131" s="1"/>
  <c r="O62"/>
  <c r="F122"/>
  <c r="F57" s="1"/>
  <c r="F130" s="1"/>
  <c r="F131" s="1"/>
  <c r="K51"/>
  <c r="M62"/>
  <c r="M58" s="1"/>
  <c r="M57" s="1"/>
  <c r="M130" s="1"/>
  <c r="R62" l="1"/>
  <c r="R58" s="1"/>
  <c r="R57" s="1"/>
  <c r="R130" s="1"/>
  <c r="P62"/>
  <c r="P58" s="1"/>
  <c r="P57" s="1"/>
  <c r="Q62"/>
  <c r="S120"/>
  <c r="S62"/>
  <c r="G58"/>
  <c r="G57" s="1"/>
  <c r="G130" s="1"/>
  <c r="G131" s="1"/>
  <c r="Q103"/>
  <c r="S103" s="1"/>
  <c r="K58"/>
  <c r="K57" s="1"/>
  <c r="K130" s="1"/>
  <c r="Q110"/>
  <c r="S110" s="1"/>
  <c r="O106"/>
  <c r="M51"/>
  <c r="K50"/>
  <c r="K31" s="1"/>
  <c r="K131" s="1"/>
  <c r="Q106" l="1"/>
  <c r="S106" s="1"/>
  <c r="O92"/>
  <c r="P130"/>
  <c r="M50"/>
  <c r="M31" s="1"/>
  <c r="M131" s="1"/>
  <c r="O51"/>
  <c r="Q51" s="1"/>
  <c r="R51" l="1"/>
  <c r="R50" s="1"/>
  <c r="R31" s="1"/>
  <c r="R131" s="1"/>
  <c r="Q92"/>
  <c r="S92" s="1"/>
  <c r="O58"/>
  <c r="P131"/>
  <c r="O50"/>
  <c r="S51" l="1"/>
  <c r="Q50"/>
  <c r="O31"/>
  <c r="O57"/>
  <c r="Q58"/>
  <c r="S58" s="1"/>
  <c r="Q31" l="1"/>
  <c r="S50"/>
  <c r="S31" s="1"/>
  <c r="O130"/>
  <c r="Q57"/>
  <c r="S57" s="1"/>
  <c r="Q130" l="1"/>
  <c r="S130" s="1"/>
  <c r="O131"/>
  <c r="Q131" s="1"/>
  <c r="S131" s="1"/>
</calcChain>
</file>

<file path=xl/sharedStrings.xml><?xml version="1.0" encoding="utf-8"?>
<sst xmlns="http://schemas.openxmlformats.org/spreadsheetml/2006/main" count="487" uniqueCount="185">
  <si>
    <t>к решению сессии пятого созыва</t>
  </si>
  <si>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</si>
  <si>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</si>
  <si>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</si>
  <si>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</si>
  <si>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</si>
  <si>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</si>
  <si>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</si>
  <si>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</si>
  <si>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</si>
  <si>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</si>
  <si>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</si>
  <si>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</si>
  <si>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</si>
  <si>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</si>
  <si>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</si>
  <si>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</si>
  <si>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</si>
  <si>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</si>
  <si>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</si>
  <si>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</si>
  <si>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</si>
  <si>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</si>
  <si>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</si>
  <si>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</si>
  <si>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</si>
  <si>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</si>
  <si>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</si>
  <si>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</si>
  <si>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</si>
  <si>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</si>
  <si>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</si>
  <si>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</si>
  <si>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</si>
  <si>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</si>
  <si>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</si>
  <si>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</si>
  <si>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</si>
  <si>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</si>
  <si>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</si>
  <si>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</si>
  <si>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</si>
  <si>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</si>
  <si>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</si>
  <si>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</si>
  <si>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</si>
  <si>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</si>
  <si>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</si>
  <si>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</si>
  <si>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</si>
  <si>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</si>
  <si>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</si>
  <si>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</si>
  <si>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</si>
  <si>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</si>
  <si>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</si>
  <si>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</si>
  <si>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</si>
  <si>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</si>
  <si>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</si>
  <si>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</si>
  <si>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</si>
  <si>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</si>
  <si>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</si>
  <si>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</si>
  <si>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</si>
  <si>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</si>
  <si>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</si>
  <si>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ВСЕГО безвозмездных поступлений</t>
  </si>
  <si>
    <t>2 02 35118 00 0000 151</t>
  </si>
  <si>
    <t>2 02 30000 00 0000 151</t>
  </si>
  <si>
    <t>2 02 20000 00 0000 151</t>
  </si>
  <si>
    <t>2 02 30024 05 0000 151</t>
  </si>
  <si>
    <t>2 02 30029 05 0000 151</t>
  </si>
  <si>
    <t>2 02 10000 00 0000 151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</si>
  <si>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</si>
  <si>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</si>
  <si>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</si>
  <si>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</si>
  <si>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</si>
  <si>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</si>
  <si>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</si>
  <si>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</si>
  <si>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</si>
  <si>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</si>
  <si>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</si>
  <si>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</si>
  <si>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Приложение № 4</t>
  </si>
  <si>
    <t>Субсидии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№761 "О национальной стратегии действий в интересах детей на 2012-2017 годы"</t>
  </si>
  <si>
    <t xml:space="preserve"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</si>
  <si>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</si>
  <si>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</si>
  <si>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2 02 29999 05 0000 151</t>
  </si>
  <si>
    <t>2 02 20216 05 0000 151</t>
  </si>
  <si>
    <t>Прогнозируемое поступление доходов бюджета МО "Устьянский муниципальный район" на 2018 год</t>
  </si>
  <si>
    <t>Уточнение</t>
  </si>
  <si>
    <t>1 13 01000 00 0000 130</t>
  </si>
  <si>
    <t>2 02 25519 05 0000 151</t>
  </si>
  <si>
    <t>2 02 25555 05 0000 151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</si>
  <si>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</si>
  <si>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</si>
  <si>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</si>
  <si>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20705030050000180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</si>
  <si>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</si>
  <si>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</si>
  <si>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</si>
  <si>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2 18 60010 05 0000 151</t>
  </si>
  <si>
    <t>Возврат остатков, имеющих целевое назначение, прошлых лет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</si>
  <si>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</si>
  <si>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</si>
  <si>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</si>
  <si>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</si>
  <si>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</si>
  <si>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</t>
  </si>
  <si>
    <t>Иные межбюджетные трансферты на предоставление компенсации расходов на оплату жилых помещений, отопления и освещения педагогическим работникам муниципальных образовательных организаций муниципальных образований Архангельской области, расположенных в сельской местности, рабочих поселках (поселках городского типа)</t>
  </si>
  <si>
    <t>Субсидии МР на создание условий для обеспечения поселений и жителей городских округов услугами торговли</t>
  </si>
  <si>
    <t>Средства, передаваемые бюджетам муниципальных районов из бюджетов поселений по соглашениями КРК</t>
  </si>
  <si>
    <t>2 02 40014 05 0000 151</t>
  </si>
  <si>
    <t>Сумма,руб.</t>
  </si>
  <si>
    <t>Собрания депутатов № 543 от 22 декабря 2017 года</t>
  </si>
  <si>
    <t>Приложение №4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</si>
  <si>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</si>
  <si>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</si>
  <si>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</si>
  <si>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</si>
  <si>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Субсидия на подключение муниципальных библиотек к инф.-телеком.сети "Интернет" и развитие библиотечного дела</t>
  </si>
  <si>
    <t>Субсидии на софинансирование на конкурсной основе мероприятий, отраженных в муниципальных программах по работе с молодежью</t>
  </si>
  <si>
    <t>Субсидии на поддержку деятельности ресурсных центров для молодежи и молодежных добровольческих объединений в муниц.образованиях (на конкурсной основе)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</si>
  <si>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 (областной бюджет)</t>
  </si>
  <si>
    <t>Средства, передаваемые бюджетам муниципальных районов из бюджетов поселений ГО и ЧС по соглашениями</t>
  </si>
  <si>
    <t>Доходы бюджетов муниципальных районов от возврата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поселений</t>
  </si>
  <si>
    <t>2 18 25527 0 50000 151</t>
  </si>
  <si>
    <t>2 19 35118 05 0000 151</t>
  </si>
  <si>
    <t>2 18 35118 05 0000 151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</si>
  <si>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</si>
  <si>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</si>
  <si>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2 19 25527 05 0000 151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</si>
  <si>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муниципальных районов</t>
  </si>
  <si>
    <t>Субсидирование части дополнительных расходов на повышение минимального размера оплаты труда</t>
  </si>
  <si>
    <t>Иные межбюджетные трансферты из резервного фонда Правительства АО на приобретение кресел для МБУК "ОЦДК"</t>
  </si>
  <si>
    <t>Прочие доходы от оказания платных услуг (работ) получателями средств бюджетов муниципальных районов</t>
  </si>
  <si>
    <t>Субсидии бюджету муниципального района на реализацию мероприятий по обеспечению жильем молодых семей (ФБ)</t>
  </si>
  <si>
    <t>2 02 25497 05 0000 151</t>
  </si>
  <si>
    <t>Субсидии бюджету муниципального района на реализацию мероприятий по обеспечению жильем молодых семей (ОБ)</t>
  </si>
  <si>
    <t xml:space="preserve">Субсидия бюджету муниципального района на реализацию ГП "Культура Русского Севера",реализация приоритетных проектов в сфере туризма на 2018 год </t>
  </si>
  <si>
    <t>Собрания депутатов №        от 15.06.2018 года</t>
  </si>
  <si>
    <t>Субсидии бюджетам мун. районов на реализацию мероприятий по устойчивому развитию сельских территорий  (ФБ)</t>
  </si>
  <si>
    <t>Субсидии бюджетам мун. районов на реализацию мероприятий по устойчивому развитию сельских территорий  (ОБ)</t>
  </si>
  <si>
    <t>2 02 25567 05 0000 151</t>
  </si>
  <si>
    <t>Субсидии бюджетам муниц.районов на общественно значимые культурные мероприятия в рамках проекта "ЛЮБО-ДОРОГО"</t>
  </si>
  <si>
    <t>Субсидии бюджетам муниц.районов на реализацию муниц.программ поддержки социально ориентированных некоммерческих организаций</t>
  </si>
  <si>
    <t>Субсидии на формирование доступной среды для инвалидов в муниципальных районах и городских округах Архангельской области</t>
  </si>
  <si>
    <t>Субсидии бюджету МО по программе "Спорт Беломорья".Кап.ремонт спортзала ОСОШ №2</t>
  </si>
  <si>
    <t>Иные межбюджетные трансферты из резервного фонда Правительства АО (кадастровые работы по ЗУ)</t>
  </si>
  <si>
    <t>Иные межбюджетные трансферты,передаваемые бюджету муниц.района на обеспечение софинансирования государственных программ</t>
  </si>
  <si>
    <t>Иные межбюджетные трансферты из резервного фонда Правительства АО (изготовление концертных костюмов для МБУК "ОЦДК")</t>
  </si>
  <si>
    <t>Иные межбюджетные трансферты из резервного фонда Правительства АО (замена электрооборудования для Орловского ДК)</t>
  </si>
  <si>
    <t>Субсидии на создание и обеспечение деятельности технозон Детского Арктического технопарка АО и МО АО (робототехника)</t>
  </si>
  <si>
    <t>к решению сессии шестого созыва</t>
  </si>
  <si>
    <t>Собрания депутатов №        от 23.11.2018 года</t>
  </si>
  <si>
    <t>Собрания депутатов №578 от 16.02.2018 года</t>
  </si>
  <si>
    <t>Собрания депутатов №584 от 30.03.2018 года</t>
  </si>
  <si>
    <t>Собрания депутатов №597 от 27.04.2018 года</t>
  </si>
  <si>
    <t>Собрания депутатов №612 от 25.05.2018 года</t>
  </si>
  <si>
    <t>Субсидии на укрепление материально-технической базы во вновь возведенных зданиях учреждений культурно- досугового типа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</si>
  <si>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</si>
  <si>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</si>
  <si>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Дотации бюджетам на поддержку мер по обеспечению сбалансированности бюджетов</t>
  </si>
  <si>
    <t>2 02 01003 05 0000 151</t>
  </si>
  <si>
    <t>2 02 25527 05 0000 151</t>
  </si>
  <si>
    <t xml:space="preserve">Субсидия на гос. поддержку малого и среднего предпринимательства, включая крестьянские (фермерские) хозяйства, а также на реализацию мероприятий по поддержку молодежного предпринимательства    </t>
  </si>
  <si>
    <t xml:space="preserve">Субсидии на поддержку муниципальных программ развития малого и среднего предпринимательства  </t>
  </si>
  <si>
    <t>Иные межбюджетные трансферты на поддержку мун. обр. Арх. обл. в целях реализации плана мероприятий ("дорожной карты") "Изменения в отраслях соц. сферы, направленные на повышение эффективности образования и науки в Арх.обл. от 13 марта 2013 г. №60-рп</t>
  </si>
  <si>
    <t>Иные межбюджетные трансферты из резервного фонда Правительства АО (приобрет.оконных блоков для д/с "Бережок")</t>
  </si>
  <si>
    <t>Иные межбюджетные трансферты из резервного фонда Правительства АО (подвесной мост дер. Левопласская)</t>
  </si>
  <si>
    <t>ЗАДОЛЖЕННОСТЬ И ПЕРЕРАСЧЕТЫ ПО ОТМЕНЕННЫМ НАЛОГАМ, СБОРАМ И ИНЫМ ОБЯЗАТЕЛЬНЫМ ПЛАТЕЖАМ</t>
  </si>
  <si>
    <t>1 09 00000 00 0000 110</t>
  </si>
  <si>
    <t>Приложение № 2</t>
  </si>
  <si>
    <t>Собрания депутатов №  37  от 23.11.2018 года</t>
  </si>
  <si>
    <t xml:space="preserve">  Собрания депутатов № 625  1 5.06.2018 года</t>
  </si>
  <si>
    <t>Приложение № 1</t>
  </si>
  <si>
    <t>на01.11.2018</t>
  </si>
  <si>
    <t>,</t>
  </si>
  <si>
    <t>Приложение №1</t>
  </si>
  <si>
    <t>Собрания депутатов № 44  от 21.12.2018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</si>
</sst>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#,##0.00_ ;[Red]\-#,##0.00\ "/>
  </numFmts>
  <fonts count="2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206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2">
    <xf numFmtId="0" fontId="0" fillId="0" borderId="0" xfId="0"/>
    <xf numFmtId="0" fontId="3" fillId="2" borderId="1" xfId="5" applyFont="1" applyFill="1" applyBorder="1" applyAlignment="1">
      <alignment horizontal="center" vertical="center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" fillId="2" borderId="0" xfId="5" applyFont="1" applyFill="1"/>
    <xf numFmtId="0" fontId="7" fillId="2" borderId="1" xfId="5" applyFont="1" applyFill="1" applyBorder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0" fontId="6" fillId="2" borderId="1" xfId="5" applyFont="1" applyFill="1" applyBorder="1" applyAlignment="1">
      <alignment horizontal="left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justify"/>
    </xf>
    <xf numFmtId="49" fontId="4" fillId="2" borderId="1" xfId="5" applyNumberFormat="1" applyFont="1" applyFill="1" applyBorder="1" applyAlignment="1">
      <alignment horizontal="center" wrapText="1"/>
    </xf>
    <xf numFmtId="0" fontId="3" fillId="2" borderId="1" xfId="5" applyFont="1" applyFill="1" applyBorder="1" applyAlignment="1">
      <alignment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center" wrapText="1"/>
    </xf>
    <xf numFmtId="0" fontId="9" fillId="2" borderId="1" xfId="5" applyFont="1" applyFill="1" applyBorder="1" applyAlignment="1">
      <alignment horizontal="center" wrapText="1"/>
    </xf>
    <xf numFmtId="0" fontId="7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left" wrapText="1"/>
    </xf>
    <xf numFmtId="0" fontId="6" fillId="2" borderId="0" xfId="5" applyFont="1" applyFill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6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justify" vertical="center" wrapText="1"/>
    </xf>
    <xf numFmtId="0" fontId="6" fillId="2" borderId="0" xfId="5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4" fillId="2" borderId="1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0" fontId="3" fillId="2" borderId="1" xfId="5" applyFont="1" applyFill="1" applyBorder="1" applyAlignment="1">
      <alignment horizontal="justify" vertical="center" wrapText="1"/>
    </xf>
    <xf numFmtId="1" fontId="4" fillId="2" borderId="1" xfId="6" applyNumberFormat="1" applyFont="1" applyFill="1" applyBorder="1" applyAlignment="1">
      <alignment horizontal="center" wrapText="1"/>
    </xf>
    <xf numFmtId="0" fontId="3" fillId="2" borderId="1" xfId="6" applyFont="1" applyFill="1" applyBorder="1" applyAlignment="1">
      <alignment vertical="top" wrapText="1"/>
    </xf>
    <xf numFmtId="1" fontId="4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vertical="top" wrapText="1"/>
    </xf>
    <xf numFmtId="0" fontId="6" fillId="2" borderId="1" xfId="5" applyFont="1" applyFill="1" applyBorder="1" applyAlignment="1">
      <alignment vertical="center"/>
    </xf>
    <xf numFmtId="0" fontId="4" fillId="2" borderId="0" xfId="5" applyFont="1" applyFill="1" applyAlignment="1">
      <alignment horizontal="center"/>
    </xf>
    <xf numFmtId="4" fontId="3" fillId="2" borderId="0" xfId="5" applyNumberFormat="1" applyFont="1" applyFill="1"/>
    <xf numFmtId="164" fontId="3" fillId="2" borderId="1" xfId="9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>
      <alignment horizontal="center" vertical="center"/>
    </xf>
    <xf numFmtId="164" fontId="6" fillId="2" borderId="1" xfId="9" applyNumberFormat="1" applyFont="1" applyFill="1" applyBorder="1" applyAlignment="1">
      <alignment vertical="center" wrapText="1"/>
    </xf>
    <xf numFmtId="164" fontId="6" fillId="2" borderId="1" xfId="9" applyNumberFormat="1" applyFont="1" applyFill="1" applyBorder="1" applyAlignment="1"/>
    <xf numFmtId="164" fontId="3" fillId="2" borderId="1" xfId="9" applyNumberFormat="1" applyFont="1" applyFill="1" applyBorder="1" applyAlignment="1"/>
    <xf numFmtId="164" fontId="5" fillId="2" borderId="1" xfId="9" applyNumberFormat="1" applyFont="1" applyFill="1" applyBorder="1" applyAlignment="1"/>
    <xf numFmtId="164" fontId="5" fillId="2" borderId="1" xfId="9" applyNumberFormat="1" applyFont="1" applyFill="1" applyBorder="1" applyAlignment="1">
      <alignment wrapText="1"/>
    </xf>
    <xf numFmtId="164" fontId="6" fillId="2" borderId="1" xfId="9" applyNumberFormat="1" applyFont="1" applyFill="1" applyBorder="1" applyAlignment="1">
      <alignment wrapText="1"/>
    </xf>
    <xf numFmtId="164" fontId="3" fillId="2" borderId="0" xfId="5" applyNumberFormat="1" applyFont="1" applyFill="1"/>
    <xf numFmtId="164" fontId="3" fillId="2" borderId="0" xfId="9" applyNumberFormat="1" applyFont="1" applyFill="1" applyAlignment="1">
      <alignment wrapText="1"/>
    </xf>
    <xf numFmtId="164" fontId="6" fillId="2" borderId="1" xfId="9" applyNumberFormat="1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4" fontId="3" fillId="2" borderId="0" xfId="5" applyNumberFormat="1" applyFont="1" applyFill="1" applyBorder="1" applyAlignment="1"/>
    <xf numFmtId="4" fontId="6" fillId="2" borderId="1" xfId="9" applyNumberFormat="1" applyFont="1" applyFill="1" applyBorder="1" applyAlignment="1">
      <alignment vertical="center" wrapText="1"/>
    </xf>
    <xf numFmtId="4" fontId="6" fillId="2" borderId="1" xfId="9" applyNumberFormat="1" applyFont="1" applyFill="1" applyBorder="1" applyAlignment="1"/>
    <xf numFmtId="4" fontId="3" fillId="2" borderId="1" xfId="9" applyNumberFormat="1" applyFont="1" applyFill="1" applyBorder="1" applyAlignment="1"/>
    <xf numFmtId="4" fontId="5" fillId="2" borderId="1" xfId="9" applyNumberFormat="1" applyFont="1" applyFill="1" applyBorder="1" applyAlignment="1"/>
    <xf numFmtId="4" fontId="5" fillId="2" borderId="1" xfId="9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9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" fontId="6" fillId="2" borderId="1" xfId="9" applyNumberFormat="1" applyFont="1" applyFill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/>
    <xf numFmtId="0" fontId="3" fillId="0" borderId="1" xfId="0" applyFont="1" applyBorder="1" applyAlignment="1">
      <alignment horizontal="justify" vertical="top" wrapText="1"/>
    </xf>
    <xf numFmtId="4" fontId="6" fillId="2" borderId="1" xfId="5" applyNumberFormat="1" applyFont="1" applyFill="1" applyBorder="1"/>
    <xf numFmtId="4" fontId="6" fillId="2" borderId="1" xfId="1" applyNumberFormat="1" applyFont="1" applyFill="1" applyBorder="1" applyAlignment="1"/>
    <xf numFmtId="0" fontId="6" fillId="2" borderId="0" xfId="5" applyFont="1" applyFill="1"/>
    <xf numFmtId="0" fontId="12" fillId="0" borderId="1" xfId="0" applyFont="1" applyBorder="1" applyAlignment="1">
      <alignment horizontal="center" wrapText="1"/>
    </xf>
    <xf numFmtId="4" fontId="3" fillId="2" borderId="1" xfId="5" applyNumberFormat="1" applyFont="1" applyFill="1" applyBorder="1"/>
    <xf numFmtId="4" fontId="14" fillId="2" borderId="1" xfId="0" applyNumberFormat="1" applyFont="1" applyFill="1" applyBorder="1" applyAlignment="1">
      <alignment horizontal="center" vertical="center" wrapText="1"/>
    </xf>
    <xf numFmtId="4" fontId="3" fillId="2" borderId="0" xfId="9" applyNumberFormat="1" applyFont="1" applyFill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4" fontId="4" fillId="2" borderId="1" xfId="5" applyNumberFormat="1" applyFont="1" applyFill="1" applyBorder="1" applyAlignment="1">
      <alignment horizontal="center" vertical="center"/>
    </xf>
    <xf numFmtId="4" fontId="6" fillId="2" borderId="1" xfId="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0" fontId="4" fillId="2" borderId="0" xfId="5" applyNumberFormat="1" applyFont="1" applyFill="1"/>
    <xf numFmtId="0" fontId="3" fillId="2" borderId="0" xfId="0" applyFont="1" applyFill="1"/>
    <xf numFmtId="164" fontId="3" fillId="2" borderId="1" xfId="1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4" fontId="0" fillId="0" borderId="0" xfId="0" applyNumberFormat="1" applyAlignment="1">
      <alignment horizontal="right"/>
    </xf>
    <xf numFmtId="0" fontId="12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2" borderId="0" xfId="5" applyNumberFormat="1" applyFont="1" applyFill="1" applyBorder="1" applyAlignment="1">
      <alignment horizontal="right"/>
    </xf>
    <xf numFmtId="0" fontId="0" fillId="0" borderId="0" xfId="0" applyAlignment="1"/>
    <xf numFmtId="0" fontId="3" fillId="2" borderId="0" xfId="5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2" borderId="0" xfId="5" applyFont="1" applyFill="1" applyBorder="1" applyAlignment="1"/>
    <xf numFmtId="0" fontId="0" fillId="3" borderId="0" xfId="0" applyFill="1" applyAlignment="1">
      <alignment horizontal="right"/>
    </xf>
    <xf numFmtId="0" fontId="5" fillId="3" borderId="0" xfId="5" applyFont="1" applyFill="1"/>
    <xf numFmtId="0" fontId="3" fillId="3" borderId="0" xfId="5" applyFont="1" applyFill="1" applyBorder="1" applyAlignment="1">
      <alignment horizontal="right"/>
    </xf>
    <xf numFmtId="4" fontId="3" fillId="3" borderId="0" xfId="5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/>
    </xf>
    <xf numFmtId="0" fontId="0" fillId="3" borderId="0" xfId="0" applyFill="1" applyAlignment="1"/>
    <xf numFmtId="0" fontId="3" fillId="3" borderId="0" xfId="0" applyFont="1" applyFill="1"/>
    <xf numFmtId="0" fontId="3" fillId="3" borderId="0" xfId="5" applyFont="1" applyFill="1"/>
    <xf numFmtId="4" fontId="3" fillId="3" borderId="1" xfId="5" applyNumberFormat="1" applyFont="1" applyFill="1" applyBorder="1" applyAlignment="1">
      <alignment horizontal="center" vertical="center"/>
    </xf>
    <xf numFmtId="4" fontId="4" fillId="3" borderId="1" xfId="5" applyNumberFormat="1" applyFont="1" applyFill="1" applyBorder="1" applyAlignment="1">
      <alignment horizontal="center" vertical="center"/>
    </xf>
    <xf numFmtId="0" fontId="4" fillId="3" borderId="1" xfId="5" applyNumberFormat="1" applyFont="1" applyFill="1" applyBorder="1" applyAlignment="1">
      <alignment horizontal="center" vertical="center"/>
    </xf>
    <xf numFmtId="4" fontId="6" fillId="3" borderId="1" xfId="9" applyNumberFormat="1" applyFont="1" applyFill="1" applyBorder="1" applyAlignment="1">
      <alignment vertical="center" wrapText="1"/>
    </xf>
    <xf numFmtId="4" fontId="6" fillId="3" borderId="1" xfId="9" applyNumberFormat="1" applyFont="1" applyFill="1" applyBorder="1" applyAlignment="1"/>
    <xf numFmtId="4" fontId="3" fillId="3" borderId="1" xfId="9" applyNumberFormat="1" applyFont="1" applyFill="1" applyBorder="1" applyAlignment="1"/>
    <xf numFmtId="4" fontId="5" fillId="3" borderId="1" xfId="9" applyNumberFormat="1" applyFont="1" applyFill="1" applyBorder="1" applyAlignment="1"/>
    <xf numFmtId="4" fontId="5" fillId="3" borderId="1" xfId="9" applyNumberFormat="1" applyFont="1" applyFill="1" applyBorder="1" applyAlignment="1">
      <alignment wrapText="1"/>
    </xf>
    <xf numFmtId="4" fontId="3" fillId="3" borderId="1" xfId="9" applyNumberFormat="1" applyFont="1" applyFill="1" applyBorder="1" applyAlignment="1">
      <alignment wrapText="1"/>
    </xf>
    <xf numFmtId="4" fontId="3" fillId="3" borderId="0" xfId="5" applyNumberFormat="1" applyFont="1" applyFill="1"/>
    <xf numFmtId="4" fontId="6" fillId="3" borderId="1" xfId="9" applyNumberFormat="1" applyFont="1" applyFill="1" applyBorder="1" applyAlignment="1">
      <alignment wrapText="1"/>
    </xf>
    <xf numFmtId="4" fontId="3" fillId="3" borderId="1" xfId="1" applyNumberFormat="1" applyFont="1" applyFill="1" applyBorder="1" applyAlignment="1"/>
    <xf numFmtId="4" fontId="6" fillId="3" borderId="1" xfId="1" applyNumberFormat="1" applyFont="1" applyFill="1" applyBorder="1" applyAlignment="1"/>
    <xf numFmtId="4" fontId="3" fillId="3" borderId="1" xfId="5" applyNumberFormat="1" applyFont="1" applyFill="1" applyBorder="1"/>
    <xf numFmtId="4" fontId="6" fillId="3" borderId="1" xfId="5" applyNumberFormat="1" applyFont="1" applyFill="1" applyBorder="1"/>
    <xf numFmtId="164" fontId="6" fillId="3" borderId="1" xfId="9" applyNumberFormat="1" applyFont="1" applyFill="1" applyBorder="1" applyAlignment="1"/>
    <xf numFmtId="4" fontId="6" fillId="3" borderId="1" xfId="9" applyNumberFormat="1" applyFont="1" applyFill="1" applyBorder="1" applyAlignment="1">
      <alignment horizontal="center" vertical="center"/>
    </xf>
    <xf numFmtId="164" fontId="6" fillId="3" borderId="1" xfId="9" applyNumberFormat="1" applyFont="1" applyFill="1" applyBorder="1" applyAlignment="1">
      <alignment horizontal="center" vertical="center"/>
    </xf>
    <xf numFmtId="0" fontId="4" fillId="3" borderId="0" xfId="5" applyFont="1" applyFill="1" applyAlignment="1">
      <alignment horizontal="center"/>
    </xf>
    <xf numFmtId="4" fontId="3" fillId="3" borderId="0" xfId="9" applyNumberFormat="1" applyFont="1" applyFill="1" applyAlignment="1">
      <alignment wrapText="1"/>
    </xf>
    <xf numFmtId="4" fontId="17" fillId="2" borderId="1" xfId="9" applyNumberFormat="1" applyFont="1" applyFill="1" applyBorder="1" applyAlignment="1">
      <alignment wrapText="1"/>
    </xf>
    <xf numFmtId="4" fontId="17" fillId="3" borderId="1" xfId="9" applyNumberFormat="1" applyFont="1" applyFill="1" applyBorder="1" applyAlignment="1">
      <alignment wrapText="1"/>
    </xf>
    <xf numFmtId="4" fontId="17" fillId="2" borderId="1" xfId="9" applyNumberFormat="1" applyFont="1" applyFill="1" applyBorder="1" applyAlignment="1"/>
    <xf numFmtId="4" fontId="17" fillId="3" borderId="1" xfId="9" applyNumberFormat="1" applyFont="1" applyFill="1" applyBorder="1" applyAlignment="1"/>
    <xf numFmtId="0" fontId="9" fillId="2" borderId="1" xfId="2" applyFont="1" applyFill="1" applyBorder="1" applyAlignment="1">
      <alignment horizontal="center"/>
    </xf>
    <xf numFmtId="0" fontId="3" fillId="2" borderId="1" xfId="5" applyNumberFormat="1" applyFont="1" applyFill="1" applyBorder="1" applyAlignment="1">
      <alignment horizontal="justify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1" fontId="3" fillId="2" borderId="1" xfId="0" applyNumberFormat="1" applyFont="1" applyFill="1" applyBorder="1" applyAlignment="1">
      <alignment horizontal="center" wrapText="1"/>
    </xf>
    <xf numFmtId="165" fontId="5" fillId="3" borderId="0" xfId="5" applyNumberFormat="1" applyFont="1" applyFill="1"/>
    <xf numFmtId="165" fontId="0" fillId="3" borderId="0" xfId="0" applyNumberFormat="1" applyFill="1" applyAlignment="1">
      <alignment horizontal="right"/>
    </xf>
    <xf numFmtId="165" fontId="3" fillId="3" borderId="0" xfId="0" applyNumberFormat="1" applyFont="1" applyFill="1"/>
    <xf numFmtId="165" fontId="3" fillId="3" borderId="0" xfId="5" applyNumberFormat="1" applyFont="1" applyFill="1"/>
    <xf numFmtId="165" fontId="3" fillId="3" borderId="1" xfId="5" applyNumberFormat="1" applyFont="1" applyFill="1" applyBorder="1" applyAlignment="1">
      <alignment horizontal="center" vertical="center"/>
    </xf>
    <xf numFmtId="165" fontId="4" fillId="3" borderId="1" xfId="5" applyNumberFormat="1" applyFont="1" applyFill="1" applyBorder="1" applyAlignment="1">
      <alignment horizontal="center" vertical="center"/>
    </xf>
    <xf numFmtId="165" fontId="6" fillId="3" borderId="1" xfId="9" applyNumberFormat="1" applyFont="1" applyFill="1" applyBorder="1" applyAlignment="1">
      <alignment vertical="center" wrapText="1"/>
    </xf>
    <xf numFmtId="165" fontId="6" fillId="3" borderId="1" xfId="9" applyNumberFormat="1" applyFont="1" applyFill="1" applyBorder="1" applyAlignment="1"/>
    <xf numFmtId="165" fontId="3" fillId="3" borderId="1" xfId="9" applyNumberFormat="1" applyFont="1" applyFill="1" applyBorder="1" applyAlignment="1"/>
    <xf numFmtId="165" fontId="5" fillId="3" borderId="1" xfId="9" applyNumberFormat="1" applyFont="1" applyFill="1" applyBorder="1" applyAlignment="1"/>
    <xf numFmtId="165" fontId="5" fillId="3" borderId="1" xfId="9" applyNumberFormat="1" applyFont="1" applyFill="1" applyBorder="1" applyAlignment="1">
      <alignment wrapText="1"/>
    </xf>
    <xf numFmtId="165" fontId="3" fillId="3" borderId="1" xfId="9" applyNumberFormat="1" applyFont="1" applyFill="1" applyBorder="1" applyAlignment="1">
      <alignment wrapText="1"/>
    </xf>
    <xf numFmtId="165" fontId="17" fillId="3" borderId="1" xfId="9" applyNumberFormat="1" applyFont="1" applyFill="1" applyBorder="1" applyAlignment="1">
      <alignment wrapText="1"/>
    </xf>
    <xf numFmtId="165" fontId="3" fillId="3" borderId="1" xfId="1" applyNumberFormat="1" applyFont="1" applyFill="1" applyBorder="1" applyAlignment="1"/>
    <xf numFmtId="165" fontId="3" fillId="3" borderId="1" xfId="5" applyNumberFormat="1" applyFont="1" applyFill="1" applyBorder="1"/>
    <xf numFmtId="165" fontId="6" fillId="3" borderId="1" xfId="9" applyNumberFormat="1" applyFont="1" applyFill="1" applyBorder="1" applyAlignment="1">
      <alignment horizontal="center" vertical="center"/>
    </xf>
    <xf numFmtId="165" fontId="4" fillId="3" borderId="0" xfId="5" applyNumberFormat="1" applyFont="1" applyFill="1" applyAlignment="1">
      <alignment horizontal="center"/>
    </xf>
    <xf numFmtId="165" fontId="3" fillId="3" borderId="0" xfId="9" applyNumberFormat="1" applyFont="1" applyFill="1" applyAlignment="1">
      <alignment wrapText="1"/>
    </xf>
    <xf numFmtId="3" fontId="5" fillId="2" borderId="0" xfId="5" applyNumberFormat="1" applyFont="1" applyFill="1" applyAlignment="1">
      <alignment wrapText="1"/>
    </xf>
    <xf numFmtId="3" fontId="19" fillId="2" borderId="0" xfId="5" applyNumberFormat="1" applyFont="1" applyFill="1" applyAlignment="1">
      <alignment wrapText="1"/>
    </xf>
    <xf numFmtId="4" fontId="6" fillId="3" borderId="1" xfId="1" applyNumberFormat="1" applyFont="1" applyFill="1" applyBorder="1" applyAlignment="1">
      <alignment vertical="center"/>
    </xf>
    <xf numFmtId="165" fontId="6" fillId="3" borderId="1" xfId="5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>
      <alignment vertical="center"/>
    </xf>
    <xf numFmtId="4" fontId="6" fillId="2" borderId="1" xfId="1" applyNumberFormat="1" applyFont="1" applyFill="1" applyBorder="1" applyAlignment="1">
      <alignment vertical="center"/>
    </xf>
    <xf numFmtId="165" fontId="6" fillId="3" borderId="1" xfId="1" applyNumberFormat="1" applyFont="1" applyFill="1" applyBorder="1" applyAlignment="1">
      <alignment vertical="center"/>
    </xf>
    <xf numFmtId="4" fontId="6" fillId="3" borderId="1" xfId="9" applyNumberFormat="1" applyFont="1" applyFill="1" applyBorder="1" applyAlignment="1">
      <alignment vertical="center"/>
    </xf>
    <xf numFmtId="165" fontId="6" fillId="3" borderId="1" xfId="9" applyNumberFormat="1" applyFont="1" applyFill="1" applyBorder="1" applyAlignment="1">
      <alignment vertical="center"/>
    </xf>
    <xf numFmtId="0" fontId="18" fillId="3" borderId="4" xfId="0" applyNumberFormat="1" applyFont="1" applyFill="1" applyBorder="1" applyAlignment="1">
      <alignment horizontal="left" vertical="top" wrapText="1"/>
    </xf>
    <xf numFmtId="0" fontId="4" fillId="2" borderId="0" xfId="5" applyNumberFormat="1" applyFont="1" applyFill="1" applyAlignment="1">
      <alignment horizontal="right"/>
    </xf>
    <xf numFmtId="4" fontId="7" fillId="2" borderId="0" xfId="5" applyNumberFormat="1" applyFont="1" applyFill="1" applyAlignment="1">
      <alignment horizontal="right" vertical="center"/>
    </xf>
    <xf numFmtId="0" fontId="4" fillId="2" borderId="0" xfId="5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5" applyFont="1" applyFill="1" applyAlignment="1">
      <alignment horizontal="right" vertical="center"/>
    </xf>
    <xf numFmtId="0" fontId="7" fillId="2" borderId="0" xfId="5" applyFont="1" applyFill="1" applyAlignment="1">
      <alignment horizontal="right" vertical="center"/>
    </xf>
    <xf numFmtId="3" fontId="4" fillId="2" borderId="0" xfId="5" applyNumberFormat="1" applyFont="1" applyFill="1" applyAlignment="1">
      <alignment horizontal="right" wrapText="1"/>
    </xf>
    <xf numFmtId="0" fontId="7" fillId="2" borderId="0" xfId="5" applyFont="1" applyFill="1" applyAlignment="1">
      <alignment horizontal="right"/>
    </xf>
    <xf numFmtId="4" fontId="7" fillId="2" borderId="0" xfId="5" applyNumberFormat="1" applyFont="1" applyFill="1" applyAlignment="1">
      <alignment horizontal="right"/>
    </xf>
    <xf numFmtId="4" fontId="4" fillId="2" borderId="0" xfId="5" applyNumberFormat="1" applyFont="1" applyFill="1" applyAlignment="1">
      <alignment horizontal="right" vertical="top"/>
    </xf>
    <xf numFmtId="4" fontId="4" fillId="2" borderId="0" xfId="5" applyNumberFormat="1" applyFont="1" applyFill="1" applyAlignment="1">
      <alignment horizontal="right" vertical="center"/>
    </xf>
    <xf numFmtId="49" fontId="20" fillId="3" borderId="4" xfId="0" applyNumberFormat="1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vertical="center"/>
    </xf>
    <xf numFmtId="164" fontId="4" fillId="2" borderId="1" xfId="5" applyNumberFormat="1" applyFont="1" applyFill="1" applyBorder="1" applyAlignment="1">
      <alignment horizontal="center" vertical="center"/>
    </xf>
    <xf numFmtId="2" fontId="4" fillId="3" borderId="0" xfId="5" applyNumberFormat="1" applyFont="1" applyFill="1" applyAlignment="1">
      <alignment horizontal="center"/>
    </xf>
    <xf numFmtId="4" fontId="4" fillId="2" borderId="0" xfId="5" applyNumberFormat="1" applyFont="1" applyFill="1" applyAlignment="1">
      <alignment horizontal="right"/>
    </xf>
    <xf numFmtId="4" fontId="3" fillId="3" borderId="6" xfId="9" applyNumberFormat="1" applyFont="1" applyFill="1" applyBorder="1" applyAlignment="1">
      <alignment wrapText="1"/>
    </xf>
    <xf numFmtId="4" fontId="3" fillId="3" borderId="7" xfId="9" applyNumberFormat="1" applyFont="1" applyFill="1" applyBorder="1" applyAlignment="1">
      <alignment wrapText="1"/>
    </xf>
    <xf numFmtId="4" fontId="3" fillId="3" borderId="3" xfId="9" applyNumberFormat="1" applyFont="1" applyFill="1" applyBorder="1" applyAlignment="1">
      <alignment wrapText="1"/>
    </xf>
    <xf numFmtId="4" fontId="3" fillId="3" borderId="8" xfId="9" applyNumberFormat="1" applyFont="1" applyFill="1" applyBorder="1" applyAlignment="1">
      <alignment wrapText="1"/>
    </xf>
    <xf numFmtId="4" fontId="6" fillId="3" borderId="8" xfId="9" applyNumberFormat="1" applyFont="1" applyFill="1" applyBorder="1" applyAlignment="1">
      <alignment vertical="center" wrapText="1"/>
    </xf>
    <xf numFmtId="4" fontId="17" fillId="2" borderId="5" xfId="9" applyNumberFormat="1" applyFont="1" applyFill="1" applyBorder="1" applyAlignment="1">
      <alignment wrapText="1"/>
    </xf>
    <xf numFmtId="4" fontId="17" fillId="3" borderId="5" xfId="9" applyNumberFormat="1" applyFont="1" applyFill="1" applyBorder="1" applyAlignment="1">
      <alignment wrapText="1"/>
    </xf>
    <xf numFmtId="165" fontId="21" fillId="3" borderId="1" xfId="9" applyNumberFormat="1" applyFont="1" applyFill="1" applyBorder="1" applyAlignment="1">
      <alignment wrapText="1"/>
    </xf>
    <xf numFmtId="0" fontId="11" fillId="2" borderId="2" xfId="5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_Приложение 5 - прогноз доходов" xfId="5"/>
    <cellStyle name="Обычный_Таб.к пояснительной записке 2013г.МР" xfId="6"/>
    <cellStyle name="Процентный 2" xfId="7"/>
    <cellStyle name="Процентный 3" xfId="8"/>
    <cellStyle name="Финансовый 2" xfId="9"/>
    <cellStyle name="Финансовый 3" xfId="10"/>
    <cellStyle name="Финансовый 3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6"/>
  <sheetViews>
    <sheetView tabSelected="1" workbookViewId="0">
      <selection activeCell="S3" sqref="S3"/>
    </sheetView>
  </sheetViews>
  <sheetFormatPr defaultColWidth="8" defaultRowHeight="12.75" outlineLevelRow="1"/>
  <cols>
    <col min="1" max="1" width="58.5703125" style="4" customWidth="1"/>
    <col min="2" max="2" width="18.85546875" style="37" customWidth="1"/>
    <col min="3" max="3" width="15.28515625" style="48" hidden="1" customWidth="1"/>
    <col min="4" max="14" width="15.28515625" style="72" hidden="1" customWidth="1"/>
    <col min="15" max="16" width="14.42578125" style="72" hidden="1" customWidth="1"/>
    <col min="17" max="17" width="14.42578125" style="126" hidden="1" customWidth="1"/>
    <col min="18" max="18" width="18" style="4" hidden="1" customWidth="1"/>
    <col min="19" max="19" width="15.28515625" style="106" customWidth="1"/>
    <col min="20" max="231" width="8" style="4"/>
    <col min="232" max="232" width="69.85546875" style="4" customWidth="1"/>
    <col min="233" max="233" width="21.7109375" style="4" customWidth="1"/>
    <col min="234" max="234" width="0" style="4" hidden="1" customWidth="1"/>
    <col min="235" max="235" width="15.5703125" style="4" customWidth="1"/>
    <col min="236" max="239" width="0" style="4" hidden="1" customWidth="1"/>
    <col min="240" max="240" width="8" style="4"/>
    <col min="241" max="241" width="13.7109375" style="4" customWidth="1"/>
    <col min="242" max="16384" width="8" style="4"/>
  </cols>
  <sheetData>
    <row r="1" spans="2:19" s="3" customFormat="1" ht="12" customHeight="1">
      <c r="B1" s="96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Q1" s="101"/>
      <c r="R1" s="101"/>
      <c r="S1" s="101" t="s">
        <v>183</v>
      </c>
    </row>
    <row r="2" spans="2:19" s="3" customFormat="1" ht="12" customHeight="1"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101"/>
      <c r="R2" s="101"/>
      <c r="S2" s="101" t="s">
        <v>158</v>
      </c>
    </row>
    <row r="3" spans="2:19" s="3" customFormat="1" ht="12" customHeight="1">
      <c r="B3" s="94"/>
      <c r="C3" s="94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Q3" s="102"/>
      <c r="R3" s="102"/>
      <c r="S3" s="102" t="s">
        <v>184</v>
      </c>
    </row>
    <row r="4" spans="2:19" s="3" customFormat="1" ht="12" customHeight="1">
      <c r="B4" s="94"/>
      <c r="C4" s="94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Q4" s="102"/>
      <c r="R4" s="102"/>
      <c r="S4" s="102"/>
    </row>
    <row r="5" spans="2:19" s="3" customFormat="1" ht="12" customHeight="1">
      <c r="B5" s="96"/>
      <c r="C5" s="96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Q5" s="101"/>
      <c r="R5" s="101"/>
      <c r="S5" s="101" t="s">
        <v>177</v>
      </c>
    </row>
    <row r="6" spans="2:19" s="3" customFormat="1" ht="12" customHeight="1">
      <c r="B6" s="96"/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Q6" s="101"/>
      <c r="R6" s="101"/>
      <c r="S6" s="101" t="s">
        <v>158</v>
      </c>
    </row>
    <row r="7" spans="2:19" s="3" customFormat="1" ht="12" customHeight="1">
      <c r="B7" s="94"/>
      <c r="C7" s="94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Q7" s="102"/>
      <c r="R7" s="102"/>
      <c r="S7" s="102" t="s">
        <v>178</v>
      </c>
    </row>
    <row r="8" spans="2:19" s="3" customFormat="1" ht="12" customHeight="1">
      <c r="B8" s="96"/>
      <c r="C8" s="96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Q8" s="101"/>
      <c r="R8" s="101"/>
      <c r="S8" s="102"/>
    </row>
    <row r="9" spans="2:19" s="3" customFormat="1" ht="12" customHeight="1">
      <c r="B9" s="96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Q9" s="101"/>
      <c r="R9" s="101"/>
      <c r="S9" s="101" t="s">
        <v>87</v>
      </c>
    </row>
    <row r="10" spans="2:19" s="3" customFormat="1" ht="12" customHeight="1">
      <c r="B10" s="94"/>
      <c r="C10" s="94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Q10" s="102"/>
      <c r="R10" s="102"/>
      <c r="S10" s="101" t="s">
        <v>0</v>
      </c>
    </row>
    <row r="11" spans="2:19" s="3" customFormat="1" ht="12" customHeight="1">
      <c r="B11" s="94"/>
      <c r="C11" s="94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Q11" s="102"/>
      <c r="R11" s="102"/>
      <c r="S11" s="102" t="s">
        <v>179</v>
      </c>
    </row>
    <row r="12" spans="2:19" s="3" customFormat="1" ht="12" customHeight="1"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  <c r="O12" s="97"/>
      <c r="Q12" s="101"/>
      <c r="R12" s="101"/>
      <c r="S12" s="102"/>
    </row>
    <row r="13" spans="2:19" s="3" customFormat="1" ht="12" customHeight="1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7"/>
      <c r="O13" s="97"/>
      <c r="Q13" s="101"/>
      <c r="R13" s="101"/>
      <c r="S13" s="101" t="s">
        <v>180</v>
      </c>
    </row>
    <row r="14" spans="2:19" s="3" customFormat="1" ht="12" customHeight="1"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7"/>
      <c r="O14" s="97"/>
      <c r="Q14" s="102"/>
      <c r="R14" s="102"/>
      <c r="S14" s="101" t="s">
        <v>0</v>
      </c>
    </row>
    <row r="15" spans="2:19" s="3" customFormat="1" ht="12" customHeight="1">
      <c r="B15" s="94"/>
      <c r="C15" s="94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102"/>
      <c r="R15" s="102"/>
      <c r="S15" s="102" t="s">
        <v>163</v>
      </c>
    </row>
    <row r="16" spans="2:19" s="3" customFormat="1" ht="12" customHeight="1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7"/>
      <c r="M16" s="97"/>
      <c r="N16" s="97"/>
      <c r="O16" s="97"/>
      <c r="Q16" s="101"/>
      <c r="R16" s="101"/>
      <c r="S16" s="102"/>
    </row>
    <row r="17" spans="2:19" s="3" customFormat="1" ht="12" customHeight="1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7"/>
      <c r="M17" s="97"/>
      <c r="N17" s="97"/>
      <c r="O17" s="97"/>
      <c r="Q17" s="101"/>
      <c r="R17" s="101"/>
      <c r="S17" s="101" t="s">
        <v>180</v>
      </c>
    </row>
    <row r="18" spans="2:19" s="3" customFormat="1" ht="12" customHeight="1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7"/>
      <c r="M18" s="97"/>
      <c r="N18" s="97"/>
      <c r="O18" s="97"/>
      <c r="Q18" s="102"/>
      <c r="R18" s="102"/>
      <c r="S18" s="101" t="s">
        <v>0</v>
      </c>
    </row>
    <row r="19" spans="2:19" s="3" customFormat="1" ht="12" customHeight="1">
      <c r="B19" s="94"/>
      <c r="C19" s="94"/>
      <c r="D19" s="97"/>
      <c r="E19" s="97"/>
      <c r="F19" s="97"/>
      <c r="G19" s="97"/>
      <c r="H19" s="97"/>
      <c r="I19" s="97"/>
      <c r="J19" s="97"/>
      <c r="K19" s="90"/>
      <c r="L19" s="97"/>
      <c r="M19" s="90"/>
      <c r="N19" s="97"/>
      <c r="O19" s="90"/>
      <c r="P19" s="97"/>
      <c r="Q19" s="102"/>
      <c r="R19" s="102"/>
      <c r="S19" s="102" t="s">
        <v>162</v>
      </c>
    </row>
    <row r="20" spans="2:19" s="3" customFormat="1" ht="12" customHeight="1">
      <c r="B20" s="96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Q20" s="101"/>
      <c r="R20" s="101"/>
      <c r="S20" s="102"/>
    </row>
    <row r="21" spans="2:19" s="3" customFormat="1" ht="12" customHeight="1">
      <c r="B21" s="96"/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Q21" s="101"/>
      <c r="R21" s="101"/>
      <c r="S21" s="101" t="s">
        <v>177</v>
      </c>
    </row>
    <row r="22" spans="2:19" s="3" customFormat="1" ht="12" customHeight="1">
      <c r="B22" s="94"/>
      <c r="C22" s="94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Q22" s="102"/>
      <c r="R22" s="102"/>
      <c r="S22" s="101" t="s">
        <v>0</v>
      </c>
    </row>
    <row r="23" spans="2:19" s="3" customFormat="1" ht="12" customHeight="1">
      <c r="B23" s="94"/>
      <c r="C23" s="94"/>
      <c r="D23" s="97"/>
      <c r="E23" s="97"/>
      <c r="F23" s="97"/>
      <c r="G23" s="97"/>
      <c r="H23" s="97"/>
      <c r="I23" s="97"/>
      <c r="J23" s="97"/>
      <c r="K23" s="90"/>
      <c r="L23" s="97"/>
      <c r="M23" s="90"/>
      <c r="N23" s="97"/>
      <c r="O23" s="90"/>
      <c r="P23" s="97"/>
      <c r="Q23" s="102"/>
      <c r="R23" s="102"/>
      <c r="S23" s="102" t="s">
        <v>161</v>
      </c>
    </row>
    <row r="24" spans="2:19" s="3" customFormat="1" ht="12" customHeight="1">
      <c r="B24" s="98"/>
      <c r="C24" s="98"/>
      <c r="D24" s="98"/>
      <c r="E24" s="98"/>
      <c r="F24" s="98"/>
      <c r="G24" s="98"/>
      <c r="H24" s="95"/>
      <c r="I24" s="95"/>
      <c r="J24" s="95"/>
      <c r="K24" s="95"/>
      <c r="L24" s="95"/>
      <c r="M24" s="95"/>
      <c r="N24" s="95"/>
      <c r="O24" s="95"/>
      <c r="Q24" s="101"/>
      <c r="R24" s="101"/>
      <c r="S24" s="102"/>
    </row>
    <row r="25" spans="2:19" s="3" customFormat="1" ht="12" customHeight="1">
      <c r="B25" s="98"/>
      <c r="C25" s="98"/>
      <c r="D25" s="98"/>
      <c r="E25" s="98"/>
      <c r="F25" s="98"/>
      <c r="G25" s="98"/>
      <c r="H25" s="95"/>
      <c r="I25" s="95"/>
      <c r="J25" s="95"/>
      <c r="K25" s="95"/>
      <c r="L25" s="95"/>
      <c r="M25" s="95"/>
      <c r="N25" s="95"/>
      <c r="O25" s="95"/>
      <c r="Q25" s="101"/>
      <c r="R25" s="101"/>
      <c r="S25" s="101" t="s">
        <v>177</v>
      </c>
    </row>
    <row r="26" spans="2:19" s="3" customFormat="1" ht="12" customHeight="1">
      <c r="B26" s="51"/>
      <c r="C26" s="51"/>
      <c r="D26" s="51"/>
      <c r="E26" s="51"/>
      <c r="F26" s="51"/>
      <c r="G26" s="51"/>
      <c r="H26" s="95"/>
      <c r="I26" s="95"/>
      <c r="J26" s="95"/>
      <c r="K26" s="95"/>
      <c r="L26" s="95"/>
      <c r="M26" s="95"/>
      <c r="N26" s="95"/>
      <c r="O26" s="95"/>
      <c r="Q26" s="102"/>
      <c r="R26" s="102"/>
      <c r="S26" s="101" t="s">
        <v>0</v>
      </c>
    </row>
    <row r="27" spans="2:19" s="3" customFormat="1" ht="12" customHeight="1">
      <c r="B27" s="94"/>
      <c r="C27" s="94"/>
      <c r="D27" s="97"/>
      <c r="E27" s="97"/>
      <c r="F27" s="97"/>
      <c r="G27" s="97"/>
      <c r="H27" s="97"/>
      <c r="I27" s="97"/>
      <c r="J27" s="97"/>
      <c r="K27" s="90"/>
      <c r="L27" s="97"/>
      <c r="M27" s="90"/>
      <c r="N27" s="97"/>
      <c r="O27" s="90"/>
      <c r="P27" s="97"/>
      <c r="Q27" s="102"/>
      <c r="R27" s="102"/>
      <c r="S27" s="102" t="s">
        <v>160</v>
      </c>
    </row>
    <row r="28" spans="2:19" s="3" customFormat="1" ht="12" customHeight="1">
      <c r="B28" s="98"/>
      <c r="C28" s="98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Q28" s="101"/>
      <c r="R28" s="101"/>
      <c r="S28" s="102"/>
    </row>
    <row r="29" spans="2:19" s="3" customFormat="1" ht="12" customHeight="1">
      <c r="B29" s="98"/>
      <c r="C29" s="98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Q29" s="101"/>
      <c r="R29" s="101"/>
      <c r="S29" s="101" t="s">
        <v>120</v>
      </c>
    </row>
    <row r="30" spans="2:19" s="3" customFormat="1" ht="12" customHeight="1">
      <c r="B30" s="51"/>
      <c r="C30" s="51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Q30" s="102"/>
      <c r="R30" s="102"/>
      <c r="S30" s="101" t="s">
        <v>0</v>
      </c>
    </row>
    <row r="31" spans="2:19" s="3" customFormat="1" ht="12" customHeight="1">
      <c r="B31" s="94"/>
      <c r="C31" s="94"/>
      <c r="D31" s="97"/>
      <c r="E31" s="97"/>
      <c r="F31" s="97"/>
      <c r="G31" s="97"/>
      <c r="H31" s="97"/>
      <c r="I31" s="97"/>
      <c r="J31" s="97"/>
      <c r="K31" s="90"/>
      <c r="L31" s="97"/>
      <c r="M31" s="90"/>
      <c r="N31" s="97"/>
      <c r="O31" s="90"/>
      <c r="P31" s="97"/>
      <c r="Q31" s="102"/>
      <c r="R31" s="102"/>
      <c r="S31" s="102" t="s">
        <v>119</v>
      </c>
    </row>
    <row r="32" spans="2:19" s="84" customFormat="1" ht="12" customHeight="1">
      <c r="B32" s="51"/>
      <c r="C32" s="51"/>
      <c r="D32" s="51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Q32" s="102"/>
      <c r="S32" s="105"/>
    </row>
    <row r="33" spans="1:20" ht="33.75" customHeight="1">
      <c r="A33" s="191" t="s">
        <v>94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</row>
    <row r="34" spans="1:20" s="50" customFormat="1" ht="26.25" customHeight="1">
      <c r="A34" s="179" t="s">
        <v>1</v>
      </c>
      <c r="B34" s="179" t="s">
        <v>2</v>
      </c>
      <c r="C34" s="180" t="s">
        <v>118</v>
      </c>
      <c r="D34" s="76" t="s">
        <v>95</v>
      </c>
      <c r="E34" s="76" t="s">
        <v>118</v>
      </c>
      <c r="F34" s="76" t="s">
        <v>95</v>
      </c>
      <c r="G34" s="76" t="s">
        <v>118</v>
      </c>
      <c r="H34" s="76" t="s">
        <v>95</v>
      </c>
      <c r="I34" s="76" t="s">
        <v>118</v>
      </c>
      <c r="J34" s="76" t="s">
        <v>95</v>
      </c>
      <c r="K34" s="76" t="s">
        <v>118</v>
      </c>
      <c r="L34" s="76" t="s">
        <v>95</v>
      </c>
      <c r="M34" s="76" t="s">
        <v>118</v>
      </c>
      <c r="N34" s="76" t="s">
        <v>95</v>
      </c>
      <c r="O34" s="108" t="s">
        <v>118</v>
      </c>
      <c r="P34" s="108" t="s">
        <v>95</v>
      </c>
      <c r="Q34" s="108" t="s">
        <v>118</v>
      </c>
      <c r="R34" s="143" t="s">
        <v>95</v>
      </c>
      <c r="S34" s="108" t="s">
        <v>118</v>
      </c>
      <c r="T34" s="171"/>
    </row>
    <row r="35" spans="1:20" s="83" customFormat="1" ht="6" customHeight="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76"/>
      <c r="L35" s="82"/>
      <c r="M35" s="76"/>
      <c r="N35" s="82"/>
      <c r="O35" s="108"/>
      <c r="P35" s="109"/>
      <c r="Q35" s="108"/>
      <c r="R35" s="143"/>
      <c r="S35" s="108"/>
      <c r="T35" s="167"/>
    </row>
    <row r="36" spans="1:20" s="6" customFormat="1">
      <c r="A36" s="7" t="s">
        <v>3</v>
      </c>
      <c r="B36" s="8" t="s">
        <v>4</v>
      </c>
      <c r="C36" s="41">
        <f>C37+C39+C41+C46+C47+C53+C55+C58+C61</f>
        <v>194081228</v>
      </c>
      <c r="D36" s="52"/>
      <c r="E36" s="52">
        <f>E37+E39+E41+E46+E47+E53+E55+E58+E61</f>
        <v>194081228</v>
      </c>
      <c r="F36" s="52"/>
      <c r="G36" s="52">
        <f>G37+G39+G41+G46+G47+G53+G55+G58+G61</f>
        <v>194081228</v>
      </c>
      <c r="H36" s="52">
        <f>H37+H39+H42+H46+H47+H53+H55+H58+H61</f>
        <v>45883.41</v>
      </c>
      <c r="I36" s="52">
        <f>I37+I39+I41+I46+I47+I53+I55+I58+I61</f>
        <v>194127111.41</v>
      </c>
      <c r="J36" s="52">
        <f>J37+J39+J42+J46+J47+J53+J55+J58+J61</f>
        <v>0</v>
      </c>
      <c r="K36" s="52">
        <f>K37+K39+K41+K46+K47+K53+K55+K58+K61</f>
        <v>194127111.41</v>
      </c>
      <c r="L36" s="52">
        <f>L37+L39+L42+L46+L47+L53+L55+L58+L61</f>
        <v>0</v>
      </c>
      <c r="M36" s="52">
        <f>M37+M39+M41+M46+M47+M53+M55+M58+M61</f>
        <v>194127111.41</v>
      </c>
      <c r="N36" s="52">
        <f>N37+N39+N42+N46+N47+N53+N55+N58+N61</f>
        <v>0</v>
      </c>
      <c r="O36" s="110">
        <f>O37+O39+O41+O46+O47+O53+O55+O58+O61</f>
        <v>194127111.41</v>
      </c>
      <c r="P36" s="110">
        <f>P37+P39+P41+P46+P47+P53+P55+P58+P61</f>
        <v>36504000</v>
      </c>
      <c r="Q36" s="110">
        <f>Q37+Q39+Q41+Q46+Q47+Q53+Q55+Q58+Q61</f>
        <v>230631111.41</v>
      </c>
      <c r="R36" s="144">
        <f>R37+R39+R41+R45+R46+R47+R53+R55+R58+R61</f>
        <v>5682864.8300000001</v>
      </c>
      <c r="S36" s="144">
        <f>S37+S39+S41+S45+S46+S47+S53+S55+S58+S61</f>
        <v>236313976.23999998</v>
      </c>
      <c r="T36" s="172"/>
    </row>
    <row r="37" spans="1:20" outlineLevel="1">
      <c r="A37" s="9" t="s">
        <v>5</v>
      </c>
      <c r="B37" s="10" t="s">
        <v>6</v>
      </c>
      <c r="C37" s="42">
        <f>C38</f>
        <v>128125860</v>
      </c>
      <c r="D37" s="53"/>
      <c r="E37" s="53">
        <f>E38</f>
        <v>128125860</v>
      </c>
      <c r="F37" s="53"/>
      <c r="G37" s="53">
        <f>G38</f>
        <v>128125860</v>
      </c>
      <c r="H37" s="53"/>
      <c r="I37" s="53">
        <f>I38</f>
        <v>128125860</v>
      </c>
      <c r="J37" s="53"/>
      <c r="K37" s="53">
        <f>K38</f>
        <v>128125860</v>
      </c>
      <c r="L37" s="53"/>
      <c r="M37" s="53">
        <f>M38</f>
        <v>128125860</v>
      </c>
      <c r="N37" s="53"/>
      <c r="O37" s="111">
        <f>O38</f>
        <v>128125860</v>
      </c>
      <c r="P37" s="111">
        <f>P38</f>
        <v>36412447.390000001</v>
      </c>
      <c r="Q37" s="111">
        <f t="shared" ref="Q37:Q106" si="0">P37+O37</f>
        <v>164538307.38999999</v>
      </c>
      <c r="R37" s="145">
        <f>R38</f>
        <v>0</v>
      </c>
      <c r="S37" s="111">
        <f t="shared" ref="S37" si="1">R37+Q37</f>
        <v>164538307.38999999</v>
      </c>
      <c r="T37" s="169"/>
    </row>
    <row r="38" spans="1:20" outlineLevel="1">
      <c r="A38" s="9" t="s">
        <v>7</v>
      </c>
      <c r="B38" s="10" t="s">
        <v>8</v>
      </c>
      <c r="C38" s="43">
        <v>128125860</v>
      </c>
      <c r="D38" s="54"/>
      <c r="E38" s="54">
        <v>128125860</v>
      </c>
      <c r="F38" s="54"/>
      <c r="G38" s="54">
        <v>128125860</v>
      </c>
      <c r="H38" s="54"/>
      <c r="I38" s="54">
        <v>128125860</v>
      </c>
      <c r="J38" s="54"/>
      <c r="K38" s="54">
        <v>128125860</v>
      </c>
      <c r="L38" s="54"/>
      <c r="M38" s="54">
        <v>128125860</v>
      </c>
      <c r="N38" s="54"/>
      <c r="O38" s="112">
        <v>128125860</v>
      </c>
      <c r="P38" s="130">
        <v>36412447.390000001</v>
      </c>
      <c r="Q38" s="112">
        <f>P38+O38</f>
        <v>164538307.38999999</v>
      </c>
      <c r="R38" s="146"/>
      <c r="S38" s="112">
        <f>R38+Q38</f>
        <v>164538307.38999999</v>
      </c>
      <c r="T38" s="169"/>
    </row>
    <row r="39" spans="1:20" ht="25.5" outlineLevel="1">
      <c r="A39" s="35" t="s">
        <v>9</v>
      </c>
      <c r="B39" s="10" t="s">
        <v>10</v>
      </c>
      <c r="C39" s="42">
        <f>C40</f>
        <v>19440510</v>
      </c>
      <c r="D39" s="53"/>
      <c r="E39" s="53">
        <f>E40</f>
        <v>19440510</v>
      </c>
      <c r="F39" s="53"/>
      <c r="G39" s="53">
        <f>G40</f>
        <v>19440510</v>
      </c>
      <c r="H39" s="53"/>
      <c r="I39" s="53">
        <f>I40</f>
        <v>19440510</v>
      </c>
      <c r="J39" s="53"/>
      <c r="K39" s="53">
        <f>K40</f>
        <v>19440510</v>
      </c>
      <c r="L39" s="53"/>
      <c r="M39" s="53">
        <f>M40</f>
        <v>19440510</v>
      </c>
      <c r="N39" s="53"/>
      <c r="O39" s="111">
        <f>O40</f>
        <v>19440510</v>
      </c>
      <c r="P39" s="111"/>
      <c r="Q39" s="111">
        <f t="shared" si="0"/>
        <v>19440510</v>
      </c>
      <c r="R39" s="145">
        <f>R40</f>
        <v>0</v>
      </c>
      <c r="S39" s="111">
        <f t="shared" ref="S39:S66" si="2">R39+Q39</f>
        <v>19440510</v>
      </c>
      <c r="T39" s="169"/>
    </row>
    <row r="40" spans="1:20" ht="25.5" outlineLevel="1">
      <c r="A40" s="132" t="s">
        <v>11</v>
      </c>
      <c r="B40" s="10" t="s">
        <v>12</v>
      </c>
      <c r="C40" s="43">
        <v>19440510</v>
      </c>
      <c r="D40" s="54"/>
      <c r="E40" s="54">
        <v>19440510</v>
      </c>
      <c r="F40" s="54"/>
      <c r="G40" s="54">
        <v>19440510</v>
      </c>
      <c r="H40" s="54"/>
      <c r="I40" s="54">
        <v>19440510</v>
      </c>
      <c r="J40" s="54"/>
      <c r="K40" s="54">
        <v>19440510</v>
      </c>
      <c r="L40" s="54"/>
      <c r="M40" s="54">
        <v>19440510</v>
      </c>
      <c r="N40" s="54"/>
      <c r="O40" s="112">
        <v>19440510</v>
      </c>
      <c r="P40" s="112"/>
      <c r="Q40" s="112">
        <f t="shared" si="0"/>
        <v>19440510</v>
      </c>
      <c r="R40" s="146"/>
      <c r="S40" s="112">
        <f t="shared" si="2"/>
        <v>19440510</v>
      </c>
      <c r="T40" s="169"/>
    </row>
    <row r="41" spans="1:20" outlineLevel="1">
      <c r="A41" s="9" t="s">
        <v>13</v>
      </c>
      <c r="B41" s="10" t="s">
        <v>14</v>
      </c>
      <c r="C41" s="42">
        <f>SUM(C42:C44)</f>
        <v>23025111</v>
      </c>
      <c r="D41" s="53"/>
      <c r="E41" s="53">
        <f>SUM(E42:E44)</f>
        <v>23025111</v>
      </c>
      <c r="F41" s="53"/>
      <c r="G41" s="53">
        <f>SUM(G42:G44)</f>
        <v>23025111</v>
      </c>
      <c r="H41" s="53"/>
      <c r="I41" s="53">
        <f>SUM(I42:I44)</f>
        <v>23025111</v>
      </c>
      <c r="J41" s="53"/>
      <c r="K41" s="53">
        <f>SUM(K42:K44)</f>
        <v>23025111</v>
      </c>
      <c r="L41" s="53"/>
      <c r="M41" s="53">
        <f>SUM(M42:M44)</f>
        <v>23025111</v>
      </c>
      <c r="N41" s="53"/>
      <c r="O41" s="111">
        <f>SUM(O42:O44)</f>
        <v>23025111</v>
      </c>
      <c r="P41" s="111"/>
      <c r="Q41" s="111">
        <f t="shared" si="0"/>
        <v>23025111</v>
      </c>
      <c r="R41" s="145">
        <f>SUM(R42:R44)</f>
        <v>-73611</v>
      </c>
      <c r="S41" s="111">
        <f t="shared" si="2"/>
        <v>22951500</v>
      </c>
      <c r="T41" s="169"/>
    </row>
    <row r="42" spans="1:20" outlineLevel="1">
      <c r="A42" s="12" t="s">
        <v>15</v>
      </c>
      <c r="B42" s="13" t="s">
        <v>16</v>
      </c>
      <c r="C42" s="43">
        <v>22911000</v>
      </c>
      <c r="D42" s="54"/>
      <c r="E42" s="54">
        <v>22911000</v>
      </c>
      <c r="F42" s="54"/>
      <c r="G42" s="54">
        <v>22911000</v>
      </c>
      <c r="H42" s="54"/>
      <c r="I42" s="54">
        <v>22911000</v>
      </c>
      <c r="J42" s="54"/>
      <c r="K42" s="54">
        <v>22911000</v>
      </c>
      <c r="L42" s="54"/>
      <c r="M42" s="54">
        <v>22911000</v>
      </c>
      <c r="N42" s="54"/>
      <c r="O42" s="112">
        <v>22911000</v>
      </c>
      <c r="P42" s="112"/>
      <c r="Q42" s="112">
        <f t="shared" si="0"/>
        <v>22911000</v>
      </c>
      <c r="R42" s="146"/>
      <c r="S42" s="112">
        <f t="shared" si="2"/>
        <v>22911000</v>
      </c>
      <c r="T42" s="169"/>
    </row>
    <row r="43" spans="1:20" outlineLevel="1">
      <c r="A43" s="12" t="s">
        <v>17</v>
      </c>
      <c r="B43" s="13" t="s">
        <v>18</v>
      </c>
      <c r="C43" s="43">
        <v>85111</v>
      </c>
      <c r="D43" s="54"/>
      <c r="E43" s="54">
        <v>85111</v>
      </c>
      <c r="F43" s="54"/>
      <c r="G43" s="54">
        <v>85111</v>
      </c>
      <c r="H43" s="54"/>
      <c r="I43" s="54">
        <v>85111</v>
      </c>
      <c r="J43" s="54"/>
      <c r="K43" s="54">
        <v>85111</v>
      </c>
      <c r="L43" s="54"/>
      <c r="M43" s="54">
        <v>85111</v>
      </c>
      <c r="N43" s="54"/>
      <c r="O43" s="112">
        <v>85111</v>
      </c>
      <c r="P43" s="112"/>
      <c r="Q43" s="112">
        <f t="shared" si="0"/>
        <v>85111</v>
      </c>
      <c r="R43" s="146">
        <f>3300-Q43</f>
        <v>-81811</v>
      </c>
      <c r="S43" s="112">
        <f t="shared" si="2"/>
        <v>3300</v>
      </c>
      <c r="T43" s="169"/>
    </row>
    <row r="44" spans="1:20" ht="25.5" outlineLevel="1">
      <c r="A44" s="12" t="s">
        <v>19</v>
      </c>
      <c r="B44" s="13" t="s">
        <v>20</v>
      </c>
      <c r="C44" s="43">
        <v>29000</v>
      </c>
      <c r="D44" s="54"/>
      <c r="E44" s="54">
        <v>29000</v>
      </c>
      <c r="F44" s="54"/>
      <c r="G44" s="54">
        <v>29000</v>
      </c>
      <c r="H44" s="54"/>
      <c r="I44" s="54">
        <v>29000</v>
      </c>
      <c r="J44" s="54"/>
      <c r="K44" s="54">
        <v>29000</v>
      </c>
      <c r="L44" s="54"/>
      <c r="M44" s="54">
        <v>29000</v>
      </c>
      <c r="N44" s="54"/>
      <c r="O44" s="112">
        <v>29000</v>
      </c>
      <c r="P44" s="112"/>
      <c r="Q44" s="112">
        <f t="shared" si="0"/>
        <v>29000</v>
      </c>
      <c r="R44" s="146">
        <f>37200-Q44</f>
        <v>8200</v>
      </c>
      <c r="S44" s="112">
        <f t="shared" si="2"/>
        <v>37200</v>
      </c>
      <c r="T44" s="169"/>
    </row>
    <row r="45" spans="1:20" ht="25.5" outlineLevel="1">
      <c r="A45" s="166" t="s">
        <v>175</v>
      </c>
      <c r="B45" s="178" t="s">
        <v>176</v>
      </c>
      <c r="C45" s="4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112"/>
      <c r="P45" s="112"/>
      <c r="Q45" s="112"/>
      <c r="R45" s="146">
        <v>3860</v>
      </c>
      <c r="S45" s="112">
        <f t="shared" si="2"/>
        <v>3860</v>
      </c>
      <c r="T45" s="169"/>
    </row>
    <row r="46" spans="1:20" outlineLevel="1">
      <c r="A46" s="9" t="s">
        <v>21</v>
      </c>
      <c r="B46" s="10" t="s">
        <v>22</v>
      </c>
      <c r="C46" s="42">
        <v>2700230</v>
      </c>
      <c r="D46" s="53"/>
      <c r="E46" s="53">
        <v>2700230</v>
      </c>
      <c r="F46" s="53"/>
      <c r="G46" s="53">
        <v>2700230</v>
      </c>
      <c r="H46" s="53"/>
      <c r="I46" s="53">
        <v>2700230</v>
      </c>
      <c r="J46" s="53"/>
      <c r="K46" s="53">
        <v>2700230</v>
      </c>
      <c r="L46" s="53"/>
      <c r="M46" s="53">
        <v>2700230</v>
      </c>
      <c r="N46" s="53"/>
      <c r="O46" s="111">
        <v>2700230</v>
      </c>
      <c r="P46" s="111"/>
      <c r="Q46" s="111">
        <f t="shared" si="0"/>
        <v>2700230</v>
      </c>
      <c r="R46" s="145">
        <f>2870000+1180000+10000-Q46</f>
        <v>1359770</v>
      </c>
      <c r="S46" s="111">
        <f t="shared" si="2"/>
        <v>4060000</v>
      </c>
      <c r="T46" s="169"/>
    </row>
    <row r="47" spans="1:20" ht="25.5" outlineLevel="1">
      <c r="A47" s="9" t="s">
        <v>23</v>
      </c>
      <c r="B47" s="10" t="s">
        <v>24</v>
      </c>
      <c r="C47" s="42">
        <f>SUM(C48:C52)</f>
        <v>13481500</v>
      </c>
      <c r="D47" s="53"/>
      <c r="E47" s="53">
        <f>SUM(E48:E52)</f>
        <v>13481500</v>
      </c>
      <c r="F47" s="53"/>
      <c r="G47" s="53">
        <f>SUM(G48:G52)</f>
        <v>13481500</v>
      </c>
      <c r="H47" s="53"/>
      <c r="I47" s="53">
        <f>SUM(I48:I52)</f>
        <v>13481500</v>
      </c>
      <c r="J47" s="53"/>
      <c r="K47" s="53">
        <f>SUM(K48:K52)</f>
        <v>13481500</v>
      </c>
      <c r="L47" s="53"/>
      <c r="M47" s="53">
        <f>SUM(M48:M52)</f>
        <v>13481500</v>
      </c>
      <c r="N47" s="53"/>
      <c r="O47" s="111">
        <f>SUM(O48:O52)</f>
        <v>13481500</v>
      </c>
      <c r="P47" s="111"/>
      <c r="Q47" s="111">
        <f t="shared" si="0"/>
        <v>13481500</v>
      </c>
      <c r="R47" s="145">
        <f>SUM(R48:R52)</f>
        <v>3725281.8499999996</v>
      </c>
      <c r="S47" s="111">
        <f t="shared" si="2"/>
        <v>17206781.850000001</v>
      </c>
      <c r="T47" s="169"/>
    </row>
    <row r="48" spans="1:20" s="3" customFormat="1" ht="25.5" outlineLevel="1">
      <c r="A48" s="16" t="s">
        <v>25</v>
      </c>
      <c r="B48" s="15" t="s">
        <v>26</v>
      </c>
      <c r="C48" s="44">
        <v>11234000</v>
      </c>
      <c r="D48" s="55"/>
      <c r="E48" s="55">
        <v>11234000</v>
      </c>
      <c r="F48" s="55"/>
      <c r="G48" s="55">
        <v>11234000</v>
      </c>
      <c r="H48" s="55"/>
      <c r="I48" s="55">
        <v>11234000</v>
      </c>
      <c r="J48" s="55"/>
      <c r="K48" s="55">
        <v>11234000</v>
      </c>
      <c r="L48" s="55"/>
      <c r="M48" s="55">
        <v>11234000</v>
      </c>
      <c r="N48" s="55"/>
      <c r="O48" s="113">
        <v>11234000</v>
      </c>
      <c r="P48" s="113"/>
      <c r="Q48" s="113">
        <f t="shared" si="0"/>
        <v>11234000</v>
      </c>
      <c r="R48" s="147">
        <v>2324468.36</v>
      </c>
      <c r="S48" s="113">
        <f t="shared" si="2"/>
        <v>13558468.359999999</v>
      </c>
      <c r="T48" s="169"/>
    </row>
    <row r="49" spans="1:22" s="3" customFormat="1" ht="51" outlineLevel="1">
      <c r="A49" s="16" t="s">
        <v>27</v>
      </c>
      <c r="B49" s="15" t="s">
        <v>28</v>
      </c>
      <c r="C49" s="44">
        <v>217000</v>
      </c>
      <c r="D49" s="55"/>
      <c r="E49" s="55">
        <v>217000</v>
      </c>
      <c r="F49" s="55"/>
      <c r="G49" s="55">
        <v>217000</v>
      </c>
      <c r="H49" s="55"/>
      <c r="I49" s="55">
        <v>217000</v>
      </c>
      <c r="J49" s="55"/>
      <c r="K49" s="55">
        <v>217000</v>
      </c>
      <c r="L49" s="55"/>
      <c r="M49" s="55">
        <v>217000</v>
      </c>
      <c r="N49" s="55"/>
      <c r="O49" s="113">
        <v>217000</v>
      </c>
      <c r="P49" s="113"/>
      <c r="Q49" s="113">
        <f t="shared" si="0"/>
        <v>217000</v>
      </c>
      <c r="R49" s="147">
        <f>272000-Q49</f>
        <v>55000</v>
      </c>
      <c r="S49" s="113">
        <f t="shared" si="2"/>
        <v>272000</v>
      </c>
      <c r="T49" s="169"/>
    </row>
    <row r="50" spans="1:22" s="3" customFormat="1" ht="38.25" outlineLevel="1">
      <c r="A50" s="16" t="s">
        <v>165</v>
      </c>
      <c r="B50" s="15" t="s">
        <v>166</v>
      </c>
      <c r="C50" s="4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113"/>
      <c r="P50" s="113"/>
      <c r="Q50" s="113"/>
      <c r="R50" s="147">
        <v>582813.49</v>
      </c>
      <c r="S50" s="113">
        <f>R50+Q50</f>
        <v>582813.49</v>
      </c>
      <c r="T50" s="169"/>
    </row>
    <row r="51" spans="1:22" s="3" customFormat="1" ht="25.5" outlineLevel="1">
      <c r="A51" s="16" t="s">
        <v>29</v>
      </c>
      <c r="B51" s="15" t="s">
        <v>30</v>
      </c>
      <c r="C51" s="44">
        <v>980000</v>
      </c>
      <c r="D51" s="55"/>
      <c r="E51" s="55">
        <v>980000</v>
      </c>
      <c r="F51" s="55"/>
      <c r="G51" s="55">
        <v>980000</v>
      </c>
      <c r="H51" s="55"/>
      <c r="I51" s="55">
        <v>980000</v>
      </c>
      <c r="J51" s="55"/>
      <c r="K51" s="55">
        <v>980000</v>
      </c>
      <c r="L51" s="55"/>
      <c r="M51" s="55">
        <v>980000</v>
      </c>
      <c r="N51" s="55"/>
      <c r="O51" s="113">
        <v>980000</v>
      </c>
      <c r="P51" s="113"/>
      <c r="Q51" s="113">
        <f t="shared" si="0"/>
        <v>980000</v>
      </c>
      <c r="R51" s="147">
        <f>325000-Q51</f>
        <v>-655000</v>
      </c>
      <c r="S51" s="113">
        <f t="shared" si="2"/>
        <v>325000</v>
      </c>
      <c r="T51" s="169"/>
    </row>
    <row r="52" spans="1:22" s="2" customFormat="1" ht="63.75" outlineLevel="1">
      <c r="A52" s="14" t="s">
        <v>31</v>
      </c>
      <c r="B52" s="17" t="s">
        <v>32</v>
      </c>
      <c r="C52" s="45">
        <v>1050500</v>
      </c>
      <c r="D52" s="56"/>
      <c r="E52" s="56">
        <v>1050500</v>
      </c>
      <c r="F52" s="56"/>
      <c r="G52" s="56">
        <v>1050500</v>
      </c>
      <c r="H52" s="56"/>
      <c r="I52" s="56">
        <v>1050500</v>
      </c>
      <c r="J52" s="56"/>
      <c r="K52" s="56">
        <v>1050500</v>
      </c>
      <c r="L52" s="56"/>
      <c r="M52" s="56">
        <v>1050500</v>
      </c>
      <c r="N52" s="56"/>
      <c r="O52" s="114">
        <v>1050500</v>
      </c>
      <c r="P52" s="114"/>
      <c r="Q52" s="114">
        <f t="shared" si="0"/>
        <v>1050500</v>
      </c>
      <c r="R52" s="148">
        <f>-12000+1430000</f>
        <v>1418000</v>
      </c>
      <c r="S52" s="114">
        <f t="shared" si="2"/>
        <v>2468500</v>
      </c>
      <c r="T52" s="173"/>
      <c r="U52" s="157"/>
      <c r="V52" s="156"/>
    </row>
    <row r="53" spans="1:22" outlineLevel="1">
      <c r="A53" s="9" t="s">
        <v>33</v>
      </c>
      <c r="B53" s="10" t="s">
        <v>34</v>
      </c>
      <c r="C53" s="42">
        <f>C54</f>
        <v>732000</v>
      </c>
      <c r="D53" s="53"/>
      <c r="E53" s="53">
        <f>E54</f>
        <v>732000</v>
      </c>
      <c r="F53" s="53"/>
      <c r="G53" s="53">
        <f>G54</f>
        <v>732000</v>
      </c>
      <c r="H53" s="53"/>
      <c r="I53" s="53">
        <f>I54</f>
        <v>732000</v>
      </c>
      <c r="J53" s="53"/>
      <c r="K53" s="53">
        <f>K54</f>
        <v>732000</v>
      </c>
      <c r="L53" s="53"/>
      <c r="M53" s="53">
        <f>M54</f>
        <v>732000</v>
      </c>
      <c r="N53" s="53"/>
      <c r="O53" s="111">
        <f>O54</f>
        <v>732000</v>
      </c>
      <c r="P53" s="111"/>
      <c r="Q53" s="111">
        <f t="shared" si="0"/>
        <v>732000</v>
      </c>
      <c r="R53" s="145">
        <f>R54</f>
        <v>-202000</v>
      </c>
      <c r="S53" s="111">
        <f t="shared" si="2"/>
        <v>530000</v>
      </c>
      <c r="T53" s="169"/>
    </row>
    <row r="54" spans="1:22" s="3" customFormat="1" outlineLevel="1">
      <c r="A54" s="9" t="s">
        <v>35</v>
      </c>
      <c r="B54" s="10" t="s">
        <v>36</v>
      </c>
      <c r="C54" s="44">
        <v>732000</v>
      </c>
      <c r="D54" s="55"/>
      <c r="E54" s="55">
        <v>732000</v>
      </c>
      <c r="F54" s="55"/>
      <c r="G54" s="55">
        <v>732000</v>
      </c>
      <c r="H54" s="55"/>
      <c r="I54" s="55">
        <v>732000</v>
      </c>
      <c r="J54" s="55"/>
      <c r="K54" s="55">
        <v>732000</v>
      </c>
      <c r="L54" s="55"/>
      <c r="M54" s="55">
        <v>732000</v>
      </c>
      <c r="N54" s="55"/>
      <c r="O54" s="113">
        <v>732000</v>
      </c>
      <c r="P54" s="113"/>
      <c r="Q54" s="113">
        <f t="shared" si="0"/>
        <v>732000</v>
      </c>
      <c r="R54" s="147">
        <v>-202000</v>
      </c>
      <c r="S54" s="113">
        <f t="shared" si="2"/>
        <v>530000</v>
      </c>
      <c r="T54" s="169"/>
    </row>
    <row r="55" spans="1:22" ht="25.5" outlineLevel="1">
      <c r="A55" s="9" t="s">
        <v>37</v>
      </c>
      <c r="B55" s="18" t="s">
        <v>38</v>
      </c>
      <c r="C55" s="42">
        <f>C57</f>
        <v>126573</v>
      </c>
      <c r="D55" s="53"/>
      <c r="E55" s="53">
        <f>E57</f>
        <v>126573</v>
      </c>
      <c r="F55" s="53"/>
      <c r="G55" s="53">
        <f>G57</f>
        <v>126573</v>
      </c>
      <c r="H55" s="53">
        <f t="shared" ref="H55:P55" si="3">SUM(H56:H57)</f>
        <v>45883.41</v>
      </c>
      <c r="I55" s="53">
        <f t="shared" si="3"/>
        <v>172456.41</v>
      </c>
      <c r="J55" s="53">
        <f t="shared" si="3"/>
        <v>0</v>
      </c>
      <c r="K55" s="53">
        <f t="shared" si="3"/>
        <v>172456.41</v>
      </c>
      <c r="L55" s="53">
        <f t="shared" si="3"/>
        <v>0</v>
      </c>
      <c r="M55" s="53">
        <f t="shared" si="3"/>
        <v>172456.41</v>
      </c>
      <c r="N55" s="53">
        <f t="shared" si="3"/>
        <v>0</v>
      </c>
      <c r="O55" s="111">
        <f t="shared" si="3"/>
        <v>172456.41</v>
      </c>
      <c r="P55" s="111">
        <f t="shared" si="3"/>
        <v>91552.61</v>
      </c>
      <c r="Q55" s="111">
        <f t="shared" si="0"/>
        <v>264009.02</v>
      </c>
      <c r="R55" s="145">
        <f t="shared" ref="R55" si="4">SUM(R56:R57)</f>
        <v>34563.979999999981</v>
      </c>
      <c r="S55" s="111">
        <f t="shared" si="2"/>
        <v>298573</v>
      </c>
      <c r="T55" s="169"/>
    </row>
    <row r="56" spans="1:22" ht="25.5" outlineLevel="1">
      <c r="A56" s="57" t="s">
        <v>140</v>
      </c>
      <c r="B56" s="15" t="s">
        <v>96</v>
      </c>
      <c r="C56" s="42"/>
      <c r="D56" s="53"/>
      <c r="E56" s="53"/>
      <c r="F56" s="53"/>
      <c r="G56" s="53"/>
      <c r="H56" s="54">
        <f>13177.3+15672.45+17033.66</f>
        <v>45883.41</v>
      </c>
      <c r="I56" s="54">
        <f>H56</f>
        <v>45883.41</v>
      </c>
      <c r="J56" s="54"/>
      <c r="K56" s="54">
        <f>I56</f>
        <v>45883.41</v>
      </c>
      <c r="L56" s="54"/>
      <c r="M56" s="54">
        <f>K56</f>
        <v>45883.41</v>
      </c>
      <c r="N56" s="54"/>
      <c r="O56" s="112">
        <f>M56</f>
        <v>45883.41</v>
      </c>
      <c r="P56" s="129">
        <v>91552.61</v>
      </c>
      <c r="Q56" s="112">
        <f t="shared" si="0"/>
        <v>137436.02000000002</v>
      </c>
      <c r="R56" s="146">
        <f>172000-Q56</f>
        <v>34563.979999999981</v>
      </c>
      <c r="S56" s="112">
        <f t="shared" si="2"/>
        <v>172000</v>
      </c>
      <c r="T56" s="169"/>
    </row>
    <row r="57" spans="1:22" outlineLevel="1">
      <c r="A57" s="14" t="s">
        <v>39</v>
      </c>
      <c r="B57" s="15" t="s">
        <v>40</v>
      </c>
      <c r="C57" s="43">
        <v>126573</v>
      </c>
      <c r="D57" s="54"/>
      <c r="E57" s="54">
        <v>126573</v>
      </c>
      <c r="F57" s="54"/>
      <c r="G57" s="54">
        <v>126573</v>
      </c>
      <c r="H57" s="54"/>
      <c r="I57" s="54">
        <v>126573</v>
      </c>
      <c r="J57" s="54"/>
      <c r="K57" s="54">
        <v>126573</v>
      </c>
      <c r="L57" s="54"/>
      <c r="M57" s="54">
        <v>126573</v>
      </c>
      <c r="N57" s="54"/>
      <c r="O57" s="112">
        <v>126573</v>
      </c>
      <c r="P57" s="112"/>
      <c r="Q57" s="112">
        <f t="shared" si="0"/>
        <v>126573</v>
      </c>
      <c r="R57" s="146"/>
      <c r="S57" s="112">
        <f t="shared" si="2"/>
        <v>126573</v>
      </c>
      <c r="T57" s="169"/>
    </row>
    <row r="58" spans="1:22" ht="25.5" outlineLevel="1">
      <c r="A58" s="9" t="s">
        <v>41</v>
      </c>
      <c r="B58" s="18" t="s">
        <v>42</v>
      </c>
      <c r="C58" s="42">
        <f>SUM(C59:C60)</f>
        <v>3519444</v>
      </c>
      <c r="D58" s="53"/>
      <c r="E58" s="53">
        <f>SUM(E59:E60)</f>
        <v>3519444</v>
      </c>
      <c r="F58" s="53"/>
      <c r="G58" s="53">
        <f>SUM(G59:G60)</f>
        <v>3519444</v>
      </c>
      <c r="H58" s="53"/>
      <c r="I58" s="53">
        <f>SUM(I59:I60)</f>
        <v>3519444</v>
      </c>
      <c r="J58" s="53"/>
      <c r="K58" s="53">
        <f>SUM(K59:K60)</f>
        <v>3519444</v>
      </c>
      <c r="L58" s="53"/>
      <c r="M58" s="53">
        <f>SUM(M59:M60)</f>
        <v>3519444</v>
      </c>
      <c r="N58" s="53"/>
      <c r="O58" s="111">
        <f>SUM(O59:O60)</f>
        <v>3519444</v>
      </c>
      <c r="P58" s="111"/>
      <c r="Q58" s="111">
        <f t="shared" si="0"/>
        <v>3519444</v>
      </c>
      <c r="R58" s="145">
        <f>SUM(R59:R60)</f>
        <v>835000</v>
      </c>
      <c r="S58" s="111">
        <f t="shared" si="2"/>
        <v>4354444</v>
      </c>
      <c r="T58" s="169"/>
    </row>
    <row r="59" spans="1:22" ht="63.75" outlineLevel="1">
      <c r="A59" s="14" t="s">
        <v>43</v>
      </c>
      <c r="B59" s="15" t="s">
        <v>44</v>
      </c>
      <c r="C59" s="43">
        <v>2104000</v>
      </c>
      <c r="D59" s="54"/>
      <c r="E59" s="54">
        <v>2104000</v>
      </c>
      <c r="F59" s="54"/>
      <c r="G59" s="54">
        <v>2104000</v>
      </c>
      <c r="H59" s="54"/>
      <c r="I59" s="54">
        <v>2104000</v>
      </c>
      <c r="J59" s="54"/>
      <c r="K59" s="54">
        <v>2104000</v>
      </c>
      <c r="L59" s="54"/>
      <c r="M59" s="54">
        <v>2104000</v>
      </c>
      <c r="N59" s="54"/>
      <c r="O59" s="112">
        <v>2104000</v>
      </c>
      <c r="P59" s="112"/>
      <c r="Q59" s="112">
        <f t="shared" si="0"/>
        <v>2104000</v>
      </c>
      <c r="R59" s="146">
        <f>2939000-Q59</f>
        <v>835000</v>
      </c>
      <c r="S59" s="112">
        <f t="shared" si="2"/>
        <v>2939000</v>
      </c>
      <c r="T59" s="169"/>
    </row>
    <row r="60" spans="1:22" ht="38.25" outlineLevel="1">
      <c r="A60" s="14" t="s">
        <v>45</v>
      </c>
      <c r="B60" s="15" t="s">
        <v>46</v>
      </c>
      <c r="C60" s="43">
        <v>1415444</v>
      </c>
      <c r="D60" s="54"/>
      <c r="E60" s="54">
        <v>1415444</v>
      </c>
      <c r="F60" s="54"/>
      <c r="G60" s="54">
        <v>1415444</v>
      </c>
      <c r="H60" s="54"/>
      <c r="I60" s="54">
        <v>1415444</v>
      </c>
      <c r="J60" s="54"/>
      <c r="K60" s="54">
        <v>1415444</v>
      </c>
      <c r="L60" s="54"/>
      <c r="M60" s="54">
        <v>1415444</v>
      </c>
      <c r="N60" s="54"/>
      <c r="O60" s="112">
        <v>1415444</v>
      </c>
      <c r="P60" s="112"/>
      <c r="Q60" s="112">
        <f t="shared" si="0"/>
        <v>1415444</v>
      </c>
      <c r="R60" s="146"/>
      <c r="S60" s="112">
        <f t="shared" si="2"/>
        <v>1415444</v>
      </c>
      <c r="T60" s="169"/>
    </row>
    <row r="61" spans="1:22" outlineLevel="1">
      <c r="A61" s="9" t="s">
        <v>47</v>
      </c>
      <c r="B61" s="18" t="s">
        <v>48</v>
      </c>
      <c r="C61" s="43">
        <v>2930000</v>
      </c>
      <c r="D61" s="54"/>
      <c r="E61" s="54">
        <v>2930000</v>
      </c>
      <c r="F61" s="54"/>
      <c r="G61" s="54">
        <v>2930000</v>
      </c>
      <c r="H61" s="54"/>
      <c r="I61" s="54">
        <v>2930000</v>
      </c>
      <c r="J61" s="54"/>
      <c r="K61" s="54">
        <v>2930000</v>
      </c>
      <c r="L61" s="54"/>
      <c r="M61" s="54">
        <v>2930000</v>
      </c>
      <c r="N61" s="54"/>
      <c r="O61" s="112">
        <v>2930000</v>
      </c>
      <c r="P61" s="112"/>
      <c r="Q61" s="112">
        <f t="shared" si="0"/>
        <v>2930000</v>
      </c>
      <c r="R61" s="146"/>
      <c r="S61" s="112">
        <f t="shared" si="2"/>
        <v>2930000</v>
      </c>
      <c r="T61" s="169"/>
    </row>
    <row r="62" spans="1:22" s="6" customFormat="1">
      <c r="A62" s="7" t="s">
        <v>49</v>
      </c>
      <c r="B62" s="19" t="s">
        <v>50</v>
      </c>
      <c r="C62" s="41">
        <f t="shared" ref="C62:P62" si="5">C63+C125+C127+C131</f>
        <v>802378400</v>
      </c>
      <c r="D62" s="41">
        <f t="shared" si="5"/>
        <v>635371.53999999957</v>
      </c>
      <c r="E62" s="41">
        <f t="shared" si="5"/>
        <v>803013771.53999996</v>
      </c>
      <c r="F62" s="41">
        <f t="shared" si="5"/>
        <v>14518074.780000001</v>
      </c>
      <c r="G62" s="41">
        <f t="shared" si="5"/>
        <v>817531846.32000005</v>
      </c>
      <c r="H62" s="41">
        <f t="shared" si="5"/>
        <v>26329696</v>
      </c>
      <c r="I62" s="41">
        <f t="shared" si="5"/>
        <v>843861542.32000005</v>
      </c>
      <c r="J62" s="41">
        <f t="shared" si="5"/>
        <v>16199337.76</v>
      </c>
      <c r="K62" s="52">
        <f t="shared" si="5"/>
        <v>860060880.08000004</v>
      </c>
      <c r="L62" s="41">
        <f t="shared" si="5"/>
        <v>5756557</v>
      </c>
      <c r="M62" s="52">
        <f t="shared" si="5"/>
        <v>865817437.08000004</v>
      </c>
      <c r="N62" s="52">
        <f t="shared" si="5"/>
        <v>0</v>
      </c>
      <c r="O62" s="110">
        <f t="shared" si="5"/>
        <v>865817437.08000004</v>
      </c>
      <c r="P62" s="110">
        <f t="shared" si="5"/>
        <v>18767671.759999998</v>
      </c>
      <c r="Q62" s="110">
        <f t="shared" si="0"/>
        <v>884585108.84000003</v>
      </c>
      <c r="R62" s="144">
        <f>R63+R125+R127+R131</f>
        <v>59227418.729999997</v>
      </c>
      <c r="S62" s="110">
        <f t="shared" si="2"/>
        <v>943812527.57000005</v>
      </c>
      <c r="T62" s="172"/>
    </row>
    <row r="63" spans="1:22" s="21" customFormat="1" ht="25.5">
      <c r="A63" s="20" t="s">
        <v>82</v>
      </c>
      <c r="B63" s="17" t="s">
        <v>51</v>
      </c>
      <c r="C63" s="39">
        <f t="shared" ref="C63:P63" si="6">C64+C67+C97+C112</f>
        <v>802378400</v>
      </c>
      <c r="D63" s="39">
        <f t="shared" si="6"/>
        <v>356459</v>
      </c>
      <c r="E63" s="39">
        <f t="shared" si="6"/>
        <v>802734859</v>
      </c>
      <c r="F63" s="39">
        <f t="shared" si="6"/>
        <v>8688532.7200000007</v>
      </c>
      <c r="G63" s="39">
        <f t="shared" si="6"/>
        <v>811423391.72000003</v>
      </c>
      <c r="H63" s="39">
        <f t="shared" si="6"/>
        <v>26329696</v>
      </c>
      <c r="I63" s="39">
        <f t="shared" si="6"/>
        <v>837753087.72000003</v>
      </c>
      <c r="J63" s="39">
        <f t="shared" si="6"/>
        <v>16199337.76</v>
      </c>
      <c r="K63" s="58">
        <f t="shared" si="6"/>
        <v>853952425.48000002</v>
      </c>
      <c r="L63" s="39">
        <f t="shared" si="6"/>
        <v>5756557</v>
      </c>
      <c r="M63" s="58">
        <f t="shared" si="6"/>
        <v>859708982.48000002</v>
      </c>
      <c r="N63" s="58">
        <f t="shared" si="6"/>
        <v>0</v>
      </c>
      <c r="O63" s="115">
        <f t="shared" si="6"/>
        <v>859708982.48000002</v>
      </c>
      <c r="P63" s="115">
        <f t="shared" si="6"/>
        <v>18899540.949999999</v>
      </c>
      <c r="Q63" s="115">
        <f t="shared" si="0"/>
        <v>878608523.43000007</v>
      </c>
      <c r="R63" s="149">
        <f>R64+R67+R97+R112</f>
        <v>59257251.979999997</v>
      </c>
      <c r="S63" s="115">
        <f t="shared" si="2"/>
        <v>937865775.41000009</v>
      </c>
      <c r="T63" s="174"/>
    </row>
    <row r="64" spans="1:22" s="6" customFormat="1" ht="25.5">
      <c r="A64" s="7" t="s">
        <v>52</v>
      </c>
      <c r="B64" s="19" t="s">
        <v>74</v>
      </c>
      <c r="C64" s="41">
        <f>C65</f>
        <v>52021200</v>
      </c>
      <c r="D64" s="52"/>
      <c r="E64" s="52">
        <f>E65</f>
        <v>52021200</v>
      </c>
      <c r="F64" s="52"/>
      <c r="G64" s="52">
        <f>G65</f>
        <v>52021200</v>
      </c>
      <c r="H64" s="52"/>
      <c r="I64" s="52">
        <f>I65</f>
        <v>52021200</v>
      </c>
      <c r="J64" s="52"/>
      <c r="K64" s="52">
        <f>K65</f>
        <v>52021200</v>
      </c>
      <c r="L64" s="52"/>
      <c r="M64" s="52">
        <f>M65</f>
        <v>52021200</v>
      </c>
      <c r="N64" s="52">
        <f>N65</f>
        <v>0</v>
      </c>
      <c r="O64" s="110">
        <f>O65</f>
        <v>52021200</v>
      </c>
      <c r="P64" s="110">
        <f>P65</f>
        <v>0</v>
      </c>
      <c r="Q64" s="110">
        <f>SUM(Q65:Q66)</f>
        <v>52021200</v>
      </c>
      <c r="R64" s="144">
        <f t="shared" ref="R64" si="7">SUM(R65:R66)</f>
        <v>53004980</v>
      </c>
      <c r="S64" s="110">
        <f>SUM(S65:S66)</f>
        <v>105026180</v>
      </c>
      <c r="T64" s="168"/>
    </row>
    <row r="65" spans="1:20" s="21" customFormat="1" ht="25.5">
      <c r="A65" s="11" t="s">
        <v>75</v>
      </c>
      <c r="B65" s="22" t="s">
        <v>81</v>
      </c>
      <c r="C65" s="39">
        <v>52021200</v>
      </c>
      <c r="D65" s="58"/>
      <c r="E65" s="58">
        <v>52021200</v>
      </c>
      <c r="F65" s="58"/>
      <c r="G65" s="58">
        <v>52021200</v>
      </c>
      <c r="H65" s="58"/>
      <c r="I65" s="58">
        <v>52021200</v>
      </c>
      <c r="J65" s="58"/>
      <c r="K65" s="58">
        <v>52021200</v>
      </c>
      <c r="L65" s="58"/>
      <c r="M65" s="58">
        <v>52021200</v>
      </c>
      <c r="N65" s="58"/>
      <c r="O65" s="115">
        <v>52021200</v>
      </c>
      <c r="P65" s="115"/>
      <c r="Q65" s="115">
        <f t="shared" si="0"/>
        <v>52021200</v>
      </c>
      <c r="R65" s="149"/>
      <c r="S65" s="115">
        <f t="shared" si="2"/>
        <v>52021200</v>
      </c>
      <c r="T65" s="175"/>
    </row>
    <row r="66" spans="1:20" s="21" customFormat="1" ht="25.5">
      <c r="A66" s="11" t="s">
        <v>167</v>
      </c>
      <c r="B66" s="131" t="s">
        <v>168</v>
      </c>
      <c r="C66" s="39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115"/>
      <c r="P66" s="115"/>
      <c r="Q66" s="115"/>
      <c r="R66" s="149">
        <v>53004980</v>
      </c>
      <c r="S66" s="115">
        <f t="shared" si="2"/>
        <v>53004980</v>
      </c>
      <c r="T66" s="174"/>
    </row>
    <row r="67" spans="1:20" s="6" customFormat="1" ht="25.5">
      <c r="A67" s="7" t="s">
        <v>53</v>
      </c>
      <c r="B67" s="19" t="s">
        <v>71</v>
      </c>
      <c r="C67" s="41">
        <f>SUM(C68:C89)</f>
        <v>161048200</v>
      </c>
      <c r="D67" s="52">
        <f>SUM(D68:D89)</f>
        <v>300900</v>
      </c>
      <c r="E67" s="52">
        <f>SUM(E68:E89)</f>
        <v>161349100</v>
      </c>
      <c r="F67" s="52">
        <f>SUM(F68:F89)</f>
        <v>8641232.7200000007</v>
      </c>
      <c r="G67" s="52">
        <f>SUM(G68:G89)</f>
        <v>169990332.72</v>
      </c>
      <c r="H67" s="52">
        <f>SUM(H68:H90)</f>
        <v>13095400</v>
      </c>
      <c r="I67" s="52">
        <f>SUM(I68:I90)</f>
        <v>183085732.72</v>
      </c>
      <c r="J67" s="52">
        <f>SUM(J68:J90)</f>
        <v>16197420.76</v>
      </c>
      <c r="K67" s="52">
        <f>SUM(K68:K90)</f>
        <v>199283153.48000002</v>
      </c>
      <c r="L67" s="52">
        <f>SUM(L68:L92)</f>
        <v>5756557</v>
      </c>
      <c r="M67" s="52">
        <f t="shared" ref="M67:S67" si="8">SUM(M68:M96)</f>
        <v>205039710.48000002</v>
      </c>
      <c r="N67" s="52">
        <f t="shared" si="8"/>
        <v>0</v>
      </c>
      <c r="O67" s="110">
        <f t="shared" si="8"/>
        <v>205039710.48000002</v>
      </c>
      <c r="P67" s="110">
        <f t="shared" si="8"/>
        <v>11042145.689999999</v>
      </c>
      <c r="Q67" s="110">
        <f t="shared" si="8"/>
        <v>216081856.16999999</v>
      </c>
      <c r="R67" s="144">
        <f t="shared" si="8"/>
        <v>1515930.6800000002</v>
      </c>
      <c r="S67" s="110">
        <f t="shared" si="8"/>
        <v>217597786.84999999</v>
      </c>
      <c r="T67" s="168"/>
    </row>
    <row r="68" spans="1:20" ht="76.5">
      <c r="A68" s="23" t="s">
        <v>57</v>
      </c>
      <c r="B68" s="24" t="s">
        <v>93</v>
      </c>
      <c r="C68" s="39">
        <v>1767000</v>
      </c>
      <c r="D68" s="58"/>
      <c r="E68" s="58">
        <v>1767000</v>
      </c>
      <c r="F68" s="58"/>
      <c r="G68" s="58">
        <v>1767000</v>
      </c>
      <c r="H68" s="58"/>
      <c r="I68" s="58">
        <v>1767000</v>
      </c>
      <c r="J68" s="58"/>
      <c r="K68" s="58">
        <v>1767000</v>
      </c>
      <c r="L68" s="58"/>
      <c r="M68" s="58">
        <v>1767000</v>
      </c>
      <c r="N68" s="58"/>
      <c r="O68" s="115">
        <f>SUM(M68:N68)</f>
        <v>1767000</v>
      </c>
      <c r="P68" s="115"/>
      <c r="Q68" s="115">
        <f t="shared" si="0"/>
        <v>1767000</v>
      </c>
      <c r="R68" s="149"/>
      <c r="S68" s="115">
        <f t="shared" ref="S68:S136" si="9">R68+Q68</f>
        <v>1767000</v>
      </c>
      <c r="T68" s="176"/>
    </row>
    <row r="69" spans="1:20" ht="51">
      <c r="A69" s="57" t="s">
        <v>121</v>
      </c>
      <c r="B69" s="86" t="s">
        <v>122</v>
      </c>
      <c r="C69" s="39"/>
      <c r="D69" s="58"/>
      <c r="E69" s="58"/>
      <c r="F69" s="58">
        <v>507522.04</v>
      </c>
      <c r="G69" s="58">
        <f t="shared" ref="G69:G82" si="10">F69</f>
        <v>507522.04</v>
      </c>
      <c r="H69" s="58"/>
      <c r="I69" s="58">
        <v>507522.04</v>
      </c>
      <c r="J69" s="58"/>
      <c r="K69" s="58">
        <v>507522.04</v>
      </c>
      <c r="L69" s="58"/>
      <c r="M69" s="58">
        <v>507522.04</v>
      </c>
      <c r="N69" s="58"/>
      <c r="O69" s="115">
        <f t="shared" ref="O69:O96" si="11">SUM(M69:N69)</f>
        <v>507522.04</v>
      </c>
      <c r="P69" s="115"/>
      <c r="Q69" s="115">
        <f t="shared" si="0"/>
        <v>507522.04</v>
      </c>
      <c r="R69" s="149"/>
      <c r="S69" s="115">
        <f t="shared" si="9"/>
        <v>507522.04</v>
      </c>
      <c r="T69" s="169"/>
    </row>
    <row r="70" spans="1:20" ht="25.5">
      <c r="A70" s="81" t="s">
        <v>141</v>
      </c>
      <c r="B70" s="63" t="s">
        <v>142</v>
      </c>
      <c r="C70" s="39"/>
      <c r="D70" s="58"/>
      <c r="E70" s="58"/>
      <c r="F70" s="58"/>
      <c r="G70" s="58"/>
      <c r="H70" s="58"/>
      <c r="I70" s="58"/>
      <c r="J70" s="58">
        <v>15812235.76</v>
      </c>
      <c r="K70" s="58">
        <f>J70</f>
        <v>15812235.76</v>
      </c>
      <c r="L70" s="58"/>
      <c r="M70" s="58">
        <v>15812235.76</v>
      </c>
      <c r="N70" s="58"/>
      <c r="O70" s="115">
        <f t="shared" si="11"/>
        <v>15812235.76</v>
      </c>
      <c r="P70" s="115"/>
      <c r="Q70" s="115">
        <f t="shared" si="0"/>
        <v>15812235.76</v>
      </c>
      <c r="R70" s="149">
        <v>815620</v>
      </c>
      <c r="S70" s="115">
        <f t="shared" si="9"/>
        <v>16627855.76</v>
      </c>
      <c r="T70" s="169"/>
    </row>
    <row r="71" spans="1:20" ht="51">
      <c r="A71" s="62" t="s">
        <v>123</v>
      </c>
      <c r="B71" s="63" t="s">
        <v>97</v>
      </c>
      <c r="C71" s="39"/>
      <c r="D71" s="58"/>
      <c r="E71" s="58"/>
      <c r="F71" s="58">
        <v>30178.86</v>
      </c>
      <c r="G71" s="58">
        <f t="shared" si="10"/>
        <v>30178.86</v>
      </c>
      <c r="H71" s="58"/>
      <c r="I71" s="58">
        <v>30178.86</v>
      </c>
      <c r="J71" s="58"/>
      <c r="K71" s="58">
        <v>30178.86</v>
      </c>
      <c r="L71" s="58"/>
      <c r="M71" s="58">
        <v>30178.86</v>
      </c>
      <c r="N71" s="58"/>
      <c r="O71" s="115">
        <f t="shared" si="11"/>
        <v>30178.86</v>
      </c>
      <c r="P71" s="115"/>
      <c r="Q71" s="115">
        <f t="shared" si="0"/>
        <v>30178.86</v>
      </c>
      <c r="R71" s="149"/>
      <c r="S71" s="115">
        <f t="shared" si="9"/>
        <v>30178.86</v>
      </c>
      <c r="T71" s="169"/>
    </row>
    <row r="72" spans="1:20" ht="51">
      <c r="A72" s="133" t="s">
        <v>170</v>
      </c>
      <c r="B72" s="134" t="s">
        <v>169</v>
      </c>
      <c r="C72" s="39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115"/>
      <c r="P72" s="115"/>
      <c r="Q72" s="115"/>
      <c r="R72" s="149">
        <v>1195335.56</v>
      </c>
      <c r="S72" s="115">
        <f t="shared" si="9"/>
        <v>1195335.56</v>
      </c>
      <c r="T72" s="169"/>
    </row>
    <row r="73" spans="1:20" ht="38.25">
      <c r="A73" s="81" t="s">
        <v>124</v>
      </c>
      <c r="B73" s="63" t="s">
        <v>98</v>
      </c>
      <c r="C73" s="39"/>
      <c r="D73" s="58"/>
      <c r="E73" s="58"/>
      <c r="F73" s="58">
        <v>6209187.9400000004</v>
      </c>
      <c r="G73" s="58">
        <f t="shared" si="10"/>
        <v>6209187.9400000004</v>
      </c>
      <c r="H73" s="58"/>
      <c r="I73" s="58">
        <v>6209187.9400000004</v>
      </c>
      <c r="J73" s="58"/>
      <c r="K73" s="58">
        <v>6209187.9400000004</v>
      </c>
      <c r="L73" s="58"/>
      <c r="M73" s="58">
        <v>6209187.9400000004</v>
      </c>
      <c r="N73" s="58"/>
      <c r="O73" s="115">
        <f t="shared" si="11"/>
        <v>6209187.9400000004</v>
      </c>
      <c r="P73" s="115">
        <f>-133061.04-14784.56</f>
        <v>-147845.6</v>
      </c>
      <c r="Q73" s="115">
        <f t="shared" si="0"/>
        <v>6061342.3400000008</v>
      </c>
      <c r="R73" s="149"/>
      <c r="S73" s="115">
        <f t="shared" si="9"/>
        <v>6061342.3400000008</v>
      </c>
      <c r="T73" s="169"/>
    </row>
    <row r="74" spans="1:20" ht="25.5">
      <c r="A74" s="91" t="s">
        <v>146</v>
      </c>
      <c r="B74" s="63" t="s">
        <v>148</v>
      </c>
      <c r="C74" s="39"/>
      <c r="D74" s="58"/>
      <c r="E74" s="58"/>
      <c r="F74" s="58"/>
      <c r="G74" s="58"/>
      <c r="H74" s="58"/>
      <c r="I74" s="58"/>
      <c r="J74" s="58"/>
      <c r="K74" s="58"/>
      <c r="L74" s="58">
        <v>1011374</v>
      </c>
      <c r="M74" s="58">
        <f>L74</f>
        <v>1011374</v>
      </c>
      <c r="N74" s="58"/>
      <c r="O74" s="115">
        <f t="shared" si="11"/>
        <v>1011374</v>
      </c>
      <c r="P74" s="115"/>
      <c r="Q74" s="115">
        <f t="shared" si="0"/>
        <v>1011374</v>
      </c>
      <c r="R74" s="149">
        <f>544768.89-Q74</f>
        <v>-466605.11</v>
      </c>
      <c r="S74" s="115">
        <f t="shared" si="9"/>
        <v>544768.89</v>
      </c>
      <c r="T74" s="169"/>
    </row>
    <row r="75" spans="1:20" ht="25.5">
      <c r="A75" s="91" t="s">
        <v>147</v>
      </c>
      <c r="B75" s="87" t="s">
        <v>92</v>
      </c>
      <c r="C75" s="39"/>
      <c r="D75" s="58"/>
      <c r="E75" s="58"/>
      <c r="F75" s="58"/>
      <c r="G75" s="58"/>
      <c r="H75" s="58"/>
      <c r="I75" s="58"/>
      <c r="J75" s="58"/>
      <c r="K75" s="58"/>
      <c r="L75" s="58">
        <v>2731862</v>
      </c>
      <c r="M75" s="58">
        <f>L75</f>
        <v>2731862</v>
      </c>
      <c r="N75" s="58"/>
      <c r="O75" s="115">
        <f t="shared" si="11"/>
        <v>2731862</v>
      </c>
      <c r="P75" s="115"/>
      <c r="Q75" s="115">
        <f t="shared" si="0"/>
        <v>2731862</v>
      </c>
      <c r="R75" s="149">
        <f>2267523.11-Q75</f>
        <v>-464338.89000000013</v>
      </c>
      <c r="S75" s="115">
        <f t="shared" si="9"/>
        <v>2267523.11</v>
      </c>
      <c r="T75" s="169"/>
    </row>
    <row r="76" spans="1:20" ht="25.5">
      <c r="A76" s="62" t="s">
        <v>125</v>
      </c>
      <c r="B76" s="87" t="s">
        <v>92</v>
      </c>
      <c r="C76" s="39"/>
      <c r="D76" s="58"/>
      <c r="E76" s="58"/>
      <c r="F76" s="58">
        <v>872712</v>
      </c>
      <c r="G76" s="58">
        <f t="shared" si="10"/>
        <v>872712</v>
      </c>
      <c r="H76" s="58"/>
      <c r="I76" s="58">
        <v>872712</v>
      </c>
      <c r="J76" s="58"/>
      <c r="K76" s="58">
        <v>872712</v>
      </c>
      <c r="L76" s="58"/>
      <c r="M76" s="58">
        <v>872712</v>
      </c>
      <c r="N76" s="58"/>
      <c r="O76" s="115">
        <f t="shared" si="11"/>
        <v>872712</v>
      </c>
      <c r="P76" s="115"/>
      <c r="Q76" s="115">
        <f t="shared" si="0"/>
        <v>872712</v>
      </c>
      <c r="R76" s="149"/>
      <c r="S76" s="115">
        <f t="shared" si="9"/>
        <v>872712</v>
      </c>
      <c r="T76" s="169"/>
    </row>
    <row r="77" spans="1:20" ht="25.5">
      <c r="A77" s="62" t="s">
        <v>126</v>
      </c>
      <c r="B77" s="87" t="s">
        <v>92</v>
      </c>
      <c r="C77" s="39"/>
      <c r="D77" s="58"/>
      <c r="E77" s="58"/>
      <c r="F77" s="58">
        <v>200000</v>
      </c>
      <c r="G77" s="58">
        <f t="shared" si="10"/>
        <v>200000</v>
      </c>
      <c r="H77" s="58"/>
      <c r="I77" s="58">
        <v>200000</v>
      </c>
      <c r="J77" s="58"/>
      <c r="K77" s="58">
        <v>200000</v>
      </c>
      <c r="L77" s="58"/>
      <c r="M77" s="58">
        <v>200000</v>
      </c>
      <c r="N77" s="58"/>
      <c r="O77" s="115">
        <f t="shared" si="11"/>
        <v>200000</v>
      </c>
      <c r="P77" s="115"/>
      <c r="Q77" s="115">
        <f t="shared" si="0"/>
        <v>200000</v>
      </c>
      <c r="R77" s="149"/>
      <c r="S77" s="115">
        <f t="shared" si="9"/>
        <v>200000</v>
      </c>
      <c r="T77" s="169"/>
    </row>
    <row r="78" spans="1:20" ht="38.25">
      <c r="A78" s="62" t="s">
        <v>127</v>
      </c>
      <c r="B78" s="87" t="s">
        <v>92</v>
      </c>
      <c r="C78" s="39"/>
      <c r="D78" s="58"/>
      <c r="E78" s="58"/>
      <c r="F78" s="58">
        <v>282000</v>
      </c>
      <c r="G78" s="58">
        <f t="shared" si="10"/>
        <v>282000</v>
      </c>
      <c r="H78" s="58"/>
      <c r="I78" s="58">
        <v>282000</v>
      </c>
      <c r="J78" s="58"/>
      <c r="K78" s="58">
        <v>282000</v>
      </c>
      <c r="L78" s="58"/>
      <c r="M78" s="58">
        <v>282000</v>
      </c>
      <c r="N78" s="58"/>
      <c r="O78" s="115">
        <f t="shared" si="11"/>
        <v>282000</v>
      </c>
      <c r="P78" s="115"/>
      <c r="Q78" s="115">
        <f t="shared" si="0"/>
        <v>282000</v>
      </c>
      <c r="R78" s="149"/>
      <c r="S78" s="115">
        <f t="shared" si="9"/>
        <v>282000</v>
      </c>
      <c r="T78" s="169"/>
    </row>
    <row r="79" spans="1:20" ht="38.25">
      <c r="A79" s="89" t="s">
        <v>144</v>
      </c>
      <c r="B79" s="87" t="s">
        <v>92</v>
      </c>
      <c r="C79" s="39"/>
      <c r="D79" s="58"/>
      <c r="E79" s="58"/>
      <c r="F79" s="58"/>
      <c r="G79" s="58"/>
      <c r="H79" s="58"/>
      <c r="I79" s="58"/>
      <c r="J79" s="58">
        <v>210000</v>
      </c>
      <c r="K79" s="58">
        <f>J79</f>
        <v>210000</v>
      </c>
      <c r="L79" s="58"/>
      <c r="M79" s="58">
        <v>210000</v>
      </c>
      <c r="N79" s="58"/>
      <c r="O79" s="115">
        <f t="shared" si="11"/>
        <v>210000</v>
      </c>
      <c r="P79" s="115"/>
      <c r="Q79" s="115">
        <f t="shared" si="0"/>
        <v>210000</v>
      </c>
      <c r="R79" s="149"/>
      <c r="S79" s="115">
        <f t="shared" si="9"/>
        <v>210000</v>
      </c>
      <c r="T79" s="169"/>
    </row>
    <row r="80" spans="1:20" ht="25.5">
      <c r="A80" s="92" t="s">
        <v>149</v>
      </c>
      <c r="B80" s="87" t="s">
        <v>92</v>
      </c>
      <c r="C80" s="39"/>
      <c r="D80" s="58"/>
      <c r="E80" s="58"/>
      <c r="F80" s="58"/>
      <c r="G80" s="58"/>
      <c r="H80" s="58"/>
      <c r="I80" s="58"/>
      <c r="J80" s="58"/>
      <c r="K80" s="58"/>
      <c r="L80" s="58">
        <v>500000</v>
      </c>
      <c r="M80" s="58">
        <f>L80</f>
        <v>500000</v>
      </c>
      <c r="N80" s="58"/>
      <c r="O80" s="115">
        <f t="shared" si="11"/>
        <v>500000</v>
      </c>
      <c r="P80" s="115"/>
      <c r="Q80" s="115">
        <f t="shared" si="0"/>
        <v>500000</v>
      </c>
      <c r="R80" s="149"/>
      <c r="S80" s="115">
        <f t="shared" si="9"/>
        <v>500000</v>
      </c>
      <c r="T80" s="169"/>
    </row>
    <row r="81" spans="1:20" ht="25.5">
      <c r="A81" s="81" t="s">
        <v>143</v>
      </c>
      <c r="B81" s="87" t="s">
        <v>92</v>
      </c>
      <c r="C81" s="39"/>
      <c r="D81" s="58"/>
      <c r="E81" s="58"/>
      <c r="F81" s="58"/>
      <c r="G81" s="58"/>
      <c r="H81" s="58"/>
      <c r="I81" s="58"/>
      <c r="J81" s="58">
        <v>175185</v>
      </c>
      <c r="K81" s="58">
        <f>J81</f>
        <v>175185</v>
      </c>
      <c r="L81" s="58"/>
      <c r="M81" s="58">
        <v>175185</v>
      </c>
      <c r="N81" s="58"/>
      <c r="O81" s="115">
        <f t="shared" si="11"/>
        <v>175185</v>
      </c>
      <c r="P81" s="115"/>
      <c r="Q81" s="115">
        <f t="shared" si="0"/>
        <v>175185</v>
      </c>
      <c r="R81" s="149">
        <f>196568-Q81</f>
        <v>21383</v>
      </c>
      <c r="S81" s="115">
        <f t="shared" si="9"/>
        <v>196568</v>
      </c>
      <c r="T81" s="169"/>
    </row>
    <row r="82" spans="1:20" ht="51">
      <c r="A82" s="81" t="s">
        <v>128</v>
      </c>
      <c r="B82" s="87" t="s">
        <v>92</v>
      </c>
      <c r="C82" s="39"/>
      <c r="D82" s="58"/>
      <c r="E82" s="58"/>
      <c r="F82" s="58">
        <v>539631.88</v>
      </c>
      <c r="G82" s="58">
        <f t="shared" si="10"/>
        <v>539631.88</v>
      </c>
      <c r="H82" s="58"/>
      <c r="I82" s="58">
        <v>539631.88</v>
      </c>
      <c r="J82" s="58"/>
      <c r="K82" s="58">
        <v>539631.88</v>
      </c>
      <c r="L82" s="58"/>
      <c r="M82" s="58">
        <v>539631.88</v>
      </c>
      <c r="N82" s="58"/>
      <c r="O82" s="115">
        <f t="shared" si="11"/>
        <v>539631.88</v>
      </c>
      <c r="P82" s="115">
        <v>-2112.81</v>
      </c>
      <c r="Q82" s="115">
        <f t="shared" si="0"/>
        <v>537519.06999999995</v>
      </c>
      <c r="R82" s="149"/>
      <c r="S82" s="115">
        <f t="shared" si="9"/>
        <v>537519.06999999995</v>
      </c>
      <c r="T82" s="169"/>
    </row>
    <row r="83" spans="1:20" ht="25.5">
      <c r="A83" s="60" t="s">
        <v>115</v>
      </c>
      <c r="B83" s="24" t="s">
        <v>92</v>
      </c>
      <c r="C83" s="39"/>
      <c r="D83" s="58">
        <v>75900</v>
      </c>
      <c r="E83" s="58">
        <f>D83</f>
        <v>75900</v>
      </c>
      <c r="F83" s="58"/>
      <c r="G83" s="58">
        <v>75900</v>
      </c>
      <c r="H83" s="58"/>
      <c r="I83" s="58">
        <v>75900</v>
      </c>
      <c r="J83" s="58"/>
      <c r="K83" s="58">
        <v>75900</v>
      </c>
      <c r="L83" s="58"/>
      <c r="M83" s="58">
        <v>75900</v>
      </c>
      <c r="N83" s="58"/>
      <c r="O83" s="115">
        <f t="shared" si="11"/>
        <v>75900</v>
      </c>
      <c r="P83" s="115"/>
      <c r="Q83" s="115">
        <f t="shared" si="0"/>
        <v>75900</v>
      </c>
      <c r="R83" s="149"/>
      <c r="S83" s="115">
        <f t="shared" si="9"/>
        <v>75900</v>
      </c>
      <c r="T83" s="169"/>
    </row>
    <row r="84" spans="1:20" ht="76.5">
      <c r="A84" s="23" t="s">
        <v>76</v>
      </c>
      <c r="B84" s="24" t="s">
        <v>92</v>
      </c>
      <c r="C84" s="39">
        <v>25600</v>
      </c>
      <c r="D84" s="58"/>
      <c r="E84" s="58">
        <v>25600</v>
      </c>
      <c r="F84" s="58"/>
      <c r="G84" s="58">
        <v>25600</v>
      </c>
      <c r="H84" s="58"/>
      <c r="I84" s="58">
        <v>25600</v>
      </c>
      <c r="J84" s="58"/>
      <c r="K84" s="58">
        <v>25600</v>
      </c>
      <c r="L84" s="58"/>
      <c r="M84" s="58">
        <v>25600</v>
      </c>
      <c r="N84" s="58"/>
      <c r="O84" s="115">
        <f t="shared" si="11"/>
        <v>25600</v>
      </c>
      <c r="P84" s="115"/>
      <c r="Q84" s="115">
        <f t="shared" si="0"/>
        <v>25600</v>
      </c>
      <c r="R84" s="149"/>
      <c r="S84" s="115">
        <f t="shared" si="9"/>
        <v>25600</v>
      </c>
      <c r="T84" s="169"/>
    </row>
    <row r="85" spans="1:20" s="6" customFormat="1" ht="51">
      <c r="A85" s="23" t="s">
        <v>54</v>
      </c>
      <c r="B85" s="24" t="s">
        <v>92</v>
      </c>
      <c r="C85" s="39">
        <v>256000</v>
      </c>
      <c r="D85" s="58"/>
      <c r="E85" s="58">
        <v>256000</v>
      </c>
      <c r="F85" s="58"/>
      <c r="G85" s="58">
        <v>256000</v>
      </c>
      <c r="H85" s="58"/>
      <c r="I85" s="58">
        <v>256000</v>
      </c>
      <c r="J85" s="58"/>
      <c r="K85" s="58">
        <v>256000</v>
      </c>
      <c r="L85" s="58"/>
      <c r="M85" s="58">
        <v>256000</v>
      </c>
      <c r="N85" s="58"/>
      <c r="O85" s="115">
        <f t="shared" si="11"/>
        <v>256000</v>
      </c>
      <c r="P85" s="115"/>
      <c r="Q85" s="115">
        <f t="shared" si="0"/>
        <v>256000</v>
      </c>
      <c r="R85" s="149">
        <v>-56400</v>
      </c>
      <c r="S85" s="115">
        <f t="shared" si="9"/>
        <v>199600</v>
      </c>
      <c r="T85" s="172"/>
    </row>
    <row r="86" spans="1:20" ht="25.5">
      <c r="A86" s="23" t="s">
        <v>55</v>
      </c>
      <c r="B86" s="24" t="s">
        <v>92</v>
      </c>
      <c r="C86" s="39">
        <v>798600</v>
      </c>
      <c r="D86" s="58">
        <v>225000</v>
      </c>
      <c r="E86" s="58">
        <f>C86+D86</f>
        <v>1023600</v>
      </c>
      <c r="F86" s="58"/>
      <c r="G86" s="58">
        <v>1023600</v>
      </c>
      <c r="H86" s="58"/>
      <c r="I86" s="58">
        <v>1023600</v>
      </c>
      <c r="J86" s="58"/>
      <c r="K86" s="58">
        <v>1023600</v>
      </c>
      <c r="L86" s="58"/>
      <c r="M86" s="58">
        <v>1023600</v>
      </c>
      <c r="N86" s="58"/>
      <c r="O86" s="115">
        <f t="shared" si="11"/>
        <v>1023600</v>
      </c>
      <c r="P86" s="115"/>
      <c r="Q86" s="115">
        <f t="shared" si="0"/>
        <v>1023600</v>
      </c>
      <c r="R86" s="149"/>
      <c r="S86" s="115">
        <f t="shared" si="9"/>
        <v>1023600</v>
      </c>
      <c r="T86" s="169"/>
    </row>
    <row r="87" spans="1:20" ht="63.75">
      <c r="A87" s="23" t="s">
        <v>88</v>
      </c>
      <c r="B87" s="24" t="s">
        <v>92</v>
      </c>
      <c r="C87" s="39">
        <v>843600</v>
      </c>
      <c r="D87" s="58"/>
      <c r="E87" s="58">
        <v>843600</v>
      </c>
      <c r="F87" s="58"/>
      <c r="G87" s="58">
        <v>843600</v>
      </c>
      <c r="H87" s="58"/>
      <c r="I87" s="58">
        <v>843600</v>
      </c>
      <c r="J87" s="58"/>
      <c r="K87" s="58">
        <v>843600</v>
      </c>
      <c r="L87" s="58"/>
      <c r="M87" s="58">
        <v>843600</v>
      </c>
      <c r="N87" s="58"/>
      <c r="O87" s="115">
        <f t="shared" si="11"/>
        <v>843600</v>
      </c>
      <c r="P87" s="115"/>
      <c r="Q87" s="115">
        <f t="shared" si="0"/>
        <v>843600</v>
      </c>
      <c r="R87" s="149"/>
      <c r="S87" s="115">
        <f t="shared" si="9"/>
        <v>843600</v>
      </c>
      <c r="T87" s="169"/>
    </row>
    <row r="88" spans="1:20" ht="51">
      <c r="A88" s="23" t="s">
        <v>89</v>
      </c>
      <c r="B88" s="24" t="s">
        <v>92</v>
      </c>
      <c r="C88" s="39">
        <v>15631800</v>
      </c>
      <c r="D88" s="58"/>
      <c r="E88" s="58">
        <v>15631800</v>
      </c>
      <c r="F88" s="58"/>
      <c r="G88" s="58">
        <v>15631800</v>
      </c>
      <c r="H88" s="58"/>
      <c r="I88" s="58">
        <v>15631800</v>
      </c>
      <c r="J88" s="58"/>
      <c r="K88" s="58">
        <v>15631800</v>
      </c>
      <c r="L88" s="58"/>
      <c r="M88" s="58">
        <v>15631800</v>
      </c>
      <c r="N88" s="58"/>
      <c r="O88" s="115">
        <f t="shared" si="11"/>
        <v>15631800</v>
      </c>
      <c r="P88" s="127">
        <f>20385400-O88</f>
        <v>4753600</v>
      </c>
      <c r="Q88" s="115">
        <f t="shared" si="0"/>
        <v>20385400</v>
      </c>
      <c r="R88" s="150"/>
      <c r="S88" s="115">
        <f t="shared" si="9"/>
        <v>20385400</v>
      </c>
      <c r="T88" s="169"/>
    </row>
    <row r="89" spans="1:20">
      <c r="A89" s="23" t="s">
        <v>56</v>
      </c>
      <c r="B89" s="24" t="s">
        <v>92</v>
      </c>
      <c r="C89" s="39">
        <v>141725600</v>
      </c>
      <c r="D89" s="58"/>
      <c r="E89" s="58">
        <v>141725600</v>
      </c>
      <c r="F89" s="58"/>
      <c r="G89" s="58">
        <v>141725600</v>
      </c>
      <c r="H89" s="58"/>
      <c r="I89" s="58">
        <v>141725600</v>
      </c>
      <c r="J89" s="58"/>
      <c r="K89" s="58">
        <v>141725600</v>
      </c>
      <c r="L89" s="58"/>
      <c r="M89" s="58">
        <v>141725600</v>
      </c>
      <c r="N89" s="58"/>
      <c r="O89" s="115">
        <f t="shared" si="11"/>
        <v>141725600</v>
      </c>
      <c r="P89" s="115"/>
      <c r="Q89" s="115">
        <f t="shared" si="0"/>
        <v>141725600</v>
      </c>
      <c r="R89" s="149"/>
      <c r="S89" s="115">
        <f t="shared" si="9"/>
        <v>141725600</v>
      </c>
      <c r="T89" s="169"/>
    </row>
    <row r="90" spans="1:20" ht="25.5">
      <c r="A90" s="60" t="s">
        <v>138</v>
      </c>
      <c r="B90" s="24" t="s">
        <v>92</v>
      </c>
      <c r="C90" s="39"/>
      <c r="D90" s="58"/>
      <c r="E90" s="58"/>
      <c r="F90" s="58"/>
      <c r="G90" s="58"/>
      <c r="H90" s="58">
        <v>13095400</v>
      </c>
      <c r="I90" s="58">
        <f>H90</f>
        <v>13095400</v>
      </c>
      <c r="J90" s="58"/>
      <c r="K90" s="58">
        <f>I90</f>
        <v>13095400</v>
      </c>
      <c r="L90" s="58"/>
      <c r="M90" s="58">
        <f>K90</f>
        <v>13095400</v>
      </c>
      <c r="N90" s="58">
        <v>0</v>
      </c>
      <c r="O90" s="115">
        <f t="shared" si="11"/>
        <v>13095400</v>
      </c>
      <c r="P90" s="115">
        <v>843300</v>
      </c>
      <c r="Q90" s="115">
        <f t="shared" si="0"/>
        <v>13938700</v>
      </c>
      <c r="R90" s="149"/>
      <c r="S90" s="115">
        <f t="shared" si="9"/>
        <v>13938700</v>
      </c>
      <c r="T90" s="169"/>
    </row>
    <row r="91" spans="1:20" ht="29.25" customHeight="1">
      <c r="A91" s="60" t="s">
        <v>150</v>
      </c>
      <c r="B91" s="24" t="s">
        <v>92</v>
      </c>
      <c r="C91" s="39"/>
      <c r="D91" s="58"/>
      <c r="E91" s="58"/>
      <c r="F91" s="58"/>
      <c r="G91" s="58"/>
      <c r="H91" s="58"/>
      <c r="I91" s="58"/>
      <c r="J91" s="58"/>
      <c r="K91" s="58"/>
      <c r="L91" s="58">
        <v>167000</v>
      </c>
      <c r="M91" s="58">
        <f>L91</f>
        <v>167000</v>
      </c>
      <c r="N91" s="58"/>
      <c r="O91" s="115">
        <f t="shared" si="11"/>
        <v>167000</v>
      </c>
      <c r="P91" s="115"/>
      <c r="Q91" s="115">
        <f t="shared" si="0"/>
        <v>167000</v>
      </c>
      <c r="R91" s="149"/>
      <c r="S91" s="115">
        <f t="shared" si="9"/>
        <v>167000</v>
      </c>
      <c r="T91" s="169"/>
    </row>
    <row r="92" spans="1:20" ht="25.5">
      <c r="A92" s="60" t="s">
        <v>151</v>
      </c>
      <c r="B92" s="24" t="s">
        <v>92</v>
      </c>
      <c r="C92" s="39"/>
      <c r="D92" s="58"/>
      <c r="E92" s="58"/>
      <c r="F92" s="58"/>
      <c r="G92" s="58"/>
      <c r="H92" s="58"/>
      <c r="I92" s="58"/>
      <c r="J92" s="58"/>
      <c r="K92" s="58"/>
      <c r="L92" s="58">
        <v>1346321</v>
      </c>
      <c r="M92" s="58">
        <f>L92</f>
        <v>1346321</v>
      </c>
      <c r="N92" s="58"/>
      <c r="O92" s="115">
        <f t="shared" si="11"/>
        <v>1346321</v>
      </c>
      <c r="P92" s="115"/>
      <c r="Q92" s="115">
        <f t="shared" si="0"/>
        <v>1346321</v>
      </c>
      <c r="R92" s="149"/>
      <c r="S92" s="115">
        <f t="shared" si="9"/>
        <v>1346321</v>
      </c>
      <c r="T92" s="169"/>
    </row>
    <row r="93" spans="1:20" ht="25.5">
      <c r="A93" s="136" t="s">
        <v>171</v>
      </c>
      <c r="B93" s="135" t="s">
        <v>92</v>
      </c>
      <c r="C93" s="39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115"/>
      <c r="P93" s="115"/>
      <c r="Q93" s="115"/>
      <c r="R93" s="149">
        <v>470936.12</v>
      </c>
      <c r="S93" s="115">
        <f t="shared" si="9"/>
        <v>470936.12</v>
      </c>
      <c r="T93" s="169"/>
    </row>
    <row r="94" spans="1:20" ht="25.5">
      <c r="A94" s="60" t="s">
        <v>157</v>
      </c>
      <c r="B94" s="24" t="s">
        <v>92</v>
      </c>
      <c r="C94" s="39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115">
        <f t="shared" si="11"/>
        <v>0</v>
      </c>
      <c r="P94" s="115">
        <v>600000</v>
      </c>
      <c r="Q94" s="115">
        <f t="shared" si="0"/>
        <v>600000</v>
      </c>
      <c r="R94" s="149"/>
      <c r="S94" s="115">
        <f t="shared" si="9"/>
        <v>600000</v>
      </c>
      <c r="T94" s="169"/>
    </row>
    <row r="95" spans="1:20" ht="25.5">
      <c r="A95" s="60" t="s">
        <v>164</v>
      </c>
      <c r="B95" s="24" t="s">
        <v>92</v>
      </c>
      <c r="C95" s="39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115"/>
      <c r="P95" s="128">
        <v>2000000</v>
      </c>
      <c r="Q95" s="115">
        <f t="shared" si="0"/>
        <v>2000000</v>
      </c>
      <c r="R95" s="150"/>
      <c r="S95" s="115">
        <f t="shared" si="9"/>
        <v>2000000</v>
      </c>
      <c r="T95" s="169"/>
    </row>
    <row r="96" spans="1:20" ht="25.5">
      <c r="A96" s="92" t="s">
        <v>152</v>
      </c>
      <c r="B96" s="24" t="s">
        <v>92</v>
      </c>
      <c r="C96" s="39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>
        <v>0</v>
      </c>
      <c r="O96" s="115">
        <f t="shared" si="11"/>
        <v>0</v>
      </c>
      <c r="P96" s="128">
        <v>2995204.1</v>
      </c>
      <c r="Q96" s="115">
        <f t="shared" si="0"/>
        <v>2995204.1</v>
      </c>
      <c r="R96" s="150"/>
      <c r="S96" s="115">
        <f t="shared" si="9"/>
        <v>2995204.1</v>
      </c>
      <c r="T96" s="169"/>
    </row>
    <row r="97" spans="1:20" s="26" customFormat="1" ht="25.5">
      <c r="A97" s="25" t="s">
        <v>58</v>
      </c>
      <c r="B97" s="19" t="s">
        <v>70</v>
      </c>
      <c r="C97" s="41">
        <f t="shared" ref="C97:L97" si="12">SUM(C98:C111)</f>
        <v>541336200</v>
      </c>
      <c r="D97" s="52">
        <f t="shared" si="12"/>
        <v>91.88</v>
      </c>
      <c r="E97" s="52">
        <f t="shared" si="12"/>
        <v>541336291.88</v>
      </c>
      <c r="F97" s="52">
        <f t="shared" si="12"/>
        <v>0</v>
      </c>
      <c r="G97" s="52">
        <f t="shared" si="12"/>
        <v>541336291.88</v>
      </c>
      <c r="H97" s="52">
        <f t="shared" si="12"/>
        <v>10737200</v>
      </c>
      <c r="I97" s="52">
        <f t="shared" si="12"/>
        <v>552073491.88</v>
      </c>
      <c r="J97" s="52">
        <f t="shared" si="12"/>
        <v>0</v>
      </c>
      <c r="K97" s="52">
        <f t="shared" si="12"/>
        <v>552073491.88</v>
      </c>
      <c r="L97" s="52">
        <f t="shared" si="12"/>
        <v>0</v>
      </c>
      <c r="M97" s="52">
        <f>SUM(M98:M111)</f>
        <v>552073491.88</v>
      </c>
      <c r="N97" s="52">
        <f t="shared" ref="N97" si="13">SUM(N98:N111)</f>
        <v>0</v>
      </c>
      <c r="O97" s="110">
        <f>SUM(O98:O111)</f>
        <v>552073491.88</v>
      </c>
      <c r="P97" s="110">
        <f t="shared" ref="P97" si="14">SUM(P98:P111)</f>
        <v>5417668.1200000001</v>
      </c>
      <c r="Q97" s="110">
        <f t="shared" si="0"/>
        <v>557491160</v>
      </c>
      <c r="R97" s="144">
        <f t="shared" ref="R97" si="15">SUM(R98:R111)</f>
        <v>0</v>
      </c>
      <c r="S97" s="110">
        <f t="shared" si="9"/>
        <v>557491160</v>
      </c>
      <c r="T97" s="168"/>
    </row>
    <row r="98" spans="1:20" s="30" customFormat="1" ht="38.25">
      <c r="A98" s="28" t="s">
        <v>80</v>
      </c>
      <c r="B98" s="29" t="s">
        <v>72</v>
      </c>
      <c r="C98" s="39">
        <v>5724500</v>
      </c>
      <c r="D98" s="58"/>
      <c r="E98" s="58">
        <v>5724500</v>
      </c>
      <c r="F98" s="58"/>
      <c r="G98" s="58">
        <v>5724500</v>
      </c>
      <c r="H98" s="58"/>
      <c r="I98" s="58">
        <v>5724500</v>
      </c>
      <c r="J98" s="58"/>
      <c r="K98" s="58">
        <v>5724500</v>
      </c>
      <c r="L98" s="58"/>
      <c r="M98" s="58">
        <v>5724500</v>
      </c>
      <c r="N98" s="58"/>
      <c r="O98" s="115">
        <f>SUM(M98:N98)</f>
        <v>5724500</v>
      </c>
      <c r="P98" s="115"/>
      <c r="Q98" s="115">
        <f t="shared" si="0"/>
        <v>5724500</v>
      </c>
      <c r="R98" s="149"/>
      <c r="S98" s="115">
        <f t="shared" si="9"/>
        <v>5724500</v>
      </c>
      <c r="T98" s="176"/>
    </row>
    <row r="99" spans="1:20" s="30" customFormat="1" ht="38.25">
      <c r="A99" s="31" t="s">
        <v>78</v>
      </c>
      <c r="B99" s="29" t="s">
        <v>72</v>
      </c>
      <c r="C99" s="39">
        <v>3246700</v>
      </c>
      <c r="D99" s="58"/>
      <c r="E99" s="58">
        <v>3246700</v>
      </c>
      <c r="F99" s="58"/>
      <c r="G99" s="58">
        <v>3246700</v>
      </c>
      <c r="H99" s="58"/>
      <c r="I99" s="58">
        <v>3246700</v>
      </c>
      <c r="J99" s="58"/>
      <c r="K99" s="58">
        <v>3246700</v>
      </c>
      <c r="L99" s="58"/>
      <c r="M99" s="58">
        <v>3246700</v>
      </c>
      <c r="N99" s="58"/>
      <c r="O99" s="115">
        <f t="shared" ref="O99:O111" si="16">SUM(M99:N99)</f>
        <v>3246700</v>
      </c>
      <c r="P99" s="115"/>
      <c r="Q99" s="115">
        <f t="shared" si="0"/>
        <v>3246700</v>
      </c>
      <c r="R99" s="149"/>
      <c r="S99" s="115">
        <f t="shared" si="9"/>
        <v>3246700</v>
      </c>
      <c r="T99" s="171"/>
    </row>
    <row r="100" spans="1:20" ht="25.5">
      <c r="A100" s="23" t="s">
        <v>60</v>
      </c>
      <c r="B100" s="29" t="s">
        <v>72</v>
      </c>
      <c r="C100" s="39">
        <v>999000</v>
      </c>
      <c r="D100" s="58"/>
      <c r="E100" s="58">
        <v>999000</v>
      </c>
      <c r="F100" s="58"/>
      <c r="G100" s="58">
        <v>999000</v>
      </c>
      <c r="H100" s="58"/>
      <c r="I100" s="58">
        <v>999000</v>
      </c>
      <c r="J100" s="58"/>
      <c r="K100" s="58">
        <v>999000</v>
      </c>
      <c r="L100" s="58"/>
      <c r="M100" s="58">
        <v>999000</v>
      </c>
      <c r="N100" s="58"/>
      <c r="O100" s="115">
        <f t="shared" si="16"/>
        <v>999000</v>
      </c>
      <c r="P100" s="115"/>
      <c r="Q100" s="115">
        <f t="shared" si="0"/>
        <v>999000</v>
      </c>
      <c r="R100" s="149"/>
      <c r="S100" s="115">
        <f t="shared" si="9"/>
        <v>999000</v>
      </c>
      <c r="T100" s="169"/>
    </row>
    <row r="101" spans="1:20" ht="25.5">
      <c r="A101" s="23" t="s">
        <v>61</v>
      </c>
      <c r="B101" s="29" t="s">
        <v>72</v>
      </c>
      <c r="C101" s="39">
        <v>249700</v>
      </c>
      <c r="D101" s="58"/>
      <c r="E101" s="58">
        <v>249700</v>
      </c>
      <c r="F101" s="58"/>
      <c r="G101" s="58">
        <v>249700</v>
      </c>
      <c r="H101" s="58"/>
      <c r="I101" s="58">
        <v>249700</v>
      </c>
      <c r="J101" s="58"/>
      <c r="K101" s="58">
        <v>249700</v>
      </c>
      <c r="L101" s="58"/>
      <c r="M101" s="58">
        <v>249700</v>
      </c>
      <c r="N101" s="58"/>
      <c r="O101" s="115">
        <f t="shared" si="16"/>
        <v>249700</v>
      </c>
      <c r="P101" s="115"/>
      <c r="Q101" s="115">
        <f t="shared" si="0"/>
        <v>249700</v>
      </c>
      <c r="R101" s="149"/>
      <c r="S101" s="115">
        <f t="shared" si="9"/>
        <v>249700</v>
      </c>
      <c r="T101" s="169"/>
    </row>
    <row r="102" spans="1:20" ht="25.5">
      <c r="A102" s="23" t="s">
        <v>62</v>
      </c>
      <c r="B102" s="29" t="s">
        <v>72</v>
      </c>
      <c r="C102" s="39">
        <v>1012500</v>
      </c>
      <c r="D102" s="58"/>
      <c r="E102" s="58">
        <v>1012500</v>
      </c>
      <c r="F102" s="58"/>
      <c r="G102" s="58">
        <v>1012500</v>
      </c>
      <c r="H102" s="58"/>
      <c r="I102" s="58">
        <v>1012500</v>
      </c>
      <c r="J102" s="58"/>
      <c r="K102" s="58">
        <v>1012500</v>
      </c>
      <c r="L102" s="58"/>
      <c r="M102" s="58">
        <v>1012500</v>
      </c>
      <c r="N102" s="58"/>
      <c r="O102" s="115">
        <f t="shared" si="16"/>
        <v>1012500</v>
      </c>
      <c r="P102" s="115"/>
      <c r="Q102" s="115">
        <f t="shared" si="0"/>
        <v>1012500</v>
      </c>
      <c r="R102" s="149"/>
      <c r="S102" s="115">
        <f t="shared" si="9"/>
        <v>1012500</v>
      </c>
      <c r="T102" s="169"/>
    </row>
    <row r="103" spans="1:20" ht="51">
      <c r="A103" s="23" t="s">
        <v>63</v>
      </c>
      <c r="B103" s="29" t="s">
        <v>72</v>
      </c>
      <c r="C103" s="39">
        <v>10000</v>
      </c>
      <c r="D103" s="58"/>
      <c r="E103" s="58">
        <v>10000</v>
      </c>
      <c r="F103" s="58"/>
      <c r="G103" s="58">
        <v>10000</v>
      </c>
      <c r="H103" s="58"/>
      <c r="I103" s="58">
        <v>10000</v>
      </c>
      <c r="J103" s="58"/>
      <c r="K103" s="58">
        <v>10000</v>
      </c>
      <c r="L103" s="58"/>
      <c r="M103" s="58">
        <v>10000</v>
      </c>
      <c r="N103" s="58"/>
      <c r="O103" s="115">
        <f t="shared" si="16"/>
        <v>10000</v>
      </c>
      <c r="P103" s="115"/>
      <c r="Q103" s="115">
        <f t="shared" si="0"/>
        <v>10000</v>
      </c>
      <c r="R103" s="149"/>
      <c r="S103" s="115">
        <f t="shared" si="9"/>
        <v>10000</v>
      </c>
      <c r="T103" s="169"/>
    </row>
    <row r="104" spans="1:20" ht="25.5">
      <c r="A104" s="23" t="s">
        <v>64</v>
      </c>
      <c r="B104" s="29" t="s">
        <v>72</v>
      </c>
      <c r="C104" s="39">
        <v>25000</v>
      </c>
      <c r="D104" s="58"/>
      <c r="E104" s="58">
        <v>25000</v>
      </c>
      <c r="F104" s="58"/>
      <c r="G104" s="58">
        <v>25000</v>
      </c>
      <c r="H104" s="58"/>
      <c r="I104" s="58">
        <v>25000</v>
      </c>
      <c r="J104" s="58"/>
      <c r="K104" s="58">
        <v>25000</v>
      </c>
      <c r="L104" s="58"/>
      <c r="M104" s="58">
        <v>25000</v>
      </c>
      <c r="N104" s="58"/>
      <c r="O104" s="115">
        <f t="shared" si="16"/>
        <v>25000</v>
      </c>
      <c r="P104" s="115"/>
      <c r="Q104" s="115">
        <f t="shared" si="0"/>
        <v>25000</v>
      </c>
      <c r="R104" s="149"/>
      <c r="S104" s="115">
        <f t="shared" si="9"/>
        <v>25000</v>
      </c>
      <c r="T104" s="169"/>
    </row>
    <row r="105" spans="1:20" ht="38.25">
      <c r="A105" s="73" t="s">
        <v>113</v>
      </c>
      <c r="B105" s="29" t="s">
        <v>72</v>
      </c>
      <c r="C105" s="39">
        <v>6586100</v>
      </c>
      <c r="D105" s="58">
        <v>38</v>
      </c>
      <c r="E105" s="58">
        <f>C105+D105</f>
        <v>6586138</v>
      </c>
      <c r="F105" s="58"/>
      <c r="G105" s="58">
        <v>6586138</v>
      </c>
      <c r="H105" s="58"/>
      <c r="I105" s="58">
        <v>6586138</v>
      </c>
      <c r="J105" s="58"/>
      <c r="K105" s="58">
        <v>6586138</v>
      </c>
      <c r="L105" s="58"/>
      <c r="M105" s="58">
        <v>6586138</v>
      </c>
      <c r="N105" s="58">
        <v>0</v>
      </c>
      <c r="O105" s="115">
        <f>SUM(M105:N105)</f>
        <v>6586138</v>
      </c>
      <c r="P105" s="115">
        <f>-755498-405440</f>
        <v>-1160938</v>
      </c>
      <c r="Q105" s="115">
        <f t="shared" si="0"/>
        <v>5425200</v>
      </c>
      <c r="R105" s="149"/>
      <c r="S105" s="115">
        <f t="shared" si="9"/>
        <v>5425200</v>
      </c>
      <c r="T105" s="169"/>
    </row>
    <row r="106" spans="1:20" ht="38.25">
      <c r="A106" s="23" t="s">
        <v>77</v>
      </c>
      <c r="B106" s="32" t="s">
        <v>73</v>
      </c>
      <c r="C106" s="39">
        <v>9352700</v>
      </c>
      <c r="D106" s="58"/>
      <c r="E106" s="58">
        <v>9352700</v>
      </c>
      <c r="F106" s="58"/>
      <c r="G106" s="58">
        <v>9352700</v>
      </c>
      <c r="H106" s="58"/>
      <c r="I106" s="58">
        <v>9352700</v>
      </c>
      <c r="J106" s="58"/>
      <c r="K106" s="58">
        <v>9352700</v>
      </c>
      <c r="L106" s="58"/>
      <c r="M106" s="58">
        <v>9352700</v>
      </c>
      <c r="N106" s="58"/>
      <c r="O106" s="115">
        <f t="shared" si="16"/>
        <v>9352700</v>
      </c>
      <c r="P106" s="115">
        <v>8700</v>
      </c>
      <c r="Q106" s="115">
        <f t="shared" si="0"/>
        <v>9361400</v>
      </c>
      <c r="R106" s="149"/>
      <c r="S106" s="115">
        <f t="shared" si="9"/>
        <v>9361400</v>
      </c>
      <c r="T106" s="169"/>
    </row>
    <row r="107" spans="1:20" ht="89.25">
      <c r="A107" s="23" t="s">
        <v>90</v>
      </c>
      <c r="B107" s="32" t="s">
        <v>84</v>
      </c>
      <c r="C107" s="39">
        <v>3328900</v>
      </c>
      <c r="D107" s="58">
        <v>11.6</v>
      </c>
      <c r="E107" s="58">
        <f>C107+D107</f>
        <v>3328911.6</v>
      </c>
      <c r="F107" s="58"/>
      <c r="G107" s="58">
        <v>3328911.6</v>
      </c>
      <c r="H107" s="58"/>
      <c r="I107" s="58">
        <v>3328911.6</v>
      </c>
      <c r="J107" s="58"/>
      <c r="K107" s="58">
        <v>3328911.6</v>
      </c>
      <c r="L107" s="58"/>
      <c r="M107" s="58">
        <v>3328911.6</v>
      </c>
      <c r="N107" s="58"/>
      <c r="O107" s="115">
        <f t="shared" si="16"/>
        <v>3328911.6</v>
      </c>
      <c r="P107" s="115">
        <f>1073525.51+119280.61</f>
        <v>1192806.1200000001</v>
      </c>
      <c r="Q107" s="115">
        <f t="shared" ref="Q107:Q136" si="17">P107+O107</f>
        <v>4521717.7200000007</v>
      </c>
      <c r="R107" s="149"/>
      <c r="S107" s="115">
        <f t="shared" si="9"/>
        <v>4521717.7200000007</v>
      </c>
      <c r="T107" s="169"/>
    </row>
    <row r="108" spans="1:20" ht="38.25">
      <c r="A108" s="23" t="s">
        <v>59</v>
      </c>
      <c r="B108" s="27" t="s">
        <v>69</v>
      </c>
      <c r="C108" s="39">
        <v>2180400</v>
      </c>
      <c r="D108" s="58"/>
      <c r="E108" s="58">
        <v>2180400</v>
      </c>
      <c r="F108" s="58"/>
      <c r="G108" s="58">
        <v>2180400</v>
      </c>
      <c r="H108" s="58"/>
      <c r="I108" s="58">
        <v>2180400</v>
      </c>
      <c r="J108" s="58"/>
      <c r="K108" s="58">
        <v>2180400</v>
      </c>
      <c r="L108" s="58"/>
      <c r="M108" s="58">
        <v>2180400</v>
      </c>
      <c r="N108" s="58"/>
      <c r="O108" s="115">
        <f t="shared" si="16"/>
        <v>2180400</v>
      </c>
      <c r="P108" s="127">
        <f>2615700-O108</f>
        <v>435300</v>
      </c>
      <c r="Q108" s="115">
        <f t="shared" si="17"/>
        <v>2615700</v>
      </c>
      <c r="R108" s="150"/>
      <c r="S108" s="115">
        <f t="shared" si="9"/>
        <v>2615700</v>
      </c>
      <c r="T108" s="169"/>
    </row>
    <row r="109" spans="1:20" s="26" customFormat="1" ht="51">
      <c r="A109" s="57" t="s">
        <v>112</v>
      </c>
      <c r="B109" s="29" t="s">
        <v>111</v>
      </c>
      <c r="C109" s="39">
        <v>140600</v>
      </c>
      <c r="D109" s="58"/>
      <c r="E109" s="58">
        <v>140600</v>
      </c>
      <c r="F109" s="58"/>
      <c r="G109" s="58">
        <v>140600</v>
      </c>
      <c r="H109" s="58"/>
      <c r="I109" s="58">
        <v>140600</v>
      </c>
      <c r="J109" s="58"/>
      <c r="K109" s="58">
        <v>140600</v>
      </c>
      <c r="L109" s="58"/>
      <c r="M109" s="58">
        <v>140600</v>
      </c>
      <c r="N109" s="58"/>
      <c r="O109" s="115">
        <f t="shared" si="16"/>
        <v>140600</v>
      </c>
      <c r="P109" s="115"/>
      <c r="Q109" s="115">
        <f t="shared" si="17"/>
        <v>140600</v>
      </c>
      <c r="R109" s="149"/>
      <c r="S109" s="115">
        <f t="shared" si="9"/>
        <v>140600</v>
      </c>
      <c r="T109" s="172"/>
    </row>
    <row r="110" spans="1:20" ht="63.75">
      <c r="A110" s="23" t="s">
        <v>65</v>
      </c>
      <c r="B110" s="32" t="s">
        <v>83</v>
      </c>
      <c r="C110" s="39">
        <v>2635400</v>
      </c>
      <c r="D110" s="58">
        <v>42.28</v>
      </c>
      <c r="E110" s="58">
        <f>C110+D110</f>
        <v>2635442.2799999998</v>
      </c>
      <c r="F110" s="58"/>
      <c r="G110" s="58">
        <v>2635442.2799999998</v>
      </c>
      <c r="H110" s="58"/>
      <c r="I110" s="58">
        <v>2635442.2799999998</v>
      </c>
      <c r="J110" s="58"/>
      <c r="K110" s="58">
        <v>2635442.2799999998</v>
      </c>
      <c r="L110" s="58"/>
      <c r="M110" s="58">
        <v>2635442.2799999998</v>
      </c>
      <c r="N110" s="58"/>
      <c r="O110" s="115">
        <f t="shared" si="16"/>
        <v>2635442.2799999998</v>
      </c>
      <c r="P110" s="115"/>
      <c r="Q110" s="115">
        <f t="shared" si="17"/>
        <v>2635442.2799999998</v>
      </c>
      <c r="R110" s="149"/>
      <c r="S110" s="115">
        <f t="shared" si="9"/>
        <v>2635442.2799999998</v>
      </c>
      <c r="T110" s="169"/>
    </row>
    <row r="111" spans="1:20">
      <c r="A111" s="33" t="s">
        <v>79</v>
      </c>
      <c r="B111" s="32" t="s">
        <v>83</v>
      </c>
      <c r="C111" s="39">
        <v>505844700</v>
      </c>
      <c r="D111" s="58"/>
      <c r="E111" s="58">
        <v>505844700</v>
      </c>
      <c r="F111" s="58"/>
      <c r="G111" s="58">
        <v>505844700</v>
      </c>
      <c r="H111" s="58">
        <v>10737200</v>
      </c>
      <c r="I111" s="58">
        <f>505844700+H111</f>
        <v>516581900</v>
      </c>
      <c r="J111" s="58"/>
      <c r="K111" s="58">
        <f>I111</f>
        <v>516581900</v>
      </c>
      <c r="L111" s="58"/>
      <c r="M111" s="58">
        <f>K111</f>
        <v>516581900</v>
      </c>
      <c r="N111" s="58">
        <v>0</v>
      </c>
      <c r="O111" s="115">
        <f t="shared" si="16"/>
        <v>516581900</v>
      </c>
      <c r="P111" s="115">
        <v>4941800</v>
      </c>
      <c r="Q111" s="115">
        <f t="shared" si="17"/>
        <v>521523700</v>
      </c>
      <c r="R111" s="149"/>
      <c r="S111" s="115">
        <f t="shared" si="9"/>
        <v>521523700</v>
      </c>
      <c r="T111" s="169"/>
    </row>
    <row r="112" spans="1:20" s="30" customFormat="1" ht="25.5">
      <c r="A112" s="7" t="s">
        <v>66</v>
      </c>
      <c r="B112" s="34" t="s">
        <v>85</v>
      </c>
      <c r="C112" s="46">
        <f>SUM(C116:C125)</f>
        <v>47972800</v>
      </c>
      <c r="D112" s="61">
        <f>SUM(D114:D117)</f>
        <v>55467.12</v>
      </c>
      <c r="E112" s="61">
        <f>SUM(E113:E117)</f>
        <v>48028267.119999997</v>
      </c>
      <c r="F112" s="61">
        <f>SUM(F113:F117)</f>
        <v>47300</v>
      </c>
      <c r="G112" s="61">
        <f>SUM(G113:G117)</f>
        <v>48075567.119999997</v>
      </c>
      <c r="H112" s="61">
        <f>SUM(H113:H120)</f>
        <v>2497096</v>
      </c>
      <c r="I112" s="61">
        <f>SUM(I113:I120)</f>
        <v>50572663.119999997</v>
      </c>
      <c r="J112" s="61">
        <f>SUM(J113:J120)</f>
        <v>1917</v>
      </c>
      <c r="K112" s="61">
        <f>SUM(K113:K120)</f>
        <v>50574580.119999997</v>
      </c>
      <c r="L112" s="61">
        <f>SUM(L113:L120)</f>
        <v>0</v>
      </c>
      <c r="M112" s="61">
        <f>SUM(M113:M124)</f>
        <v>50574580.119999997</v>
      </c>
      <c r="N112" s="61">
        <f>SUM(N113:N124)</f>
        <v>0</v>
      </c>
      <c r="O112" s="117">
        <f>SUM(O113:O124)</f>
        <v>50574580.119999997</v>
      </c>
      <c r="P112" s="117">
        <f>SUM(P113:P124)</f>
        <v>2439727.1399999997</v>
      </c>
      <c r="Q112" s="110">
        <f t="shared" si="17"/>
        <v>53014307.259999998</v>
      </c>
      <c r="R112" s="144">
        <f>SUM(R113:R124)</f>
        <v>4736341.3</v>
      </c>
      <c r="S112" s="110">
        <f>R112+Q112</f>
        <v>57750648.559999995</v>
      </c>
      <c r="T112" s="168"/>
    </row>
    <row r="113" spans="1:23" s="30" customFormat="1" ht="25.5">
      <c r="A113" s="78" t="s">
        <v>129</v>
      </c>
      <c r="B113" s="79" t="s">
        <v>117</v>
      </c>
      <c r="C113" s="46"/>
      <c r="D113" s="61"/>
      <c r="E113" s="61"/>
      <c r="F113" s="58">
        <v>30000</v>
      </c>
      <c r="G113" s="58">
        <f>F113</f>
        <v>30000</v>
      </c>
      <c r="H113" s="58"/>
      <c r="I113" s="58">
        <v>30000</v>
      </c>
      <c r="J113" s="58"/>
      <c r="K113" s="58">
        <v>30000</v>
      </c>
      <c r="L113" s="58"/>
      <c r="M113" s="58">
        <v>30000</v>
      </c>
      <c r="N113" s="58"/>
      <c r="O113" s="115">
        <f>SUM(M113:N113)</f>
        <v>30000</v>
      </c>
      <c r="P113" s="115"/>
      <c r="Q113" s="115">
        <f t="shared" si="17"/>
        <v>30000</v>
      </c>
      <c r="R113" s="149"/>
      <c r="S113" s="115">
        <f t="shared" si="9"/>
        <v>30000</v>
      </c>
      <c r="T113" s="176"/>
    </row>
    <row r="114" spans="1:23" s="30" customFormat="1" ht="25.5">
      <c r="A114" s="78" t="s">
        <v>116</v>
      </c>
      <c r="B114" s="79" t="s">
        <v>117</v>
      </c>
      <c r="C114" s="46"/>
      <c r="D114" s="58">
        <v>55467</v>
      </c>
      <c r="E114" s="58">
        <f>D114</f>
        <v>55467</v>
      </c>
      <c r="F114" s="58">
        <v>17300</v>
      </c>
      <c r="G114" s="58">
        <f>55467+F114</f>
        <v>72767</v>
      </c>
      <c r="H114" s="58">
        <v>496</v>
      </c>
      <c r="I114" s="58">
        <f>72767+H114</f>
        <v>73263</v>
      </c>
      <c r="J114" s="58">
        <v>1917</v>
      </c>
      <c r="K114" s="58">
        <f>I114+J114</f>
        <v>75180</v>
      </c>
      <c r="L114" s="58"/>
      <c r="M114" s="58">
        <v>75180</v>
      </c>
      <c r="N114" s="58"/>
      <c r="O114" s="115">
        <f t="shared" ref="O114:O126" si="18">SUM(M114:N114)</f>
        <v>75180</v>
      </c>
      <c r="P114" s="115"/>
      <c r="Q114" s="115">
        <f t="shared" si="17"/>
        <v>75180</v>
      </c>
      <c r="R114" s="149"/>
      <c r="S114" s="115">
        <f t="shared" si="9"/>
        <v>75180</v>
      </c>
      <c r="T114" s="171"/>
    </row>
    <row r="115" spans="1:23" s="30" customFormat="1" ht="38.25">
      <c r="A115" s="93" t="s">
        <v>154</v>
      </c>
      <c r="B115" s="17" t="s">
        <v>86</v>
      </c>
      <c r="C115" s="46"/>
      <c r="D115" s="58"/>
      <c r="E115" s="58"/>
      <c r="F115" s="58"/>
      <c r="G115" s="58"/>
      <c r="H115" s="58"/>
      <c r="I115" s="58"/>
      <c r="J115" s="58"/>
      <c r="K115" s="58"/>
      <c r="L115" s="58"/>
      <c r="M115" s="58">
        <f>L115</f>
        <v>0</v>
      </c>
      <c r="N115" s="58">
        <v>0</v>
      </c>
      <c r="O115" s="115">
        <f t="shared" si="18"/>
        <v>0</v>
      </c>
      <c r="P115" s="115">
        <f>1102881.98-14995.84</f>
        <v>1087886.1399999999</v>
      </c>
      <c r="Q115" s="115">
        <f t="shared" si="17"/>
        <v>1087886.1399999999</v>
      </c>
      <c r="R115" s="149">
        <f>185141.3+45600</f>
        <v>230741.3</v>
      </c>
      <c r="S115" s="115">
        <f t="shared" si="9"/>
        <v>1318627.44</v>
      </c>
      <c r="T115" s="177"/>
    </row>
    <row r="116" spans="1:23" ht="76.5">
      <c r="A116" s="74" t="s">
        <v>114</v>
      </c>
      <c r="B116" s="17" t="s">
        <v>86</v>
      </c>
      <c r="C116" s="39">
        <v>47820400</v>
      </c>
      <c r="D116" s="58"/>
      <c r="E116" s="58">
        <v>47820400</v>
      </c>
      <c r="F116" s="58"/>
      <c r="G116" s="58">
        <v>47820400</v>
      </c>
      <c r="H116" s="58"/>
      <c r="I116" s="58">
        <v>47820400</v>
      </c>
      <c r="J116" s="58"/>
      <c r="K116" s="58">
        <v>47820400</v>
      </c>
      <c r="L116" s="58"/>
      <c r="M116" s="58">
        <v>47820400</v>
      </c>
      <c r="N116" s="58"/>
      <c r="O116" s="115">
        <f t="shared" si="18"/>
        <v>47820400</v>
      </c>
      <c r="P116" s="115"/>
      <c r="Q116" s="115">
        <f t="shared" si="17"/>
        <v>47820400</v>
      </c>
      <c r="R116" s="149"/>
      <c r="S116" s="115">
        <f t="shared" si="9"/>
        <v>47820400</v>
      </c>
      <c r="T116" s="169"/>
    </row>
    <row r="117" spans="1:23" ht="63.75">
      <c r="A117" s="35" t="s">
        <v>91</v>
      </c>
      <c r="B117" s="17" t="s">
        <v>86</v>
      </c>
      <c r="C117" s="85">
        <v>152400</v>
      </c>
      <c r="D117" s="64">
        <v>0.12</v>
      </c>
      <c r="E117" s="64">
        <f>C117+D117</f>
        <v>152400.12</v>
      </c>
      <c r="F117" s="64"/>
      <c r="G117" s="64">
        <v>152400.12</v>
      </c>
      <c r="H117" s="64"/>
      <c r="I117" s="64">
        <v>152400.12</v>
      </c>
      <c r="J117" s="64"/>
      <c r="K117" s="64">
        <v>152400.12</v>
      </c>
      <c r="L117" s="64"/>
      <c r="M117" s="64">
        <v>152400.12</v>
      </c>
      <c r="N117" s="64"/>
      <c r="O117" s="115">
        <f t="shared" si="18"/>
        <v>152400.12</v>
      </c>
      <c r="P117" s="118"/>
      <c r="Q117" s="115">
        <f t="shared" si="17"/>
        <v>152400.12</v>
      </c>
      <c r="R117" s="151"/>
      <c r="S117" s="115">
        <f t="shared" si="9"/>
        <v>152400.12</v>
      </c>
      <c r="T117" s="169"/>
    </row>
    <row r="118" spans="1:23" ht="51.75" customHeight="1">
      <c r="A118" s="65" t="s">
        <v>172</v>
      </c>
      <c r="B118" s="137" t="s">
        <v>86</v>
      </c>
      <c r="C118" s="85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115"/>
      <c r="P118" s="118"/>
      <c r="Q118" s="115"/>
      <c r="R118" s="151">
        <v>3784200</v>
      </c>
      <c r="S118" s="115">
        <f t="shared" si="9"/>
        <v>3784200</v>
      </c>
      <c r="T118" s="169"/>
    </row>
    <row r="119" spans="1:23" ht="25.5">
      <c r="A119" s="65" t="s">
        <v>173</v>
      </c>
      <c r="B119" s="137" t="s">
        <v>86</v>
      </c>
      <c r="C119" s="85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115"/>
      <c r="P119" s="118"/>
      <c r="Q119" s="115"/>
      <c r="R119" s="151">
        <v>105000</v>
      </c>
      <c r="S119" s="115">
        <f t="shared" si="9"/>
        <v>105000</v>
      </c>
      <c r="T119" s="169"/>
    </row>
    <row r="120" spans="1:23" ht="25.5">
      <c r="A120" s="65" t="s">
        <v>139</v>
      </c>
      <c r="B120" s="17" t="s">
        <v>86</v>
      </c>
      <c r="C120" s="85"/>
      <c r="D120" s="64"/>
      <c r="E120" s="64"/>
      <c r="F120" s="64"/>
      <c r="G120" s="64"/>
      <c r="H120" s="64">
        <v>2496600</v>
      </c>
      <c r="I120" s="64">
        <f>H120</f>
        <v>2496600</v>
      </c>
      <c r="J120" s="64"/>
      <c r="K120" s="64">
        <f>I120</f>
        <v>2496600</v>
      </c>
      <c r="L120" s="64"/>
      <c r="M120" s="64">
        <f>K120</f>
        <v>2496600</v>
      </c>
      <c r="N120" s="64"/>
      <c r="O120" s="115">
        <f t="shared" si="18"/>
        <v>2496600</v>
      </c>
      <c r="P120" s="118"/>
      <c r="Q120" s="115">
        <f t="shared" si="17"/>
        <v>2496600</v>
      </c>
      <c r="R120" s="151"/>
      <c r="S120" s="115">
        <f t="shared" si="9"/>
        <v>2496600</v>
      </c>
      <c r="T120" s="169"/>
    </row>
    <row r="121" spans="1:23" ht="25.5">
      <c r="A121" s="65" t="s">
        <v>153</v>
      </c>
      <c r="B121" s="17" t="s">
        <v>86</v>
      </c>
      <c r="C121" s="85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0</v>
      </c>
      <c r="O121" s="115">
        <f t="shared" si="18"/>
        <v>0</v>
      </c>
      <c r="P121" s="118">
        <v>900000</v>
      </c>
      <c r="Q121" s="115">
        <f t="shared" si="17"/>
        <v>900000</v>
      </c>
      <c r="R121" s="151"/>
      <c r="S121" s="115">
        <f t="shared" si="9"/>
        <v>900000</v>
      </c>
      <c r="T121" s="169"/>
    </row>
    <row r="122" spans="1:23" ht="25.5" customHeight="1">
      <c r="A122" s="65" t="s">
        <v>155</v>
      </c>
      <c r="B122" s="17" t="s">
        <v>86</v>
      </c>
      <c r="C122" s="85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>
        <v>0</v>
      </c>
      <c r="O122" s="115">
        <f t="shared" si="18"/>
        <v>0</v>
      </c>
      <c r="P122" s="118">
        <v>250000</v>
      </c>
      <c r="Q122" s="115">
        <f t="shared" si="17"/>
        <v>250000</v>
      </c>
      <c r="R122" s="151"/>
      <c r="S122" s="115">
        <f t="shared" si="9"/>
        <v>250000</v>
      </c>
      <c r="T122" s="169"/>
    </row>
    <row r="123" spans="1:23" ht="25.5">
      <c r="A123" s="65" t="s">
        <v>174</v>
      </c>
      <c r="B123" s="17" t="s">
        <v>86</v>
      </c>
      <c r="C123" s="85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115"/>
      <c r="P123" s="118"/>
      <c r="Q123" s="115"/>
      <c r="R123" s="151">
        <v>616400</v>
      </c>
      <c r="S123" s="115">
        <f t="shared" si="9"/>
        <v>616400</v>
      </c>
      <c r="T123" s="169"/>
    </row>
    <row r="124" spans="1:23" ht="25.5">
      <c r="A124" s="65" t="s">
        <v>156</v>
      </c>
      <c r="B124" s="17" t="s">
        <v>86</v>
      </c>
      <c r="C124" s="85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>
        <v>0</v>
      </c>
      <c r="O124" s="115">
        <f t="shared" si="18"/>
        <v>0</v>
      </c>
      <c r="P124" s="118">
        <v>201841</v>
      </c>
      <c r="Q124" s="115">
        <f t="shared" si="17"/>
        <v>201841</v>
      </c>
      <c r="R124" s="151"/>
      <c r="S124" s="115">
        <f t="shared" si="9"/>
        <v>201841</v>
      </c>
      <c r="T124" s="169"/>
    </row>
    <row r="125" spans="1:23" s="68" customFormat="1" ht="18" customHeight="1">
      <c r="A125" s="80" t="s">
        <v>99</v>
      </c>
      <c r="B125" s="160" t="s">
        <v>100</v>
      </c>
      <c r="C125" s="161">
        <f>C126</f>
        <v>0</v>
      </c>
      <c r="D125" s="161">
        <f>D126</f>
        <v>0</v>
      </c>
      <c r="E125" s="162">
        <f>SUM(C125:D125)</f>
        <v>0</v>
      </c>
      <c r="F125" s="161">
        <f>F126</f>
        <v>6108454</v>
      </c>
      <c r="G125" s="162">
        <f>SUM(E125:F125)</f>
        <v>6108454</v>
      </c>
      <c r="H125" s="161">
        <f>H126</f>
        <v>0</v>
      </c>
      <c r="I125" s="162">
        <f>SUM(G125:H125)</f>
        <v>6108454</v>
      </c>
      <c r="J125" s="161">
        <f>J126</f>
        <v>0</v>
      </c>
      <c r="K125" s="162">
        <f>SUM(I125:J125)</f>
        <v>6108454</v>
      </c>
      <c r="L125" s="161">
        <f>L126</f>
        <v>0</v>
      </c>
      <c r="M125" s="162">
        <f>SUM(K125:L125)</f>
        <v>6108454</v>
      </c>
      <c r="N125" s="161">
        <f>N126</f>
        <v>0</v>
      </c>
      <c r="O125" s="158">
        <f>O126</f>
        <v>6108454</v>
      </c>
      <c r="P125" s="158">
        <f t="shared" ref="P125" si="19">P126</f>
        <v>-131869.19000000041</v>
      </c>
      <c r="Q125" s="158">
        <f t="shared" si="17"/>
        <v>5976584.8099999996</v>
      </c>
      <c r="R125" s="163">
        <f t="shared" ref="R125" si="20">R126</f>
        <v>0</v>
      </c>
      <c r="S125" s="158">
        <f t="shared" si="9"/>
        <v>5976584.8099999996</v>
      </c>
      <c r="T125" s="172"/>
      <c r="U125" s="26"/>
      <c r="V125" s="26"/>
      <c r="W125" s="26"/>
    </row>
    <row r="126" spans="1:23" ht="25.5">
      <c r="A126" s="81" t="s">
        <v>101</v>
      </c>
      <c r="B126" s="69" t="s">
        <v>102</v>
      </c>
      <c r="C126" s="70"/>
      <c r="D126" s="70"/>
      <c r="E126" s="64">
        <f>SUM(C126:D126)</f>
        <v>0</v>
      </c>
      <c r="F126" s="70">
        <f>6108454</f>
        <v>6108454</v>
      </c>
      <c r="G126" s="64">
        <f>SUM(E126:F126)</f>
        <v>6108454</v>
      </c>
      <c r="H126" s="70"/>
      <c r="I126" s="64">
        <v>6108454</v>
      </c>
      <c r="J126" s="70"/>
      <c r="K126" s="64">
        <v>6108454</v>
      </c>
      <c r="L126" s="70"/>
      <c r="M126" s="64">
        <v>6108454</v>
      </c>
      <c r="N126" s="70">
        <v>0</v>
      </c>
      <c r="O126" s="115">
        <f t="shared" si="18"/>
        <v>6108454</v>
      </c>
      <c r="P126" s="120">
        <f>5976584.81-O126</f>
        <v>-131869.19000000041</v>
      </c>
      <c r="Q126" s="115">
        <f t="shared" si="17"/>
        <v>5976584.8099999996</v>
      </c>
      <c r="R126" s="152">
        <f>5976584.81-Q126</f>
        <v>0</v>
      </c>
      <c r="S126" s="115">
        <f t="shared" si="9"/>
        <v>5976584.8099999996</v>
      </c>
      <c r="T126" s="172"/>
      <c r="U126" s="26"/>
      <c r="V126" s="26"/>
      <c r="W126" s="26"/>
    </row>
    <row r="127" spans="1:23" s="68" customFormat="1" ht="38.25">
      <c r="A127" s="80" t="s">
        <v>103</v>
      </c>
      <c r="B127" s="71" t="s">
        <v>104</v>
      </c>
      <c r="C127" s="66">
        <f t="shared" ref="C127:N127" si="21">SUM(C128:C130)</f>
        <v>0</v>
      </c>
      <c r="D127" s="66">
        <f t="shared" si="21"/>
        <v>2811200.03</v>
      </c>
      <c r="E127" s="67">
        <f t="shared" si="21"/>
        <v>2811200.03</v>
      </c>
      <c r="F127" s="66">
        <f t="shared" si="21"/>
        <v>-1058911.94</v>
      </c>
      <c r="G127" s="67">
        <f t="shared" si="21"/>
        <v>1752288.0899999999</v>
      </c>
      <c r="H127" s="66">
        <f t="shared" si="21"/>
        <v>0</v>
      </c>
      <c r="I127" s="67">
        <f t="shared" si="21"/>
        <v>1752288.0899999999</v>
      </c>
      <c r="J127" s="66">
        <f t="shared" si="21"/>
        <v>0</v>
      </c>
      <c r="K127" s="67">
        <f t="shared" si="21"/>
        <v>1752288.0899999999</v>
      </c>
      <c r="L127" s="66">
        <f t="shared" si="21"/>
        <v>0</v>
      </c>
      <c r="M127" s="67">
        <f t="shared" si="21"/>
        <v>1752288.0899999999</v>
      </c>
      <c r="N127" s="66">
        <f t="shared" si="21"/>
        <v>0</v>
      </c>
      <c r="O127" s="119">
        <f>SUM(O128:O130)</f>
        <v>1752288.0899999999</v>
      </c>
      <c r="P127" s="121">
        <f t="shared" ref="P127" si="22">SUM(P128:P130)</f>
        <v>0</v>
      </c>
      <c r="Q127" s="158">
        <f t="shared" si="17"/>
        <v>1752288.0899999999</v>
      </c>
      <c r="R127" s="159">
        <f t="shared" ref="R127" si="23">SUM(R128:R130)</f>
        <v>0</v>
      </c>
      <c r="S127" s="158">
        <f t="shared" si="9"/>
        <v>1752288.0899999999</v>
      </c>
      <c r="T127" s="177"/>
      <c r="U127" s="4"/>
      <c r="V127" s="4"/>
      <c r="W127" s="4"/>
    </row>
    <row r="128" spans="1:23" s="68" customFormat="1" ht="63.75">
      <c r="A128" s="88" t="s">
        <v>130</v>
      </c>
      <c r="B128" s="86" t="s">
        <v>131</v>
      </c>
      <c r="C128" s="66"/>
      <c r="D128" s="66"/>
      <c r="E128" s="67"/>
      <c r="F128" s="70">
        <v>1136104.44</v>
      </c>
      <c r="G128" s="64">
        <f>SUM(E128:F128)</f>
        <v>1136104.44</v>
      </c>
      <c r="H128" s="70"/>
      <c r="I128" s="64">
        <v>1136104.44</v>
      </c>
      <c r="J128" s="70"/>
      <c r="K128" s="64">
        <v>1136104.44</v>
      </c>
      <c r="L128" s="70"/>
      <c r="M128" s="64">
        <v>1136104.44</v>
      </c>
      <c r="N128" s="70"/>
      <c r="O128" s="118">
        <f>SUM(M128:N128)</f>
        <v>1136104.44</v>
      </c>
      <c r="P128" s="120"/>
      <c r="Q128" s="118">
        <f t="shared" si="17"/>
        <v>1136104.44</v>
      </c>
      <c r="R128" s="152"/>
      <c r="S128" s="118">
        <f t="shared" si="9"/>
        <v>1136104.44</v>
      </c>
      <c r="T128" s="169"/>
      <c r="U128" s="4"/>
      <c r="V128" s="4"/>
      <c r="W128" s="4"/>
    </row>
    <row r="129" spans="1:23" s="68" customFormat="1" ht="51">
      <c r="A129" s="57" t="s">
        <v>134</v>
      </c>
      <c r="B129" s="86" t="s">
        <v>133</v>
      </c>
      <c r="C129" s="66"/>
      <c r="D129" s="66"/>
      <c r="E129" s="67"/>
      <c r="F129" s="70">
        <v>1377.13</v>
      </c>
      <c r="G129" s="64">
        <f>SUM(E129:F129)</f>
        <v>1377.13</v>
      </c>
      <c r="H129" s="70"/>
      <c r="I129" s="64">
        <v>1377.13</v>
      </c>
      <c r="J129" s="70"/>
      <c r="K129" s="64">
        <v>1377.13</v>
      </c>
      <c r="L129" s="70"/>
      <c r="M129" s="64">
        <v>1377.13</v>
      </c>
      <c r="N129" s="70"/>
      <c r="O129" s="118">
        <f t="shared" ref="O129:O130" si="24">SUM(M129:N129)</f>
        <v>1377.13</v>
      </c>
      <c r="P129" s="120"/>
      <c r="Q129" s="118">
        <f t="shared" si="17"/>
        <v>1377.13</v>
      </c>
      <c r="R129" s="152"/>
      <c r="S129" s="118">
        <f t="shared" si="9"/>
        <v>1377.13</v>
      </c>
      <c r="T129" s="169"/>
      <c r="U129" s="4"/>
      <c r="V129" s="4"/>
      <c r="W129" s="4"/>
    </row>
    <row r="130" spans="1:23" ht="38.25">
      <c r="A130" s="81" t="s">
        <v>105</v>
      </c>
      <c r="B130" s="59" t="s">
        <v>106</v>
      </c>
      <c r="C130" s="70"/>
      <c r="D130" s="70">
        <v>2811200.03</v>
      </c>
      <c r="E130" s="64">
        <f>D130</f>
        <v>2811200.03</v>
      </c>
      <c r="F130" s="70">
        <f>-1058911.94-1136104.44-1377.13</f>
        <v>-2196393.5099999998</v>
      </c>
      <c r="G130" s="64">
        <f>2811200.03+F130</f>
        <v>614806.52</v>
      </c>
      <c r="H130" s="70"/>
      <c r="I130" s="64">
        <v>614806.52</v>
      </c>
      <c r="J130" s="70"/>
      <c r="K130" s="64">
        <v>614806.52</v>
      </c>
      <c r="L130" s="70"/>
      <c r="M130" s="64">
        <v>614806.52</v>
      </c>
      <c r="N130" s="70"/>
      <c r="O130" s="118">
        <f t="shared" si="24"/>
        <v>614806.52</v>
      </c>
      <c r="P130" s="120"/>
      <c r="Q130" s="118">
        <f t="shared" si="17"/>
        <v>614806.52</v>
      </c>
      <c r="R130" s="152"/>
      <c r="S130" s="118">
        <f t="shared" si="9"/>
        <v>614806.52</v>
      </c>
      <c r="T130" s="169"/>
    </row>
    <row r="131" spans="1:23" s="68" customFormat="1">
      <c r="A131" s="80" t="s">
        <v>107</v>
      </c>
      <c r="B131" s="71" t="s">
        <v>108</v>
      </c>
      <c r="C131" s="162">
        <f t="shared" ref="C131:I131" si="25">SUM(C132:C134)</f>
        <v>0</v>
      </c>
      <c r="D131" s="162">
        <f t="shared" si="25"/>
        <v>-2532287.4900000002</v>
      </c>
      <c r="E131" s="162">
        <f t="shared" si="25"/>
        <v>-2532287.4900000002</v>
      </c>
      <c r="F131" s="162">
        <f t="shared" si="25"/>
        <v>780000</v>
      </c>
      <c r="G131" s="162">
        <f t="shared" si="25"/>
        <v>-1752287.4900000002</v>
      </c>
      <c r="H131" s="162">
        <f t="shared" si="25"/>
        <v>0</v>
      </c>
      <c r="I131" s="162">
        <f t="shared" si="25"/>
        <v>-1752287.4899999998</v>
      </c>
      <c r="J131" s="162">
        <f t="shared" ref="J131:N131" si="26">SUM(J132:J134)</f>
        <v>0</v>
      </c>
      <c r="K131" s="162">
        <f t="shared" si="26"/>
        <v>-1752287.4899999998</v>
      </c>
      <c r="L131" s="162">
        <f t="shared" si="26"/>
        <v>0</v>
      </c>
      <c r="M131" s="162">
        <f t="shared" si="26"/>
        <v>-1752287.4899999998</v>
      </c>
      <c r="N131" s="162">
        <f t="shared" si="26"/>
        <v>0</v>
      </c>
      <c r="O131" s="158">
        <f>SUM(O132:O134)</f>
        <v>-1752287.4899999998</v>
      </c>
      <c r="P131" s="158">
        <f t="shared" ref="P131" si="27">SUM(P132:P134)</f>
        <v>0</v>
      </c>
      <c r="Q131" s="158">
        <f t="shared" si="17"/>
        <v>-1752287.4899999998</v>
      </c>
      <c r="R131" s="163">
        <f t="shared" ref="R131" si="28">SUM(R132:R134)</f>
        <v>-29833.25</v>
      </c>
      <c r="S131" s="158">
        <f t="shared" si="9"/>
        <v>-1782120.7399999998</v>
      </c>
      <c r="T131" s="177"/>
      <c r="U131" s="4"/>
      <c r="V131" s="4"/>
      <c r="W131" s="4"/>
    </row>
    <row r="132" spans="1:23" s="68" customFormat="1" ht="63.75">
      <c r="A132" s="57" t="s">
        <v>137</v>
      </c>
      <c r="B132" s="86" t="s">
        <v>136</v>
      </c>
      <c r="C132" s="66"/>
      <c r="D132" s="66"/>
      <c r="E132" s="67"/>
      <c r="F132" s="70">
        <f>-1136104.44</f>
        <v>-1136104.44</v>
      </c>
      <c r="G132" s="64">
        <f>SUM(E132:F132)</f>
        <v>-1136104.44</v>
      </c>
      <c r="H132" s="70"/>
      <c r="I132" s="64">
        <v>-1136104.44</v>
      </c>
      <c r="J132" s="70"/>
      <c r="K132" s="64">
        <v>-1136104.44</v>
      </c>
      <c r="L132" s="70"/>
      <c r="M132" s="64">
        <v>-1136104.44</v>
      </c>
      <c r="N132" s="70"/>
      <c r="O132" s="118">
        <f>SUM(M132:N132)</f>
        <v>-1136104.44</v>
      </c>
      <c r="P132" s="120"/>
      <c r="Q132" s="118">
        <f t="shared" si="17"/>
        <v>-1136104.44</v>
      </c>
      <c r="R132" s="152">
        <v>-29833.25</v>
      </c>
      <c r="S132" s="118">
        <f t="shared" si="9"/>
        <v>-1165937.69</v>
      </c>
      <c r="T132" s="169"/>
      <c r="U132" s="4"/>
      <c r="V132" s="4"/>
      <c r="W132" s="4"/>
    </row>
    <row r="133" spans="1:23" s="68" customFormat="1" ht="38.25">
      <c r="A133" s="88" t="s">
        <v>135</v>
      </c>
      <c r="B133" s="86" t="s">
        <v>132</v>
      </c>
      <c r="C133" s="66"/>
      <c r="D133" s="66"/>
      <c r="E133" s="67"/>
      <c r="F133" s="70">
        <f>-1377.13</f>
        <v>-1377.13</v>
      </c>
      <c r="G133" s="64">
        <f>SUM(E133:F133)</f>
        <v>-1377.13</v>
      </c>
      <c r="H133" s="70"/>
      <c r="I133" s="64">
        <v>-1377.13</v>
      </c>
      <c r="J133" s="70"/>
      <c r="K133" s="64">
        <v>-1377.13</v>
      </c>
      <c r="L133" s="70"/>
      <c r="M133" s="64">
        <v>-1377.13</v>
      </c>
      <c r="N133" s="70"/>
      <c r="O133" s="118">
        <f t="shared" ref="O133:O134" si="29">SUM(M133:N133)</f>
        <v>-1377.13</v>
      </c>
      <c r="P133" s="120"/>
      <c r="Q133" s="118">
        <f t="shared" si="17"/>
        <v>-1377.13</v>
      </c>
      <c r="R133" s="152"/>
      <c r="S133" s="118">
        <f t="shared" si="9"/>
        <v>-1377.13</v>
      </c>
      <c r="T133" s="169"/>
      <c r="U133" s="4"/>
      <c r="V133" s="4"/>
      <c r="W133" s="4"/>
    </row>
    <row r="134" spans="1:23" ht="38.25">
      <c r="A134" s="81" t="s">
        <v>109</v>
      </c>
      <c r="B134" s="69" t="s">
        <v>110</v>
      </c>
      <c r="C134" s="70"/>
      <c r="D134" s="70">
        <v>-2532287.4900000002</v>
      </c>
      <c r="E134" s="64">
        <f>D134</f>
        <v>-2532287.4900000002</v>
      </c>
      <c r="F134" s="70">
        <f>780000+1136104.44+1377.13</f>
        <v>1917481.5699999998</v>
      </c>
      <c r="G134" s="64">
        <f>-2532287.49+F134</f>
        <v>-614805.92000000039</v>
      </c>
      <c r="H134" s="70"/>
      <c r="I134" s="64">
        <v>-614805.92000000004</v>
      </c>
      <c r="J134" s="70"/>
      <c r="K134" s="64">
        <v>-614805.92000000004</v>
      </c>
      <c r="L134" s="70"/>
      <c r="M134" s="64">
        <v>-614805.92000000004</v>
      </c>
      <c r="N134" s="70"/>
      <c r="O134" s="118">
        <f t="shared" si="29"/>
        <v>-614805.92000000004</v>
      </c>
      <c r="P134" s="120"/>
      <c r="Q134" s="118">
        <f t="shared" si="17"/>
        <v>-614805.92000000004</v>
      </c>
      <c r="R134" s="152"/>
      <c r="S134" s="118">
        <f t="shared" si="9"/>
        <v>-614805.92000000004</v>
      </c>
      <c r="T134" s="169"/>
    </row>
    <row r="135" spans="1:23" s="26" customFormat="1">
      <c r="A135" s="36" t="s">
        <v>68</v>
      </c>
      <c r="B135" s="19"/>
      <c r="C135" s="42">
        <f t="shared" ref="C135:P135" si="30">C62</f>
        <v>802378400</v>
      </c>
      <c r="D135" s="42">
        <f t="shared" si="30"/>
        <v>635371.53999999957</v>
      </c>
      <c r="E135" s="53">
        <f t="shared" si="30"/>
        <v>803013771.53999996</v>
      </c>
      <c r="F135" s="42">
        <f t="shared" si="30"/>
        <v>14518074.780000001</v>
      </c>
      <c r="G135" s="53">
        <f t="shared" si="30"/>
        <v>817531846.32000005</v>
      </c>
      <c r="H135" s="42">
        <f t="shared" si="30"/>
        <v>26329696</v>
      </c>
      <c r="I135" s="53">
        <f t="shared" si="30"/>
        <v>843861542.32000005</v>
      </c>
      <c r="J135" s="42">
        <f t="shared" si="30"/>
        <v>16199337.76</v>
      </c>
      <c r="K135" s="53">
        <f t="shared" si="30"/>
        <v>860060880.08000004</v>
      </c>
      <c r="L135" s="42">
        <f t="shared" si="30"/>
        <v>5756557</v>
      </c>
      <c r="M135" s="53">
        <f t="shared" si="30"/>
        <v>865817437.08000004</v>
      </c>
      <c r="N135" s="42">
        <f t="shared" si="30"/>
        <v>0</v>
      </c>
      <c r="O135" s="111">
        <f t="shared" si="30"/>
        <v>865817437.08000004</v>
      </c>
      <c r="P135" s="122">
        <f t="shared" si="30"/>
        <v>18767671.759999998</v>
      </c>
      <c r="Q135" s="164">
        <f t="shared" si="17"/>
        <v>884585108.84000003</v>
      </c>
      <c r="R135" s="165">
        <f t="shared" ref="R135" si="31">R62</f>
        <v>59227418.729999997</v>
      </c>
      <c r="S135" s="164">
        <f t="shared" si="9"/>
        <v>943812527.57000005</v>
      </c>
      <c r="T135" s="169"/>
      <c r="U135" s="4"/>
      <c r="V135" s="4"/>
      <c r="W135" s="4"/>
    </row>
    <row r="136" spans="1:23" s="26" customFormat="1">
      <c r="A136" s="36" t="s">
        <v>67</v>
      </c>
      <c r="B136" s="5"/>
      <c r="C136" s="49">
        <f t="shared" ref="C136:P136" si="32">C135+C36</f>
        <v>996459628</v>
      </c>
      <c r="D136" s="49">
        <f t="shared" si="32"/>
        <v>635371.53999999957</v>
      </c>
      <c r="E136" s="77">
        <f t="shared" si="32"/>
        <v>997094999.53999996</v>
      </c>
      <c r="F136" s="49">
        <f t="shared" si="32"/>
        <v>14518074.780000001</v>
      </c>
      <c r="G136" s="77">
        <f t="shared" si="32"/>
        <v>1011613074.3200001</v>
      </c>
      <c r="H136" s="49">
        <f t="shared" si="32"/>
        <v>26375579.41</v>
      </c>
      <c r="I136" s="77">
        <f t="shared" si="32"/>
        <v>1037988653.73</v>
      </c>
      <c r="J136" s="49">
        <f t="shared" si="32"/>
        <v>16199337.76</v>
      </c>
      <c r="K136" s="77">
        <f t="shared" si="32"/>
        <v>1054187991.49</v>
      </c>
      <c r="L136" s="49">
        <f t="shared" si="32"/>
        <v>5756557</v>
      </c>
      <c r="M136" s="77">
        <f t="shared" si="32"/>
        <v>1059944548.49</v>
      </c>
      <c r="N136" s="49">
        <f t="shared" si="32"/>
        <v>0</v>
      </c>
      <c r="O136" s="123">
        <f t="shared" si="32"/>
        <v>1059944548.49</v>
      </c>
      <c r="P136" s="124">
        <f t="shared" si="32"/>
        <v>55271671.759999998</v>
      </c>
      <c r="Q136" s="123">
        <f t="shared" si="17"/>
        <v>1115216220.25</v>
      </c>
      <c r="R136" s="153">
        <f>R135+R36</f>
        <v>64910283.559999995</v>
      </c>
      <c r="S136" s="123">
        <f t="shared" si="9"/>
        <v>1180126503.8099999</v>
      </c>
      <c r="T136" s="169"/>
      <c r="U136" s="4"/>
      <c r="V136" s="4"/>
      <c r="W136" s="4"/>
    </row>
  </sheetData>
  <mergeCells count="1">
    <mergeCell ref="A33:S33"/>
  </mergeCells>
  <pageMargins left="0.96" right="0.19685039370078741" top="0.39" bottom="0.41" header="0.21" footer="0"/>
  <pageSetup paperSize="9" scale="9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5"/>
  <sheetViews>
    <sheetView topLeftCell="A99" workbookViewId="0">
      <selection activeCell="R110" sqref="R110"/>
    </sheetView>
  </sheetViews>
  <sheetFormatPr defaultColWidth="8" defaultRowHeight="12.75" outlineLevelRow="1"/>
  <cols>
    <col min="1" max="1" width="36.7109375" style="4" customWidth="1"/>
    <col min="2" max="2" width="13.85546875" style="37" customWidth="1"/>
    <col min="3" max="3" width="15.28515625" style="48" hidden="1" customWidth="1"/>
    <col min="4" max="14" width="15.28515625" style="72" hidden="1" customWidth="1"/>
    <col min="15" max="15" width="14.42578125" style="126" hidden="1" customWidth="1"/>
    <col min="16" max="16" width="12.5703125" style="126" hidden="1" customWidth="1"/>
    <col min="17" max="17" width="14.85546875" style="126" customWidth="1"/>
    <col min="18" max="18" width="14.5703125" style="155" customWidth="1"/>
    <col min="19" max="19" width="14.85546875" style="126" customWidth="1"/>
    <col min="20" max="20" width="16.140625" style="169" customWidth="1"/>
    <col min="21" max="22" width="7.7109375" style="4" customWidth="1"/>
    <col min="23" max="231" width="8" style="4"/>
    <col min="232" max="232" width="69.85546875" style="4" customWidth="1"/>
    <col min="233" max="233" width="21.7109375" style="4" customWidth="1"/>
    <col min="234" max="234" width="0" style="4" hidden="1" customWidth="1"/>
    <col min="235" max="235" width="15.5703125" style="4" customWidth="1"/>
    <col min="236" max="239" width="0" style="4" hidden="1" customWidth="1"/>
    <col min="240" max="240" width="8" style="4"/>
    <col min="241" max="241" width="13.7109375" style="4" customWidth="1"/>
    <col min="242" max="16384" width="8" style="4"/>
  </cols>
  <sheetData>
    <row r="1" spans="2:20" s="3" customFormat="1" ht="15.75" hidden="1" customHeight="1" outlineLevel="1">
      <c r="B1" s="96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9"/>
      <c r="P1" s="100"/>
      <c r="Q1" s="101"/>
      <c r="R1" s="138"/>
      <c r="S1" s="101" t="s">
        <v>87</v>
      </c>
      <c r="T1" s="169"/>
    </row>
    <row r="2" spans="2:20" s="3" customFormat="1" ht="15.75" hidden="1" customHeight="1" outlineLevel="1"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9"/>
      <c r="P2" s="100"/>
      <c r="Q2" s="101"/>
      <c r="R2" s="138"/>
      <c r="S2" s="101" t="s">
        <v>158</v>
      </c>
      <c r="T2" s="169"/>
    </row>
    <row r="3" spans="2:20" s="3" customFormat="1" ht="15.75" hidden="1" customHeight="1" outlineLevel="1">
      <c r="B3" s="94"/>
      <c r="C3" s="94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9"/>
      <c r="P3" s="100"/>
      <c r="Q3" s="102"/>
      <c r="R3" s="138"/>
      <c r="S3" s="102" t="s">
        <v>159</v>
      </c>
      <c r="T3" s="169"/>
    </row>
    <row r="4" spans="2:20" s="3" customFormat="1" ht="15.75" hidden="1" customHeight="1" outlineLevel="1">
      <c r="B4" s="94"/>
      <c r="C4" s="94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9"/>
      <c r="P4" s="100"/>
      <c r="Q4" s="102"/>
      <c r="R4" s="138"/>
      <c r="S4" s="102"/>
      <c r="T4" s="169"/>
    </row>
    <row r="5" spans="2:20" s="3" customFormat="1" ht="15.75" hidden="1" customHeight="1" outlineLevel="1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O5" s="99"/>
      <c r="P5" s="100"/>
      <c r="Q5" s="101"/>
      <c r="R5" s="138"/>
      <c r="S5" s="101" t="s">
        <v>87</v>
      </c>
      <c r="T5" s="169"/>
    </row>
    <row r="6" spans="2:20" s="3" customFormat="1" ht="15.75" hidden="1" customHeight="1" outlineLevel="1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O6" s="99"/>
      <c r="P6" s="100"/>
      <c r="Q6" s="101"/>
      <c r="R6" s="138"/>
      <c r="S6" s="101" t="s">
        <v>0</v>
      </c>
      <c r="T6" s="169"/>
    </row>
    <row r="7" spans="2:20" s="3" customFormat="1" ht="15.75" hidden="1" customHeight="1" outlineLevel="1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7"/>
      <c r="O7" s="99"/>
      <c r="P7" s="100"/>
      <c r="Q7" s="102"/>
      <c r="R7" s="138"/>
      <c r="S7" s="102" t="s">
        <v>145</v>
      </c>
      <c r="T7" s="169"/>
    </row>
    <row r="8" spans="2:20" s="3" customFormat="1" ht="15.75" hidden="1" customHeight="1" outlineLevel="1">
      <c r="B8" s="94"/>
      <c r="C8" s="94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9"/>
      <c r="P8" s="99"/>
      <c r="Q8" s="102"/>
      <c r="R8" s="139"/>
      <c r="S8" s="102"/>
      <c r="T8" s="169"/>
    </row>
    <row r="9" spans="2:20" s="3" customFormat="1" ht="15.75" hidden="1" customHeight="1" outlineLevel="1">
      <c r="B9" s="96"/>
      <c r="C9" s="96"/>
      <c r="D9" s="96"/>
      <c r="E9" s="96"/>
      <c r="F9" s="96"/>
      <c r="G9" s="96"/>
      <c r="H9" s="96"/>
      <c r="I9" s="96"/>
      <c r="J9" s="96"/>
      <c r="K9" s="96"/>
      <c r="L9" s="97"/>
      <c r="M9" s="97"/>
      <c r="N9" s="97"/>
      <c r="O9" s="99"/>
      <c r="P9" s="100"/>
      <c r="Q9" s="101"/>
      <c r="R9" s="138"/>
      <c r="S9" s="101" t="s">
        <v>87</v>
      </c>
      <c r="T9" s="169"/>
    </row>
    <row r="10" spans="2:20" s="3" customFormat="1" ht="15.75" hidden="1" customHeight="1" outlineLevel="1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7"/>
      <c r="M10" s="97"/>
      <c r="N10" s="97"/>
      <c r="O10" s="99"/>
      <c r="P10" s="100"/>
      <c r="Q10" s="101"/>
      <c r="R10" s="138"/>
      <c r="S10" s="101" t="s">
        <v>0</v>
      </c>
      <c r="T10" s="169"/>
    </row>
    <row r="11" spans="2:20" s="3" customFormat="1" ht="15.75" hidden="1" customHeight="1" outlineLevel="1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7"/>
      <c r="M11" s="97"/>
      <c r="N11" s="97"/>
      <c r="O11" s="99"/>
      <c r="P11" s="100"/>
      <c r="Q11" s="102"/>
      <c r="R11" s="138"/>
      <c r="S11" s="102" t="s">
        <v>163</v>
      </c>
      <c r="T11" s="169"/>
    </row>
    <row r="12" spans="2:20" s="3" customFormat="1" ht="15.75" hidden="1" customHeight="1" outlineLevel="1">
      <c r="B12" s="94"/>
      <c r="C12" s="94"/>
      <c r="D12" s="97"/>
      <c r="E12" s="97"/>
      <c r="F12" s="97"/>
      <c r="G12" s="97"/>
      <c r="H12" s="97"/>
      <c r="I12" s="97"/>
      <c r="J12" s="97"/>
      <c r="K12" s="90"/>
      <c r="L12" s="97"/>
      <c r="M12" s="90"/>
      <c r="N12" s="97"/>
      <c r="O12" s="103"/>
      <c r="P12" s="99"/>
      <c r="Q12" s="102"/>
      <c r="R12" s="139"/>
      <c r="S12" s="102"/>
      <c r="T12" s="169"/>
    </row>
    <row r="13" spans="2:20" s="3" customFormat="1" ht="15.75" hidden="1" customHeight="1" outlineLevel="1">
      <c r="B13" s="96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9"/>
      <c r="P13" s="100"/>
      <c r="Q13" s="101"/>
      <c r="R13" s="138"/>
      <c r="S13" s="101" t="s">
        <v>87</v>
      </c>
      <c r="T13" s="169"/>
    </row>
    <row r="14" spans="2:20" s="3" customFormat="1" ht="15.75" hidden="1" customHeight="1" outlineLevel="1">
      <c r="B14" s="96"/>
      <c r="C14" s="96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9"/>
      <c r="P14" s="100"/>
      <c r="Q14" s="101"/>
      <c r="R14" s="138"/>
      <c r="S14" s="101" t="s">
        <v>0</v>
      </c>
      <c r="T14" s="169"/>
    </row>
    <row r="15" spans="2:20" s="3" customFormat="1" ht="15.75" hidden="1" customHeight="1" outlineLevel="1">
      <c r="B15" s="94"/>
      <c r="C15" s="94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9"/>
      <c r="P15" s="100"/>
      <c r="Q15" s="102"/>
      <c r="R15" s="138"/>
      <c r="S15" s="102" t="s">
        <v>162</v>
      </c>
      <c r="T15" s="169"/>
    </row>
    <row r="16" spans="2:20" s="3" customFormat="1" ht="15.75" hidden="1" customHeight="1" outlineLevel="1">
      <c r="B16" s="94"/>
      <c r="C16" s="94"/>
      <c r="D16" s="97"/>
      <c r="E16" s="97"/>
      <c r="F16" s="97"/>
      <c r="G16" s="97"/>
      <c r="H16" s="97"/>
      <c r="I16" s="97"/>
      <c r="J16" s="97"/>
      <c r="K16" s="90"/>
      <c r="L16" s="97"/>
      <c r="M16" s="90"/>
      <c r="N16" s="97"/>
      <c r="O16" s="103"/>
      <c r="P16" s="99"/>
      <c r="Q16" s="102"/>
      <c r="R16" s="139"/>
      <c r="S16" s="102"/>
      <c r="T16" s="169"/>
    </row>
    <row r="17" spans="1:20" s="3" customFormat="1" ht="15.75" hidden="1" customHeight="1" outlineLevel="1">
      <c r="B17" s="98"/>
      <c r="C17" s="98"/>
      <c r="D17" s="98"/>
      <c r="E17" s="98"/>
      <c r="F17" s="98"/>
      <c r="G17" s="98"/>
      <c r="H17" s="95"/>
      <c r="I17" s="95"/>
      <c r="J17" s="95"/>
      <c r="K17" s="95"/>
      <c r="L17" s="95"/>
      <c r="M17" s="95"/>
      <c r="N17" s="95"/>
      <c r="O17" s="104"/>
      <c r="P17" s="100"/>
      <c r="Q17" s="101"/>
      <c r="R17" s="138"/>
      <c r="S17" s="101" t="s">
        <v>87</v>
      </c>
      <c r="T17" s="169"/>
    </row>
    <row r="18" spans="1:20" s="3" customFormat="1" ht="15.75" hidden="1" customHeight="1" outlineLevel="1">
      <c r="B18" s="98"/>
      <c r="C18" s="98"/>
      <c r="D18" s="98"/>
      <c r="E18" s="98"/>
      <c r="F18" s="98"/>
      <c r="G18" s="98"/>
      <c r="H18" s="95"/>
      <c r="I18" s="95"/>
      <c r="J18" s="95"/>
      <c r="K18" s="95"/>
      <c r="L18" s="95"/>
      <c r="M18" s="95"/>
      <c r="N18" s="95"/>
      <c r="O18" s="104"/>
      <c r="P18" s="100"/>
      <c r="Q18" s="101"/>
      <c r="R18" s="138"/>
      <c r="S18" s="101" t="s">
        <v>0</v>
      </c>
      <c r="T18" s="169"/>
    </row>
    <row r="19" spans="1:20" s="3" customFormat="1" ht="15.75" hidden="1" customHeight="1" outlineLevel="1">
      <c r="B19" s="51"/>
      <c r="C19" s="51"/>
      <c r="D19" s="51"/>
      <c r="E19" s="51"/>
      <c r="F19" s="51"/>
      <c r="G19" s="51"/>
      <c r="H19" s="95"/>
      <c r="I19" s="95"/>
      <c r="J19" s="95"/>
      <c r="K19" s="95"/>
      <c r="L19" s="95"/>
      <c r="M19" s="95"/>
      <c r="N19" s="95"/>
      <c r="O19" s="104"/>
      <c r="P19" s="100"/>
      <c r="Q19" s="102"/>
      <c r="R19" s="138"/>
      <c r="S19" s="102" t="s">
        <v>161</v>
      </c>
      <c r="T19" s="169"/>
    </row>
    <row r="20" spans="1:20" s="3" customFormat="1" ht="15.75" hidden="1" customHeight="1" outlineLevel="1">
      <c r="B20" s="94"/>
      <c r="C20" s="94"/>
      <c r="D20" s="97"/>
      <c r="E20" s="97"/>
      <c r="F20" s="97"/>
      <c r="G20" s="97"/>
      <c r="H20" s="97"/>
      <c r="I20" s="97"/>
      <c r="J20" s="97"/>
      <c r="K20" s="90"/>
      <c r="L20" s="97"/>
      <c r="M20" s="90"/>
      <c r="N20" s="97"/>
      <c r="O20" s="103"/>
      <c r="P20" s="99"/>
      <c r="Q20" s="102"/>
      <c r="R20" s="139"/>
      <c r="S20" s="102"/>
      <c r="T20" s="169"/>
    </row>
    <row r="21" spans="1:20" s="3" customFormat="1" ht="15.75" hidden="1" customHeight="1" outlineLevel="1">
      <c r="B21" s="98"/>
      <c r="C21" s="98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4"/>
      <c r="P21" s="100"/>
      <c r="Q21" s="101"/>
      <c r="R21" s="138"/>
      <c r="S21" s="101" t="s">
        <v>87</v>
      </c>
      <c r="T21" s="169"/>
    </row>
    <row r="22" spans="1:20" s="3" customFormat="1" ht="15.75" hidden="1" customHeight="1" outlineLevel="1">
      <c r="B22" s="98"/>
      <c r="C22" s="98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104"/>
      <c r="P22" s="100"/>
      <c r="Q22" s="101"/>
      <c r="R22" s="138"/>
      <c r="S22" s="101" t="s">
        <v>0</v>
      </c>
      <c r="T22" s="169"/>
    </row>
    <row r="23" spans="1:20" s="3" customFormat="1" ht="15.75" hidden="1" customHeight="1" outlineLevel="1">
      <c r="B23" s="51"/>
      <c r="C23" s="51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104"/>
      <c r="P23" s="100"/>
      <c r="Q23" s="102"/>
      <c r="R23" s="138"/>
      <c r="S23" s="102" t="s">
        <v>160</v>
      </c>
      <c r="T23" s="169"/>
    </row>
    <row r="24" spans="1:20" s="3" customFormat="1" ht="15.75" hidden="1" customHeight="1" outlineLevel="1">
      <c r="B24" s="94"/>
      <c r="C24" s="94"/>
      <c r="D24" s="97"/>
      <c r="E24" s="97"/>
      <c r="F24" s="97"/>
      <c r="G24" s="97"/>
      <c r="H24" s="97"/>
      <c r="I24" s="97"/>
      <c r="J24" s="97"/>
      <c r="K24" s="90"/>
      <c r="L24" s="97"/>
      <c r="M24" s="90"/>
      <c r="N24" s="97"/>
      <c r="O24" s="103"/>
      <c r="P24" s="99"/>
      <c r="Q24" s="102"/>
      <c r="R24" s="139"/>
      <c r="S24" s="102"/>
      <c r="T24" s="169"/>
    </row>
    <row r="25" spans="1:20" s="84" customFormat="1" ht="15.75" hidden="1" customHeight="1" outlineLevel="1">
      <c r="B25" s="98"/>
      <c r="C25" s="98"/>
      <c r="D25" s="98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4"/>
      <c r="P25" s="105"/>
      <c r="Q25" s="101"/>
      <c r="R25" s="140"/>
      <c r="S25" s="101" t="s">
        <v>120</v>
      </c>
      <c r="T25" s="170"/>
    </row>
    <row r="26" spans="1:20" s="84" customFormat="1" ht="15.75" hidden="1" customHeight="1" outlineLevel="1">
      <c r="B26" s="98"/>
      <c r="C26" s="98"/>
      <c r="D26" s="98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104"/>
      <c r="P26" s="105"/>
      <c r="Q26" s="101"/>
      <c r="R26" s="140"/>
      <c r="S26" s="101" t="s">
        <v>0</v>
      </c>
      <c r="T26" s="170"/>
    </row>
    <row r="27" spans="1:20" s="84" customFormat="1" ht="15.75" hidden="1" customHeight="1" outlineLevel="1">
      <c r="B27" s="51"/>
      <c r="C27" s="51"/>
      <c r="D27" s="51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04"/>
      <c r="P27" s="105"/>
      <c r="Q27" s="102"/>
      <c r="R27" s="140"/>
      <c r="S27" s="102" t="s">
        <v>119</v>
      </c>
      <c r="T27" s="170"/>
    </row>
    <row r="28" spans="1:20" ht="30.75" customHeight="1" collapsed="1">
      <c r="A28" s="191" t="s">
        <v>94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</row>
    <row r="29" spans="1:20" s="50" customFormat="1" ht="24.75" customHeight="1">
      <c r="A29" s="1" t="s">
        <v>1</v>
      </c>
      <c r="B29" s="1" t="s">
        <v>2</v>
      </c>
      <c r="C29" s="40" t="s">
        <v>118</v>
      </c>
      <c r="D29" s="75" t="s">
        <v>95</v>
      </c>
      <c r="E29" s="75" t="s">
        <v>118</v>
      </c>
      <c r="F29" s="75" t="s">
        <v>95</v>
      </c>
      <c r="G29" s="75" t="s">
        <v>118</v>
      </c>
      <c r="H29" s="75" t="s">
        <v>95</v>
      </c>
      <c r="I29" s="75" t="s">
        <v>118</v>
      </c>
      <c r="J29" s="75" t="s">
        <v>95</v>
      </c>
      <c r="K29" s="75" t="s">
        <v>118</v>
      </c>
      <c r="L29" s="75" t="s">
        <v>95</v>
      </c>
      <c r="M29" s="75" t="s">
        <v>118</v>
      </c>
      <c r="N29" s="75" t="s">
        <v>95</v>
      </c>
      <c r="O29" s="107" t="s">
        <v>118</v>
      </c>
      <c r="P29" s="107" t="s">
        <v>95</v>
      </c>
      <c r="Q29" s="107" t="s">
        <v>118</v>
      </c>
      <c r="R29" s="142" t="s">
        <v>95</v>
      </c>
      <c r="S29" s="107" t="s">
        <v>118</v>
      </c>
      <c r="T29" s="171"/>
    </row>
    <row r="30" spans="1:20" s="83" customFormat="1" ht="15.75" customHeight="1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76"/>
      <c r="L30" s="82"/>
      <c r="M30" s="76"/>
      <c r="N30" s="82"/>
      <c r="O30" s="108"/>
      <c r="P30" s="109"/>
      <c r="Q30" s="108" t="s">
        <v>181</v>
      </c>
      <c r="R30" s="143"/>
      <c r="S30" s="108"/>
      <c r="T30" s="167"/>
    </row>
    <row r="31" spans="1:20" s="6" customFormat="1" ht="15.75" customHeight="1">
      <c r="A31" s="7" t="s">
        <v>3</v>
      </c>
      <c r="B31" s="8" t="s">
        <v>4</v>
      </c>
      <c r="C31" s="41">
        <f>C32+C34+C36+C41+C42+C48+C50+C53+C56</f>
        <v>194081228</v>
      </c>
      <c r="D31" s="52"/>
      <c r="E31" s="52">
        <f>E32+E34+E36+E41+E42+E48+E50+E53+E56</f>
        <v>194081228</v>
      </c>
      <c r="F31" s="52"/>
      <c r="G31" s="52">
        <f>G32+G34+G36+G41+G42+G48+G50+G53+G56</f>
        <v>194081228</v>
      </c>
      <c r="H31" s="52">
        <f>H32+H34+H37+H41+H42+H48+H50+H53+H56</f>
        <v>45883.41</v>
      </c>
      <c r="I31" s="52">
        <f>I32+I34+I36+I41+I42+I48+I50+I53+I56</f>
        <v>194127111.41</v>
      </c>
      <c r="J31" s="52">
        <f>J32+J34+J37+J41+J42+J48+J50+J53+J56</f>
        <v>0</v>
      </c>
      <c r="K31" s="52">
        <f>K32+K34+K36+K41+K42+K48+K50+K53+K56</f>
        <v>194127111.41</v>
      </c>
      <c r="L31" s="52">
        <f>L32+L34+L37+L41+L42+L48+L50+L53+L56</f>
        <v>0</v>
      </c>
      <c r="M31" s="52">
        <f>M32+M34+M36+M41+M42+M48+M50+M53+M56</f>
        <v>194127111.41</v>
      </c>
      <c r="N31" s="52">
        <f>N32+N34+N37+N41+N42+N48+N50+N53+N56</f>
        <v>0</v>
      </c>
      <c r="O31" s="110">
        <f>O32+O34+O36+O41+O42+O48+O50+O53+O56</f>
        <v>194127111.41</v>
      </c>
      <c r="P31" s="110">
        <f>P32+P34+P36+P41+P42+P48+P50+P53+P56</f>
        <v>36504000</v>
      </c>
      <c r="Q31" s="110">
        <f>Q32+Q34+Q36+Q41+Q42+Q48+Q50+Q53+Q56</f>
        <v>230631111.41</v>
      </c>
      <c r="R31" s="144">
        <f>R32+R34+R36+R40+R41+R42+R48+R50+R53+R56</f>
        <v>5682864.8300000001</v>
      </c>
      <c r="S31" s="144">
        <f>S32+S34+S36+S40+S41+S42+S48+S50+S53+S56</f>
        <v>236313976.23999998</v>
      </c>
      <c r="T31" s="172"/>
    </row>
    <row r="32" spans="1:20" ht="15.75" hidden="1" customHeight="1" outlineLevel="1">
      <c r="A32" s="9" t="s">
        <v>5</v>
      </c>
      <c r="B32" s="10" t="s">
        <v>6</v>
      </c>
      <c r="C32" s="42">
        <f>C33</f>
        <v>128125860</v>
      </c>
      <c r="D32" s="53"/>
      <c r="E32" s="53">
        <f>E33</f>
        <v>128125860</v>
      </c>
      <c r="F32" s="53"/>
      <c r="G32" s="53">
        <f>G33</f>
        <v>128125860</v>
      </c>
      <c r="H32" s="53"/>
      <c r="I32" s="53">
        <f>I33</f>
        <v>128125860</v>
      </c>
      <c r="J32" s="53"/>
      <c r="K32" s="53">
        <f>K33</f>
        <v>128125860</v>
      </c>
      <c r="L32" s="53"/>
      <c r="M32" s="53">
        <f>M33</f>
        <v>128125860</v>
      </c>
      <c r="N32" s="53"/>
      <c r="O32" s="111">
        <f>O33</f>
        <v>128125860</v>
      </c>
      <c r="P32" s="111">
        <f>P33</f>
        <v>36412447.390000001</v>
      </c>
      <c r="Q32" s="111">
        <f t="shared" ref="Q32:Q101" si="0">P32+O32</f>
        <v>164538307.38999999</v>
      </c>
      <c r="R32" s="145">
        <f>R33</f>
        <v>0</v>
      </c>
      <c r="S32" s="111">
        <f t="shared" ref="S32" si="1">R32+Q32</f>
        <v>164538307.38999999</v>
      </c>
    </row>
    <row r="33" spans="1:22" ht="15" hidden="1" customHeight="1" outlineLevel="1">
      <c r="A33" s="9" t="s">
        <v>7</v>
      </c>
      <c r="B33" s="10" t="s">
        <v>8</v>
      </c>
      <c r="C33" s="43">
        <v>128125860</v>
      </c>
      <c r="D33" s="54"/>
      <c r="E33" s="54">
        <v>128125860</v>
      </c>
      <c r="F33" s="54"/>
      <c r="G33" s="54">
        <v>128125860</v>
      </c>
      <c r="H33" s="54"/>
      <c r="I33" s="54">
        <v>128125860</v>
      </c>
      <c r="J33" s="54"/>
      <c r="K33" s="54">
        <v>128125860</v>
      </c>
      <c r="L33" s="54"/>
      <c r="M33" s="54">
        <v>128125860</v>
      </c>
      <c r="N33" s="54"/>
      <c r="O33" s="112">
        <v>128125860</v>
      </c>
      <c r="P33" s="130">
        <v>36412447.390000001</v>
      </c>
      <c r="Q33" s="112">
        <f>P33+O33</f>
        <v>164538307.38999999</v>
      </c>
      <c r="R33" s="146"/>
      <c r="S33" s="112">
        <f>R33+Q33</f>
        <v>164538307.38999999</v>
      </c>
    </row>
    <row r="34" spans="1:22" ht="27.75" hidden="1" customHeight="1" outlineLevel="1">
      <c r="A34" s="35" t="s">
        <v>9</v>
      </c>
      <c r="B34" s="10" t="s">
        <v>10</v>
      </c>
      <c r="C34" s="42">
        <f>C35</f>
        <v>19440510</v>
      </c>
      <c r="D34" s="53"/>
      <c r="E34" s="53">
        <f>E35</f>
        <v>19440510</v>
      </c>
      <c r="F34" s="53"/>
      <c r="G34" s="53">
        <f>G35</f>
        <v>19440510</v>
      </c>
      <c r="H34" s="53"/>
      <c r="I34" s="53">
        <f>I35</f>
        <v>19440510</v>
      </c>
      <c r="J34" s="53"/>
      <c r="K34" s="53">
        <f>K35</f>
        <v>19440510</v>
      </c>
      <c r="L34" s="53"/>
      <c r="M34" s="53">
        <f>M35</f>
        <v>19440510</v>
      </c>
      <c r="N34" s="53"/>
      <c r="O34" s="111">
        <f>O35</f>
        <v>19440510</v>
      </c>
      <c r="P34" s="111"/>
      <c r="Q34" s="111">
        <f t="shared" si="0"/>
        <v>19440510</v>
      </c>
      <c r="R34" s="145">
        <f>R35</f>
        <v>0</v>
      </c>
      <c r="S34" s="111">
        <f t="shared" ref="S34:S61" si="2">R34+Q34</f>
        <v>19440510</v>
      </c>
    </row>
    <row r="35" spans="1:22" ht="26.25" hidden="1" customHeight="1" outlineLevel="1">
      <c r="A35" s="132" t="s">
        <v>11</v>
      </c>
      <c r="B35" s="10" t="s">
        <v>12</v>
      </c>
      <c r="C35" s="43">
        <v>19440510</v>
      </c>
      <c r="D35" s="54"/>
      <c r="E35" s="54">
        <v>19440510</v>
      </c>
      <c r="F35" s="54"/>
      <c r="G35" s="54">
        <v>19440510</v>
      </c>
      <c r="H35" s="54"/>
      <c r="I35" s="54">
        <v>19440510</v>
      </c>
      <c r="J35" s="54"/>
      <c r="K35" s="54">
        <v>19440510</v>
      </c>
      <c r="L35" s="54"/>
      <c r="M35" s="54">
        <v>19440510</v>
      </c>
      <c r="N35" s="54"/>
      <c r="O35" s="112">
        <v>19440510</v>
      </c>
      <c r="P35" s="112"/>
      <c r="Q35" s="112">
        <f t="shared" si="0"/>
        <v>19440510</v>
      </c>
      <c r="R35" s="146"/>
      <c r="S35" s="112">
        <f t="shared" si="2"/>
        <v>19440510</v>
      </c>
    </row>
    <row r="36" spans="1:22" ht="15.75" hidden="1" customHeight="1" outlineLevel="1">
      <c r="A36" s="9" t="s">
        <v>13</v>
      </c>
      <c r="B36" s="10" t="s">
        <v>14</v>
      </c>
      <c r="C36" s="42">
        <f>SUM(C37:C39)</f>
        <v>23025111</v>
      </c>
      <c r="D36" s="53"/>
      <c r="E36" s="53">
        <f>SUM(E37:E39)</f>
        <v>23025111</v>
      </c>
      <c r="F36" s="53"/>
      <c r="G36" s="53">
        <f>SUM(G37:G39)</f>
        <v>23025111</v>
      </c>
      <c r="H36" s="53"/>
      <c r="I36" s="53">
        <f>SUM(I37:I39)</f>
        <v>23025111</v>
      </c>
      <c r="J36" s="53"/>
      <c r="K36" s="53">
        <f>SUM(K37:K39)</f>
        <v>23025111</v>
      </c>
      <c r="L36" s="53"/>
      <c r="M36" s="53">
        <f>SUM(M37:M39)</f>
        <v>23025111</v>
      </c>
      <c r="N36" s="53"/>
      <c r="O36" s="111">
        <f>SUM(O37:O39)</f>
        <v>23025111</v>
      </c>
      <c r="P36" s="111"/>
      <c r="Q36" s="111">
        <f t="shared" si="0"/>
        <v>23025111</v>
      </c>
      <c r="R36" s="145">
        <f>SUM(R37:R39)</f>
        <v>-73611</v>
      </c>
      <c r="S36" s="111">
        <f t="shared" si="2"/>
        <v>22951500</v>
      </c>
    </row>
    <row r="37" spans="1:22" ht="25.5" hidden="1" customHeight="1" outlineLevel="1">
      <c r="A37" s="12" t="s">
        <v>15</v>
      </c>
      <c r="B37" s="13" t="s">
        <v>16</v>
      </c>
      <c r="C37" s="43">
        <v>22911000</v>
      </c>
      <c r="D37" s="54"/>
      <c r="E37" s="54">
        <v>22911000</v>
      </c>
      <c r="F37" s="54"/>
      <c r="G37" s="54">
        <v>22911000</v>
      </c>
      <c r="H37" s="54"/>
      <c r="I37" s="54">
        <v>22911000</v>
      </c>
      <c r="J37" s="54"/>
      <c r="K37" s="54">
        <v>22911000</v>
      </c>
      <c r="L37" s="54"/>
      <c r="M37" s="54">
        <v>22911000</v>
      </c>
      <c r="N37" s="54"/>
      <c r="O37" s="112">
        <v>22911000</v>
      </c>
      <c r="P37" s="112"/>
      <c r="Q37" s="112">
        <f t="shared" si="0"/>
        <v>22911000</v>
      </c>
      <c r="R37" s="146"/>
      <c r="S37" s="112">
        <f t="shared" si="2"/>
        <v>22911000</v>
      </c>
    </row>
    <row r="38" spans="1:22" ht="15.75" hidden="1" customHeight="1" outlineLevel="1">
      <c r="A38" s="12" t="s">
        <v>17</v>
      </c>
      <c r="B38" s="13" t="s">
        <v>18</v>
      </c>
      <c r="C38" s="43">
        <v>85111</v>
      </c>
      <c r="D38" s="54"/>
      <c r="E38" s="54">
        <v>85111</v>
      </c>
      <c r="F38" s="54"/>
      <c r="G38" s="54">
        <v>85111</v>
      </c>
      <c r="H38" s="54"/>
      <c r="I38" s="54">
        <v>85111</v>
      </c>
      <c r="J38" s="54"/>
      <c r="K38" s="54">
        <v>85111</v>
      </c>
      <c r="L38" s="54"/>
      <c r="M38" s="54">
        <v>85111</v>
      </c>
      <c r="N38" s="54"/>
      <c r="O38" s="112">
        <v>85111</v>
      </c>
      <c r="P38" s="112"/>
      <c r="Q38" s="112">
        <f t="shared" si="0"/>
        <v>85111</v>
      </c>
      <c r="R38" s="146">
        <f>3300-Q38</f>
        <v>-81811</v>
      </c>
      <c r="S38" s="112">
        <f t="shared" si="2"/>
        <v>3300</v>
      </c>
    </row>
    <row r="39" spans="1:22" ht="25.5" hidden="1" customHeight="1" outlineLevel="1">
      <c r="A39" s="12" t="s">
        <v>19</v>
      </c>
      <c r="B39" s="13" t="s">
        <v>20</v>
      </c>
      <c r="C39" s="43">
        <v>29000</v>
      </c>
      <c r="D39" s="54"/>
      <c r="E39" s="54">
        <v>29000</v>
      </c>
      <c r="F39" s="54"/>
      <c r="G39" s="54">
        <v>29000</v>
      </c>
      <c r="H39" s="54"/>
      <c r="I39" s="54">
        <v>29000</v>
      </c>
      <c r="J39" s="54"/>
      <c r="K39" s="54">
        <v>29000</v>
      </c>
      <c r="L39" s="54"/>
      <c r="M39" s="54">
        <v>29000</v>
      </c>
      <c r="N39" s="54"/>
      <c r="O39" s="112">
        <v>29000</v>
      </c>
      <c r="P39" s="112"/>
      <c r="Q39" s="112">
        <f t="shared" si="0"/>
        <v>29000</v>
      </c>
      <c r="R39" s="146">
        <f>37200-Q39</f>
        <v>8200</v>
      </c>
      <c r="S39" s="112">
        <f t="shared" si="2"/>
        <v>37200</v>
      </c>
    </row>
    <row r="40" spans="1:22" ht="28.5" hidden="1" customHeight="1" outlineLevel="1">
      <c r="A40" s="166" t="s">
        <v>175</v>
      </c>
      <c r="B40" s="178" t="s">
        <v>176</v>
      </c>
      <c r="C40" s="4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112"/>
      <c r="P40" s="112"/>
      <c r="Q40" s="112"/>
      <c r="R40" s="146">
        <v>3860</v>
      </c>
      <c r="S40" s="112">
        <f t="shared" si="2"/>
        <v>3860</v>
      </c>
    </row>
    <row r="41" spans="1:22" ht="15.75" hidden="1" customHeight="1" outlineLevel="1">
      <c r="A41" s="9" t="s">
        <v>21</v>
      </c>
      <c r="B41" s="10" t="s">
        <v>22</v>
      </c>
      <c r="C41" s="42">
        <v>2700230</v>
      </c>
      <c r="D41" s="53"/>
      <c r="E41" s="53">
        <v>2700230</v>
      </c>
      <c r="F41" s="53"/>
      <c r="G41" s="53">
        <v>2700230</v>
      </c>
      <c r="H41" s="53"/>
      <c r="I41" s="53">
        <v>2700230</v>
      </c>
      <c r="J41" s="53"/>
      <c r="K41" s="53">
        <v>2700230</v>
      </c>
      <c r="L41" s="53"/>
      <c r="M41" s="53">
        <v>2700230</v>
      </c>
      <c r="N41" s="53"/>
      <c r="O41" s="111">
        <v>2700230</v>
      </c>
      <c r="P41" s="111"/>
      <c r="Q41" s="111">
        <f t="shared" si="0"/>
        <v>2700230</v>
      </c>
      <c r="R41" s="145">
        <f>2870000+1180000+10000-Q41</f>
        <v>1359770</v>
      </c>
      <c r="S41" s="111">
        <f t="shared" si="2"/>
        <v>4060000</v>
      </c>
    </row>
    <row r="42" spans="1:22" ht="38.25" hidden="1" customHeight="1" outlineLevel="1">
      <c r="A42" s="9" t="s">
        <v>23</v>
      </c>
      <c r="B42" s="10" t="s">
        <v>24</v>
      </c>
      <c r="C42" s="42">
        <f>SUM(C43:C47)</f>
        <v>13481500</v>
      </c>
      <c r="D42" s="53"/>
      <c r="E42" s="53">
        <f>SUM(E43:E47)</f>
        <v>13481500</v>
      </c>
      <c r="F42" s="53"/>
      <c r="G42" s="53">
        <f>SUM(G43:G47)</f>
        <v>13481500</v>
      </c>
      <c r="H42" s="53"/>
      <c r="I42" s="53">
        <f>SUM(I43:I47)</f>
        <v>13481500</v>
      </c>
      <c r="J42" s="53"/>
      <c r="K42" s="53">
        <f>SUM(K43:K47)</f>
        <v>13481500</v>
      </c>
      <c r="L42" s="53"/>
      <c r="M42" s="53">
        <f>SUM(M43:M47)</f>
        <v>13481500</v>
      </c>
      <c r="N42" s="53"/>
      <c r="O42" s="111">
        <f>SUM(O43:O47)</f>
        <v>13481500</v>
      </c>
      <c r="P42" s="111"/>
      <c r="Q42" s="111">
        <f t="shared" si="0"/>
        <v>13481500</v>
      </c>
      <c r="R42" s="145">
        <f>SUM(R43:R47)</f>
        <v>3725281.8499999996</v>
      </c>
      <c r="S42" s="111">
        <f t="shared" si="2"/>
        <v>17206781.850000001</v>
      </c>
    </row>
    <row r="43" spans="1:22" s="3" customFormat="1" ht="38.25" hidden="1" customHeight="1" outlineLevel="1">
      <c r="A43" s="16" t="s">
        <v>25</v>
      </c>
      <c r="B43" s="15" t="s">
        <v>26</v>
      </c>
      <c r="C43" s="44">
        <v>11234000</v>
      </c>
      <c r="D43" s="55"/>
      <c r="E43" s="55">
        <v>11234000</v>
      </c>
      <c r="F43" s="55"/>
      <c r="G43" s="55">
        <v>11234000</v>
      </c>
      <c r="H43" s="55"/>
      <c r="I43" s="55">
        <v>11234000</v>
      </c>
      <c r="J43" s="55"/>
      <c r="K43" s="55">
        <v>11234000</v>
      </c>
      <c r="L43" s="55"/>
      <c r="M43" s="55">
        <v>11234000</v>
      </c>
      <c r="N43" s="55"/>
      <c r="O43" s="113">
        <v>11234000</v>
      </c>
      <c r="P43" s="113"/>
      <c r="Q43" s="113">
        <f t="shared" si="0"/>
        <v>11234000</v>
      </c>
      <c r="R43" s="147">
        <v>2324468.36</v>
      </c>
      <c r="S43" s="113">
        <f t="shared" si="2"/>
        <v>13558468.359999999</v>
      </c>
      <c r="T43" s="169"/>
    </row>
    <row r="44" spans="1:22" s="3" customFormat="1" ht="51.75" hidden="1" customHeight="1" outlineLevel="1">
      <c r="A44" s="16" t="s">
        <v>27</v>
      </c>
      <c r="B44" s="15" t="s">
        <v>28</v>
      </c>
      <c r="C44" s="44">
        <v>217000</v>
      </c>
      <c r="D44" s="55"/>
      <c r="E44" s="55">
        <v>217000</v>
      </c>
      <c r="F44" s="55"/>
      <c r="G44" s="55">
        <v>217000</v>
      </c>
      <c r="H44" s="55"/>
      <c r="I44" s="55">
        <v>217000</v>
      </c>
      <c r="J44" s="55"/>
      <c r="K44" s="55">
        <v>217000</v>
      </c>
      <c r="L44" s="55"/>
      <c r="M44" s="55">
        <v>217000</v>
      </c>
      <c r="N44" s="55"/>
      <c r="O44" s="113">
        <v>217000</v>
      </c>
      <c r="P44" s="113"/>
      <c r="Q44" s="113">
        <f t="shared" si="0"/>
        <v>217000</v>
      </c>
      <c r="R44" s="147">
        <f>272000-Q44</f>
        <v>55000</v>
      </c>
      <c r="S44" s="113">
        <f t="shared" si="2"/>
        <v>272000</v>
      </c>
      <c r="T44" s="169"/>
    </row>
    <row r="45" spans="1:22" s="3" customFormat="1" ht="51.75" hidden="1" customHeight="1" outlineLevel="1">
      <c r="A45" s="16" t="s">
        <v>165</v>
      </c>
      <c r="B45" s="15" t="s">
        <v>166</v>
      </c>
      <c r="C45" s="4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113"/>
      <c r="P45" s="113"/>
      <c r="Q45" s="113"/>
      <c r="R45" s="147">
        <v>582813.49</v>
      </c>
      <c r="S45" s="113">
        <f t="shared" si="2"/>
        <v>582813.49</v>
      </c>
      <c r="T45" s="169"/>
    </row>
    <row r="46" spans="1:22" s="3" customFormat="1" ht="38.25" hidden="1" customHeight="1" outlineLevel="1">
      <c r="A46" s="16" t="s">
        <v>29</v>
      </c>
      <c r="B46" s="15" t="s">
        <v>30</v>
      </c>
      <c r="C46" s="44">
        <v>980000</v>
      </c>
      <c r="D46" s="55"/>
      <c r="E46" s="55">
        <v>980000</v>
      </c>
      <c r="F46" s="55"/>
      <c r="G46" s="55">
        <v>980000</v>
      </c>
      <c r="H46" s="55"/>
      <c r="I46" s="55">
        <v>980000</v>
      </c>
      <c r="J46" s="55"/>
      <c r="K46" s="55">
        <v>980000</v>
      </c>
      <c r="L46" s="55"/>
      <c r="M46" s="55">
        <v>980000</v>
      </c>
      <c r="N46" s="55"/>
      <c r="O46" s="113">
        <v>980000</v>
      </c>
      <c r="P46" s="113"/>
      <c r="Q46" s="113">
        <f t="shared" si="0"/>
        <v>980000</v>
      </c>
      <c r="R46" s="147">
        <f>325000-Q46</f>
        <v>-655000</v>
      </c>
      <c r="S46" s="113">
        <f t="shared" si="2"/>
        <v>325000</v>
      </c>
      <c r="T46" s="169"/>
    </row>
    <row r="47" spans="1:22" s="2" customFormat="1" ht="41.25" hidden="1" customHeight="1" outlineLevel="1">
      <c r="A47" s="14" t="s">
        <v>31</v>
      </c>
      <c r="B47" s="17" t="s">
        <v>32</v>
      </c>
      <c r="C47" s="45">
        <v>1050500</v>
      </c>
      <c r="D47" s="56"/>
      <c r="E47" s="56">
        <v>1050500</v>
      </c>
      <c r="F47" s="56"/>
      <c r="G47" s="56">
        <v>1050500</v>
      </c>
      <c r="H47" s="56"/>
      <c r="I47" s="56">
        <v>1050500</v>
      </c>
      <c r="J47" s="56"/>
      <c r="K47" s="56">
        <v>1050500</v>
      </c>
      <c r="L47" s="56"/>
      <c r="M47" s="56">
        <v>1050500</v>
      </c>
      <c r="N47" s="56"/>
      <c r="O47" s="114">
        <v>1050500</v>
      </c>
      <c r="P47" s="114"/>
      <c r="Q47" s="114">
        <f t="shared" si="0"/>
        <v>1050500</v>
      </c>
      <c r="R47" s="148">
        <f>-12000+1430000</f>
        <v>1418000</v>
      </c>
      <c r="S47" s="114">
        <f t="shared" si="2"/>
        <v>2468500</v>
      </c>
      <c r="T47" s="173"/>
      <c r="U47" s="157"/>
      <c r="V47" s="156"/>
    </row>
    <row r="48" spans="1:22" ht="25.5" hidden="1" customHeight="1" outlineLevel="1">
      <c r="A48" s="9" t="s">
        <v>33</v>
      </c>
      <c r="B48" s="10" t="s">
        <v>34</v>
      </c>
      <c r="C48" s="42">
        <f>C49</f>
        <v>732000</v>
      </c>
      <c r="D48" s="53"/>
      <c r="E48" s="53">
        <f>E49</f>
        <v>732000</v>
      </c>
      <c r="F48" s="53"/>
      <c r="G48" s="53">
        <f>G49</f>
        <v>732000</v>
      </c>
      <c r="H48" s="53"/>
      <c r="I48" s="53">
        <f>I49</f>
        <v>732000</v>
      </c>
      <c r="J48" s="53"/>
      <c r="K48" s="53">
        <f>K49</f>
        <v>732000</v>
      </c>
      <c r="L48" s="53"/>
      <c r="M48" s="53">
        <f>M49</f>
        <v>732000</v>
      </c>
      <c r="N48" s="53"/>
      <c r="O48" s="111">
        <f>O49</f>
        <v>732000</v>
      </c>
      <c r="P48" s="111"/>
      <c r="Q48" s="111">
        <f t="shared" si="0"/>
        <v>732000</v>
      </c>
      <c r="R48" s="145">
        <f>R49</f>
        <v>-202000</v>
      </c>
      <c r="S48" s="111">
        <f t="shared" si="2"/>
        <v>530000</v>
      </c>
    </row>
    <row r="49" spans="1:20" s="3" customFormat="1" ht="25.5" hidden="1" customHeight="1" outlineLevel="1">
      <c r="A49" s="9" t="s">
        <v>35</v>
      </c>
      <c r="B49" s="10" t="s">
        <v>36</v>
      </c>
      <c r="C49" s="44">
        <v>732000</v>
      </c>
      <c r="D49" s="55"/>
      <c r="E49" s="55">
        <v>732000</v>
      </c>
      <c r="F49" s="55"/>
      <c r="G49" s="55">
        <v>732000</v>
      </c>
      <c r="H49" s="55"/>
      <c r="I49" s="55">
        <v>732000</v>
      </c>
      <c r="J49" s="55"/>
      <c r="K49" s="55">
        <v>732000</v>
      </c>
      <c r="L49" s="55"/>
      <c r="M49" s="55">
        <v>732000</v>
      </c>
      <c r="N49" s="55"/>
      <c r="O49" s="113">
        <v>732000</v>
      </c>
      <c r="P49" s="113"/>
      <c r="Q49" s="113">
        <f t="shared" si="0"/>
        <v>732000</v>
      </c>
      <c r="R49" s="147">
        <v>-202000</v>
      </c>
      <c r="S49" s="113">
        <f t="shared" si="2"/>
        <v>530000</v>
      </c>
      <c r="T49" s="169"/>
    </row>
    <row r="50" spans="1:20" ht="25.5" hidden="1" customHeight="1" outlineLevel="1">
      <c r="A50" s="9" t="s">
        <v>37</v>
      </c>
      <c r="B50" s="18" t="s">
        <v>38</v>
      </c>
      <c r="C50" s="42">
        <f>C52</f>
        <v>126573</v>
      </c>
      <c r="D50" s="53"/>
      <c r="E50" s="53">
        <f>E52</f>
        <v>126573</v>
      </c>
      <c r="F50" s="53"/>
      <c r="G50" s="53">
        <f>G52</f>
        <v>126573</v>
      </c>
      <c r="H50" s="53">
        <f t="shared" ref="H50:P50" si="3">SUM(H51:H52)</f>
        <v>45883.41</v>
      </c>
      <c r="I50" s="53">
        <f t="shared" si="3"/>
        <v>172456.41</v>
      </c>
      <c r="J50" s="53">
        <f t="shared" si="3"/>
        <v>0</v>
      </c>
      <c r="K50" s="53">
        <f t="shared" si="3"/>
        <v>172456.41</v>
      </c>
      <c r="L50" s="53">
        <f t="shared" si="3"/>
        <v>0</v>
      </c>
      <c r="M50" s="53">
        <f t="shared" si="3"/>
        <v>172456.41</v>
      </c>
      <c r="N50" s="53">
        <f t="shared" si="3"/>
        <v>0</v>
      </c>
      <c r="O50" s="111">
        <f t="shared" si="3"/>
        <v>172456.41</v>
      </c>
      <c r="P50" s="111">
        <f t="shared" si="3"/>
        <v>91552.61</v>
      </c>
      <c r="Q50" s="111">
        <f t="shared" si="0"/>
        <v>264009.02</v>
      </c>
      <c r="R50" s="145">
        <f t="shared" ref="R50" si="4">SUM(R51:R52)</f>
        <v>34563.979999999981</v>
      </c>
      <c r="S50" s="111">
        <f t="shared" si="2"/>
        <v>298573</v>
      </c>
    </row>
    <row r="51" spans="1:20" ht="38.25" hidden="1" customHeight="1" outlineLevel="1">
      <c r="A51" s="57" t="s">
        <v>140</v>
      </c>
      <c r="B51" s="15" t="s">
        <v>96</v>
      </c>
      <c r="C51" s="42"/>
      <c r="D51" s="53"/>
      <c r="E51" s="53"/>
      <c r="F51" s="53"/>
      <c r="G51" s="53"/>
      <c r="H51" s="54">
        <f>13177.3+15672.45+17033.66</f>
        <v>45883.41</v>
      </c>
      <c r="I51" s="54">
        <f>H51</f>
        <v>45883.41</v>
      </c>
      <c r="J51" s="54"/>
      <c r="K51" s="54">
        <f>I51</f>
        <v>45883.41</v>
      </c>
      <c r="L51" s="54"/>
      <c r="M51" s="54">
        <f>K51</f>
        <v>45883.41</v>
      </c>
      <c r="N51" s="54"/>
      <c r="O51" s="112">
        <f>M51</f>
        <v>45883.41</v>
      </c>
      <c r="P51" s="129">
        <v>91552.61</v>
      </c>
      <c r="Q51" s="112">
        <f t="shared" si="0"/>
        <v>137436.02000000002</v>
      </c>
      <c r="R51" s="146">
        <f>172000-Q51</f>
        <v>34563.979999999981</v>
      </c>
      <c r="S51" s="112">
        <f t="shared" si="2"/>
        <v>172000</v>
      </c>
    </row>
    <row r="52" spans="1:20" ht="15.75" hidden="1" customHeight="1" outlineLevel="1">
      <c r="A52" s="14" t="s">
        <v>39</v>
      </c>
      <c r="B52" s="15" t="s">
        <v>40</v>
      </c>
      <c r="C52" s="43">
        <v>126573</v>
      </c>
      <c r="D52" s="54"/>
      <c r="E52" s="54">
        <v>126573</v>
      </c>
      <c r="F52" s="54"/>
      <c r="G52" s="54">
        <v>126573</v>
      </c>
      <c r="H52" s="54"/>
      <c r="I52" s="54">
        <v>126573</v>
      </c>
      <c r="J52" s="54"/>
      <c r="K52" s="54">
        <v>126573</v>
      </c>
      <c r="L52" s="54"/>
      <c r="M52" s="54">
        <v>126573</v>
      </c>
      <c r="N52" s="54"/>
      <c r="O52" s="112">
        <v>126573</v>
      </c>
      <c r="P52" s="112"/>
      <c r="Q52" s="112">
        <f t="shared" si="0"/>
        <v>126573</v>
      </c>
      <c r="R52" s="146"/>
      <c r="S52" s="112">
        <f t="shared" si="2"/>
        <v>126573</v>
      </c>
    </row>
    <row r="53" spans="1:20" ht="25.5" hidden="1" customHeight="1" outlineLevel="1">
      <c r="A53" s="9" t="s">
        <v>41</v>
      </c>
      <c r="B53" s="18" t="s">
        <v>42</v>
      </c>
      <c r="C53" s="42">
        <f>SUM(C54:C55)</f>
        <v>3519444</v>
      </c>
      <c r="D53" s="53"/>
      <c r="E53" s="53">
        <f>SUM(E54:E55)</f>
        <v>3519444</v>
      </c>
      <c r="F53" s="53"/>
      <c r="G53" s="53">
        <f>SUM(G54:G55)</f>
        <v>3519444</v>
      </c>
      <c r="H53" s="53"/>
      <c r="I53" s="53">
        <f>SUM(I54:I55)</f>
        <v>3519444</v>
      </c>
      <c r="J53" s="53"/>
      <c r="K53" s="53">
        <f>SUM(K54:K55)</f>
        <v>3519444</v>
      </c>
      <c r="L53" s="53"/>
      <c r="M53" s="53">
        <f>SUM(M54:M55)</f>
        <v>3519444</v>
      </c>
      <c r="N53" s="53"/>
      <c r="O53" s="111">
        <f>SUM(O54:O55)</f>
        <v>3519444</v>
      </c>
      <c r="P53" s="111"/>
      <c r="Q53" s="111">
        <f t="shared" si="0"/>
        <v>3519444</v>
      </c>
      <c r="R53" s="145">
        <f>SUM(R54:R55)</f>
        <v>835000</v>
      </c>
      <c r="S53" s="111">
        <f t="shared" si="2"/>
        <v>4354444</v>
      </c>
    </row>
    <row r="54" spans="1:20" ht="76.5" hidden="1" customHeight="1" outlineLevel="1">
      <c r="A54" s="14" t="s">
        <v>43</v>
      </c>
      <c r="B54" s="15" t="s">
        <v>44</v>
      </c>
      <c r="C54" s="43">
        <v>2104000</v>
      </c>
      <c r="D54" s="54"/>
      <c r="E54" s="54">
        <v>2104000</v>
      </c>
      <c r="F54" s="54"/>
      <c r="G54" s="54">
        <v>2104000</v>
      </c>
      <c r="H54" s="54"/>
      <c r="I54" s="54">
        <v>2104000</v>
      </c>
      <c r="J54" s="54"/>
      <c r="K54" s="54">
        <v>2104000</v>
      </c>
      <c r="L54" s="54"/>
      <c r="M54" s="54">
        <v>2104000</v>
      </c>
      <c r="N54" s="54"/>
      <c r="O54" s="112">
        <v>2104000</v>
      </c>
      <c r="P54" s="112"/>
      <c r="Q54" s="112">
        <f t="shared" si="0"/>
        <v>2104000</v>
      </c>
      <c r="R54" s="146">
        <f>2939000-Q54</f>
        <v>835000</v>
      </c>
      <c r="S54" s="112">
        <f t="shared" si="2"/>
        <v>2939000</v>
      </c>
    </row>
    <row r="55" spans="1:20" ht="54" hidden="1" customHeight="1" outlineLevel="1">
      <c r="A55" s="14" t="s">
        <v>45</v>
      </c>
      <c r="B55" s="15" t="s">
        <v>46</v>
      </c>
      <c r="C55" s="43">
        <v>1415444</v>
      </c>
      <c r="D55" s="54"/>
      <c r="E55" s="54">
        <v>1415444</v>
      </c>
      <c r="F55" s="54"/>
      <c r="G55" s="54">
        <v>1415444</v>
      </c>
      <c r="H55" s="54"/>
      <c r="I55" s="54">
        <v>1415444</v>
      </c>
      <c r="J55" s="54"/>
      <c r="K55" s="54">
        <v>1415444</v>
      </c>
      <c r="L55" s="54"/>
      <c r="M55" s="54">
        <v>1415444</v>
      </c>
      <c r="N55" s="54"/>
      <c r="O55" s="112">
        <v>1415444</v>
      </c>
      <c r="P55" s="112"/>
      <c r="Q55" s="112">
        <f t="shared" si="0"/>
        <v>1415444</v>
      </c>
      <c r="R55" s="146"/>
      <c r="S55" s="112">
        <f t="shared" si="2"/>
        <v>1415444</v>
      </c>
    </row>
    <row r="56" spans="1:20" ht="15.75" hidden="1" customHeight="1" outlineLevel="1">
      <c r="A56" s="9" t="s">
        <v>47</v>
      </c>
      <c r="B56" s="18" t="s">
        <v>48</v>
      </c>
      <c r="C56" s="43">
        <v>2930000</v>
      </c>
      <c r="D56" s="54"/>
      <c r="E56" s="54">
        <v>2930000</v>
      </c>
      <c r="F56" s="54"/>
      <c r="G56" s="54">
        <v>2930000</v>
      </c>
      <c r="H56" s="54"/>
      <c r="I56" s="54">
        <v>2930000</v>
      </c>
      <c r="J56" s="54"/>
      <c r="K56" s="54">
        <v>2930000</v>
      </c>
      <c r="L56" s="54"/>
      <c r="M56" s="54">
        <v>2930000</v>
      </c>
      <c r="N56" s="54"/>
      <c r="O56" s="112">
        <v>2930000</v>
      </c>
      <c r="P56" s="112"/>
      <c r="Q56" s="112">
        <f t="shared" si="0"/>
        <v>2930000</v>
      </c>
      <c r="R56" s="146"/>
      <c r="S56" s="112">
        <f t="shared" si="2"/>
        <v>2930000</v>
      </c>
    </row>
    <row r="57" spans="1:20" s="6" customFormat="1" ht="21" customHeight="1" collapsed="1">
      <c r="A57" s="7" t="s">
        <v>49</v>
      </c>
      <c r="B57" s="19" t="s">
        <v>50</v>
      </c>
      <c r="C57" s="41">
        <f t="shared" ref="C57:P57" si="5">C58+C120+C122+C126</f>
        <v>802378400</v>
      </c>
      <c r="D57" s="41">
        <f t="shared" si="5"/>
        <v>635371.53999999957</v>
      </c>
      <c r="E57" s="41">
        <f t="shared" si="5"/>
        <v>803013771.53999996</v>
      </c>
      <c r="F57" s="41">
        <f t="shared" si="5"/>
        <v>14518074.780000001</v>
      </c>
      <c r="G57" s="41">
        <f t="shared" si="5"/>
        <v>817531846.32000005</v>
      </c>
      <c r="H57" s="41">
        <f t="shared" si="5"/>
        <v>26329696</v>
      </c>
      <c r="I57" s="41">
        <f t="shared" si="5"/>
        <v>843861542.32000005</v>
      </c>
      <c r="J57" s="41">
        <f t="shared" si="5"/>
        <v>16199337.76</v>
      </c>
      <c r="K57" s="52">
        <f t="shared" si="5"/>
        <v>860060880.08000004</v>
      </c>
      <c r="L57" s="41">
        <f t="shared" si="5"/>
        <v>5756557</v>
      </c>
      <c r="M57" s="52">
        <f t="shared" si="5"/>
        <v>865817437.08000004</v>
      </c>
      <c r="N57" s="52">
        <f t="shared" si="5"/>
        <v>0</v>
      </c>
      <c r="O57" s="110">
        <f t="shared" si="5"/>
        <v>865817437.08000004</v>
      </c>
      <c r="P57" s="110">
        <f t="shared" si="5"/>
        <v>18767671.759999998</v>
      </c>
      <c r="Q57" s="110">
        <f t="shared" si="0"/>
        <v>884585108.84000003</v>
      </c>
      <c r="R57" s="144">
        <f>R58+R120+R122+R126</f>
        <v>59227418.729999997</v>
      </c>
      <c r="S57" s="110">
        <f t="shared" si="2"/>
        <v>943812527.57000005</v>
      </c>
      <c r="T57" s="168"/>
    </row>
    <row r="58" spans="1:20" s="21" customFormat="1" ht="25.5" customHeight="1">
      <c r="A58" s="20" t="s">
        <v>82</v>
      </c>
      <c r="B58" s="17" t="s">
        <v>51</v>
      </c>
      <c r="C58" s="39">
        <f t="shared" ref="C58:P58" si="6">C59+C62+C92+C107</f>
        <v>802378400</v>
      </c>
      <c r="D58" s="39">
        <f t="shared" si="6"/>
        <v>356459</v>
      </c>
      <c r="E58" s="39">
        <f t="shared" si="6"/>
        <v>802734859</v>
      </c>
      <c r="F58" s="39">
        <f t="shared" si="6"/>
        <v>8688532.7200000007</v>
      </c>
      <c r="G58" s="39">
        <f t="shared" si="6"/>
        <v>811423391.72000003</v>
      </c>
      <c r="H58" s="39">
        <f t="shared" si="6"/>
        <v>26329696</v>
      </c>
      <c r="I58" s="39">
        <f t="shared" si="6"/>
        <v>837753087.72000003</v>
      </c>
      <c r="J58" s="39">
        <f t="shared" si="6"/>
        <v>16199337.76</v>
      </c>
      <c r="K58" s="58">
        <f t="shared" si="6"/>
        <v>853952425.48000002</v>
      </c>
      <c r="L58" s="39">
        <f t="shared" si="6"/>
        <v>5756557</v>
      </c>
      <c r="M58" s="58">
        <f t="shared" si="6"/>
        <v>859708982.48000002</v>
      </c>
      <c r="N58" s="58">
        <f t="shared" si="6"/>
        <v>0</v>
      </c>
      <c r="O58" s="115">
        <f t="shared" si="6"/>
        <v>859708982.48000002</v>
      </c>
      <c r="P58" s="115">
        <f t="shared" si="6"/>
        <v>18899540.949999999</v>
      </c>
      <c r="Q58" s="115">
        <f t="shared" si="0"/>
        <v>878608523.43000007</v>
      </c>
      <c r="R58" s="149">
        <f>R59+R62+R92+R107</f>
        <v>59257251.979999997</v>
      </c>
      <c r="S58" s="115">
        <f t="shared" si="2"/>
        <v>937865775.41000009</v>
      </c>
      <c r="T58" s="168"/>
    </row>
    <row r="59" spans="1:20" s="6" customFormat="1" ht="25.5" customHeight="1">
      <c r="A59" s="7" t="s">
        <v>52</v>
      </c>
      <c r="B59" s="19" t="s">
        <v>74</v>
      </c>
      <c r="C59" s="41">
        <f>C60</f>
        <v>52021200</v>
      </c>
      <c r="D59" s="52"/>
      <c r="E59" s="52">
        <f>E60</f>
        <v>52021200</v>
      </c>
      <c r="F59" s="52"/>
      <c r="G59" s="52">
        <f>G60</f>
        <v>52021200</v>
      </c>
      <c r="H59" s="52"/>
      <c r="I59" s="52">
        <f>I60</f>
        <v>52021200</v>
      </c>
      <c r="J59" s="52"/>
      <c r="K59" s="52">
        <f>K60</f>
        <v>52021200</v>
      </c>
      <c r="L59" s="52"/>
      <c r="M59" s="52">
        <f>M60</f>
        <v>52021200</v>
      </c>
      <c r="N59" s="52">
        <f>N60</f>
        <v>0</v>
      </c>
      <c r="O59" s="110">
        <f>O60</f>
        <v>52021200</v>
      </c>
      <c r="P59" s="110">
        <f>P60</f>
        <v>0</v>
      </c>
      <c r="Q59" s="110">
        <f>SUM(Q60:Q61)</f>
        <v>52021200</v>
      </c>
      <c r="R59" s="144">
        <f t="shared" ref="R59" si="7">SUM(R60:R61)</f>
        <v>53004980</v>
      </c>
      <c r="S59" s="110">
        <f>SUM(S60:S61)</f>
        <v>105026180</v>
      </c>
      <c r="T59" s="168"/>
    </row>
    <row r="60" spans="1:20" s="21" customFormat="1" ht="25.5" customHeight="1">
      <c r="A60" s="11" t="s">
        <v>75</v>
      </c>
      <c r="B60" s="22" t="s">
        <v>81</v>
      </c>
      <c r="C60" s="39">
        <v>52021200</v>
      </c>
      <c r="D60" s="58"/>
      <c r="E60" s="58">
        <v>52021200</v>
      </c>
      <c r="F60" s="58"/>
      <c r="G60" s="58">
        <v>52021200</v>
      </c>
      <c r="H60" s="58"/>
      <c r="I60" s="58">
        <v>52021200</v>
      </c>
      <c r="J60" s="58"/>
      <c r="K60" s="58">
        <v>52021200</v>
      </c>
      <c r="L60" s="58"/>
      <c r="M60" s="58">
        <v>52021200</v>
      </c>
      <c r="N60" s="58"/>
      <c r="O60" s="115">
        <v>52021200</v>
      </c>
      <c r="P60" s="115"/>
      <c r="Q60" s="115">
        <f t="shared" si="0"/>
        <v>52021200</v>
      </c>
      <c r="R60" s="149"/>
      <c r="S60" s="115">
        <f t="shared" si="2"/>
        <v>52021200</v>
      </c>
      <c r="T60" s="175"/>
    </row>
    <row r="61" spans="1:20" s="21" customFormat="1" ht="25.5" customHeight="1">
      <c r="A61" s="11" t="s">
        <v>167</v>
      </c>
      <c r="B61" s="131" t="s">
        <v>168</v>
      </c>
      <c r="C61" s="39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115"/>
      <c r="P61" s="115"/>
      <c r="Q61" s="115"/>
      <c r="R61" s="149">
        <v>53004980</v>
      </c>
      <c r="S61" s="115">
        <f t="shared" si="2"/>
        <v>53004980</v>
      </c>
      <c r="T61" s="174"/>
    </row>
    <row r="62" spans="1:20" s="6" customFormat="1" ht="25.5" customHeight="1">
      <c r="A62" s="7" t="s">
        <v>53</v>
      </c>
      <c r="B62" s="19" t="s">
        <v>71</v>
      </c>
      <c r="C62" s="41">
        <f>SUM(C63:C84)</f>
        <v>161048200</v>
      </c>
      <c r="D62" s="52">
        <f>SUM(D63:D84)</f>
        <v>300900</v>
      </c>
      <c r="E62" s="52">
        <f>SUM(E63:E84)</f>
        <v>161349100</v>
      </c>
      <c r="F62" s="52">
        <f>SUM(F63:F84)</f>
        <v>8641232.7200000007</v>
      </c>
      <c r="G62" s="52">
        <f>SUM(G63:G84)</f>
        <v>169990332.72</v>
      </c>
      <c r="H62" s="52">
        <f>SUM(H63:H85)</f>
        <v>13095400</v>
      </c>
      <c r="I62" s="52">
        <f>SUM(I63:I85)</f>
        <v>183085732.72</v>
      </c>
      <c r="J62" s="52">
        <f>SUM(J63:J85)</f>
        <v>16197420.76</v>
      </c>
      <c r="K62" s="52">
        <f>SUM(K63:K85)</f>
        <v>199283153.48000002</v>
      </c>
      <c r="L62" s="52">
        <f>SUM(L63:L87)</f>
        <v>5756557</v>
      </c>
      <c r="M62" s="52">
        <f t="shared" ref="M62:S62" si="8">SUM(M63:M91)</f>
        <v>205039710.48000002</v>
      </c>
      <c r="N62" s="52">
        <f t="shared" si="8"/>
        <v>0</v>
      </c>
      <c r="O62" s="110">
        <f t="shared" si="8"/>
        <v>205039710.48000002</v>
      </c>
      <c r="P62" s="110">
        <f t="shared" si="8"/>
        <v>11042145.689999999</v>
      </c>
      <c r="Q62" s="110">
        <f t="shared" si="8"/>
        <v>216081856.16999999</v>
      </c>
      <c r="R62" s="144">
        <f t="shared" si="8"/>
        <v>1515930.6800000002</v>
      </c>
      <c r="S62" s="110">
        <f t="shared" si="8"/>
        <v>217597786.84999999</v>
      </c>
      <c r="T62" s="168"/>
    </row>
    <row r="63" spans="1:20" ht="37.5" customHeight="1">
      <c r="A63" s="23" t="s">
        <v>57</v>
      </c>
      <c r="B63" s="24" t="s">
        <v>93</v>
      </c>
      <c r="C63" s="39">
        <v>1767000</v>
      </c>
      <c r="D63" s="58"/>
      <c r="E63" s="58">
        <v>1767000</v>
      </c>
      <c r="F63" s="58"/>
      <c r="G63" s="58">
        <v>1767000</v>
      </c>
      <c r="H63" s="58"/>
      <c r="I63" s="58">
        <v>1767000</v>
      </c>
      <c r="J63" s="58"/>
      <c r="K63" s="58">
        <v>1767000</v>
      </c>
      <c r="L63" s="58"/>
      <c r="M63" s="58">
        <v>1767000</v>
      </c>
      <c r="N63" s="58"/>
      <c r="O63" s="115">
        <f>SUM(M63:N63)</f>
        <v>1767000</v>
      </c>
      <c r="P63" s="115"/>
      <c r="Q63" s="115">
        <f t="shared" si="0"/>
        <v>1767000</v>
      </c>
      <c r="R63" s="149"/>
      <c r="S63" s="115">
        <f t="shared" ref="S63:S131" si="9">R63+Q63</f>
        <v>1767000</v>
      </c>
      <c r="T63" s="176"/>
    </row>
    <row r="64" spans="1:20" ht="37.5" customHeight="1">
      <c r="A64" s="57" t="s">
        <v>121</v>
      </c>
      <c r="B64" s="86" t="s">
        <v>122</v>
      </c>
      <c r="C64" s="39"/>
      <c r="D64" s="58"/>
      <c r="E64" s="58"/>
      <c r="F64" s="58">
        <v>507522.04</v>
      </c>
      <c r="G64" s="58">
        <f t="shared" ref="G64:G77" si="10">F64</f>
        <v>507522.04</v>
      </c>
      <c r="H64" s="58"/>
      <c r="I64" s="58">
        <v>507522.04</v>
      </c>
      <c r="J64" s="58"/>
      <c r="K64" s="58">
        <v>507522.04</v>
      </c>
      <c r="L64" s="58"/>
      <c r="M64" s="58">
        <v>507522.04</v>
      </c>
      <c r="N64" s="58"/>
      <c r="O64" s="115">
        <f t="shared" ref="O64:O91" si="11">SUM(M64:N64)</f>
        <v>507522.04</v>
      </c>
      <c r="P64" s="115"/>
      <c r="Q64" s="115">
        <f t="shared" si="0"/>
        <v>507522.04</v>
      </c>
      <c r="R64" s="149"/>
      <c r="S64" s="115">
        <f t="shared" si="9"/>
        <v>507522.04</v>
      </c>
    </row>
    <row r="65" spans="1:20" ht="45" customHeight="1">
      <c r="A65" s="81" t="s">
        <v>141</v>
      </c>
      <c r="B65" s="63" t="s">
        <v>142</v>
      </c>
      <c r="C65" s="39"/>
      <c r="D65" s="58"/>
      <c r="E65" s="58"/>
      <c r="F65" s="58"/>
      <c r="G65" s="58"/>
      <c r="H65" s="58"/>
      <c r="I65" s="58"/>
      <c r="J65" s="58">
        <v>15812235.76</v>
      </c>
      <c r="K65" s="58">
        <f>J65</f>
        <v>15812235.76</v>
      </c>
      <c r="L65" s="58"/>
      <c r="M65" s="58">
        <v>15812235.76</v>
      </c>
      <c r="N65" s="58"/>
      <c r="O65" s="115">
        <f t="shared" si="11"/>
        <v>15812235.76</v>
      </c>
      <c r="P65" s="115"/>
      <c r="Q65" s="115">
        <f t="shared" si="0"/>
        <v>15812235.76</v>
      </c>
      <c r="R65" s="149">
        <v>815620</v>
      </c>
      <c r="S65" s="115">
        <f t="shared" si="9"/>
        <v>16627855.76</v>
      </c>
    </row>
    <row r="66" spans="1:20" ht="37.5" customHeight="1">
      <c r="A66" s="62" t="s">
        <v>123</v>
      </c>
      <c r="B66" s="63" t="s">
        <v>97</v>
      </c>
      <c r="C66" s="39"/>
      <c r="D66" s="58"/>
      <c r="E66" s="58"/>
      <c r="F66" s="58">
        <v>30178.86</v>
      </c>
      <c r="G66" s="58">
        <f t="shared" si="10"/>
        <v>30178.86</v>
      </c>
      <c r="H66" s="58"/>
      <c r="I66" s="58">
        <v>30178.86</v>
      </c>
      <c r="J66" s="58"/>
      <c r="K66" s="58">
        <v>30178.86</v>
      </c>
      <c r="L66" s="58"/>
      <c r="M66" s="58">
        <v>30178.86</v>
      </c>
      <c r="N66" s="58"/>
      <c r="O66" s="115">
        <f t="shared" si="11"/>
        <v>30178.86</v>
      </c>
      <c r="P66" s="115"/>
      <c r="Q66" s="115">
        <f t="shared" si="0"/>
        <v>30178.86</v>
      </c>
      <c r="R66" s="149"/>
      <c r="S66" s="115">
        <f t="shared" si="9"/>
        <v>30178.86</v>
      </c>
    </row>
    <row r="67" spans="1:20" ht="37.5" customHeight="1">
      <c r="A67" s="133" t="s">
        <v>170</v>
      </c>
      <c r="B67" s="134" t="s">
        <v>169</v>
      </c>
      <c r="C67" s="39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115"/>
      <c r="P67" s="115"/>
      <c r="Q67" s="115"/>
      <c r="R67" s="149">
        <v>1195335.56</v>
      </c>
      <c r="S67" s="115">
        <f t="shared" si="9"/>
        <v>1195335.56</v>
      </c>
    </row>
    <row r="68" spans="1:20" ht="37.5" customHeight="1">
      <c r="A68" s="81" t="s">
        <v>124</v>
      </c>
      <c r="B68" s="63" t="s">
        <v>98</v>
      </c>
      <c r="C68" s="39"/>
      <c r="D68" s="58"/>
      <c r="E68" s="58"/>
      <c r="F68" s="58">
        <v>6209187.9400000004</v>
      </c>
      <c r="G68" s="58">
        <f t="shared" si="10"/>
        <v>6209187.9400000004</v>
      </c>
      <c r="H68" s="58"/>
      <c r="I68" s="58">
        <v>6209187.9400000004</v>
      </c>
      <c r="J68" s="58"/>
      <c r="K68" s="58">
        <v>6209187.9400000004</v>
      </c>
      <c r="L68" s="58"/>
      <c r="M68" s="58">
        <v>6209187.9400000004</v>
      </c>
      <c r="N68" s="58"/>
      <c r="O68" s="115">
        <f t="shared" si="11"/>
        <v>6209187.9400000004</v>
      </c>
      <c r="P68" s="115">
        <f>-133061.04-14784.56</f>
        <v>-147845.6</v>
      </c>
      <c r="Q68" s="115">
        <f t="shared" si="0"/>
        <v>6061342.3400000008</v>
      </c>
      <c r="R68" s="149"/>
      <c r="S68" s="115">
        <f t="shared" si="9"/>
        <v>6061342.3400000008</v>
      </c>
    </row>
    <row r="69" spans="1:20" ht="27" customHeight="1">
      <c r="A69" s="91" t="s">
        <v>146</v>
      </c>
      <c r="B69" s="63" t="s">
        <v>148</v>
      </c>
      <c r="C69" s="39"/>
      <c r="D69" s="58"/>
      <c r="E69" s="58"/>
      <c r="F69" s="58"/>
      <c r="G69" s="58"/>
      <c r="H69" s="58"/>
      <c r="I69" s="58"/>
      <c r="J69" s="58"/>
      <c r="K69" s="58"/>
      <c r="L69" s="58">
        <v>1011374</v>
      </c>
      <c r="M69" s="58">
        <f>L69</f>
        <v>1011374</v>
      </c>
      <c r="N69" s="58"/>
      <c r="O69" s="115">
        <f t="shared" si="11"/>
        <v>1011374</v>
      </c>
      <c r="P69" s="115"/>
      <c r="Q69" s="115">
        <f t="shared" si="0"/>
        <v>1011374</v>
      </c>
      <c r="R69" s="149">
        <f>544768.89-Q69</f>
        <v>-466605.11</v>
      </c>
      <c r="S69" s="115">
        <f t="shared" si="9"/>
        <v>544768.89</v>
      </c>
    </row>
    <row r="70" spans="1:20" ht="27" customHeight="1">
      <c r="A70" s="91" t="s">
        <v>147</v>
      </c>
      <c r="B70" s="87" t="s">
        <v>92</v>
      </c>
      <c r="C70" s="39"/>
      <c r="D70" s="58"/>
      <c r="E70" s="58"/>
      <c r="F70" s="58"/>
      <c r="G70" s="58"/>
      <c r="H70" s="58"/>
      <c r="I70" s="58"/>
      <c r="J70" s="58"/>
      <c r="K70" s="58"/>
      <c r="L70" s="58">
        <v>2731862</v>
      </c>
      <c r="M70" s="58">
        <f>L70</f>
        <v>2731862</v>
      </c>
      <c r="N70" s="58"/>
      <c r="O70" s="115">
        <f t="shared" si="11"/>
        <v>2731862</v>
      </c>
      <c r="P70" s="115"/>
      <c r="Q70" s="115">
        <f t="shared" si="0"/>
        <v>2731862</v>
      </c>
      <c r="R70" s="149">
        <f>2267523.11-Q70</f>
        <v>-464338.89000000013</v>
      </c>
      <c r="S70" s="115">
        <f t="shared" si="9"/>
        <v>2267523.11</v>
      </c>
    </row>
    <row r="71" spans="1:20" ht="27" customHeight="1">
      <c r="A71" s="62" t="s">
        <v>125</v>
      </c>
      <c r="B71" s="87" t="s">
        <v>92</v>
      </c>
      <c r="C71" s="39"/>
      <c r="D71" s="58"/>
      <c r="E71" s="58"/>
      <c r="F71" s="58">
        <v>872712</v>
      </c>
      <c r="G71" s="58">
        <f t="shared" si="10"/>
        <v>872712</v>
      </c>
      <c r="H71" s="58"/>
      <c r="I71" s="58">
        <v>872712</v>
      </c>
      <c r="J71" s="58"/>
      <c r="K71" s="58">
        <v>872712</v>
      </c>
      <c r="L71" s="58"/>
      <c r="M71" s="58">
        <v>872712</v>
      </c>
      <c r="N71" s="58"/>
      <c r="O71" s="115">
        <f t="shared" si="11"/>
        <v>872712</v>
      </c>
      <c r="P71" s="115"/>
      <c r="Q71" s="115">
        <f t="shared" si="0"/>
        <v>872712</v>
      </c>
      <c r="R71" s="149"/>
      <c r="S71" s="115">
        <f t="shared" si="9"/>
        <v>872712</v>
      </c>
    </row>
    <row r="72" spans="1:20" ht="37.5" customHeight="1">
      <c r="A72" s="62" t="s">
        <v>126</v>
      </c>
      <c r="B72" s="87" t="s">
        <v>92</v>
      </c>
      <c r="C72" s="39"/>
      <c r="D72" s="58"/>
      <c r="E72" s="58"/>
      <c r="F72" s="58">
        <v>200000</v>
      </c>
      <c r="G72" s="58">
        <f t="shared" si="10"/>
        <v>200000</v>
      </c>
      <c r="H72" s="58"/>
      <c r="I72" s="58">
        <v>200000</v>
      </c>
      <c r="J72" s="58"/>
      <c r="K72" s="58">
        <v>200000</v>
      </c>
      <c r="L72" s="58"/>
      <c r="M72" s="58">
        <v>200000</v>
      </c>
      <c r="N72" s="58"/>
      <c r="O72" s="115">
        <f t="shared" si="11"/>
        <v>200000</v>
      </c>
      <c r="P72" s="115"/>
      <c r="Q72" s="115">
        <f t="shared" si="0"/>
        <v>200000</v>
      </c>
      <c r="R72" s="149"/>
      <c r="S72" s="115">
        <f t="shared" si="9"/>
        <v>200000</v>
      </c>
    </row>
    <row r="73" spans="1:20" ht="51" customHeight="1">
      <c r="A73" s="62" t="s">
        <v>127</v>
      </c>
      <c r="B73" s="87" t="s">
        <v>92</v>
      </c>
      <c r="C73" s="39"/>
      <c r="D73" s="58"/>
      <c r="E73" s="58"/>
      <c r="F73" s="58">
        <v>282000</v>
      </c>
      <c r="G73" s="58">
        <f t="shared" si="10"/>
        <v>282000</v>
      </c>
      <c r="H73" s="58"/>
      <c r="I73" s="58">
        <v>282000</v>
      </c>
      <c r="J73" s="58"/>
      <c r="K73" s="58">
        <v>282000</v>
      </c>
      <c r="L73" s="58"/>
      <c r="M73" s="58">
        <v>282000</v>
      </c>
      <c r="N73" s="58"/>
      <c r="O73" s="115">
        <f t="shared" si="11"/>
        <v>282000</v>
      </c>
      <c r="P73" s="115"/>
      <c r="Q73" s="115">
        <f t="shared" si="0"/>
        <v>282000</v>
      </c>
      <c r="R73" s="149"/>
      <c r="S73" s="115">
        <f t="shared" si="9"/>
        <v>282000</v>
      </c>
    </row>
    <row r="74" spans="1:20" ht="51" customHeight="1">
      <c r="A74" s="89" t="s">
        <v>144</v>
      </c>
      <c r="B74" s="87" t="s">
        <v>92</v>
      </c>
      <c r="C74" s="39"/>
      <c r="D74" s="58"/>
      <c r="E74" s="58"/>
      <c r="F74" s="58"/>
      <c r="G74" s="58"/>
      <c r="H74" s="58"/>
      <c r="I74" s="58"/>
      <c r="J74" s="58">
        <v>210000</v>
      </c>
      <c r="K74" s="58">
        <f>J74</f>
        <v>210000</v>
      </c>
      <c r="L74" s="58"/>
      <c r="M74" s="58">
        <v>210000</v>
      </c>
      <c r="N74" s="58"/>
      <c r="O74" s="115">
        <f t="shared" si="11"/>
        <v>210000</v>
      </c>
      <c r="P74" s="115"/>
      <c r="Q74" s="115">
        <f t="shared" si="0"/>
        <v>210000</v>
      </c>
      <c r="R74" s="149"/>
      <c r="S74" s="115">
        <f t="shared" si="9"/>
        <v>210000</v>
      </c>
    </row>
    <row r="75" spans="1:20" ht="38.25" customHeight="1">
      <c r="A75" s="92" t="s">
        <v>149</v>
      </c>
      <c r="B75" s="87" t="s">
        <v>92</v>
      </c>
      <c r="C75" s="39"/>
      <c r="D75" s="58"/>
      <c r="E75" s="58"/>
      <c r="F75" s="58"/>
      <c r="G75" s="58"/>
      <c r="H75" s="58"/>
      <c r="I75" s="58"/>
      <c r="J75" s="58"/>
      <c r="K75" s="58"/>
      <c r="L75" s="58">
        <v>500000</v>
      </c>
      <c r="M75" s="58">
        <f>L75</f>
        <v>500000</v>
      </c>
      <c r="N75" s="58"/>
      <c r="O75" s="115">
        <f t="shared" si="11"/>
        <v>500000</v>
      </c>
      <c r="P75" s="115"/>
      <c r="Q75" s="115">
        <f t="shared" si="0"/>
        <v>500000</v>
      </c>
      <c r="R75" s="149"/>
      <c r="S75" s="115">
        <f t="shared" si="9"/>
        <v>500000</v>
      </c>
    </row>
    <row r="76" spans="1:20" ht="38.25" customHeight="1">
      <c r="A76" s="81" t="s">
        <v>143</v>
      </c>
      <c r="B76" s="87" t="s">
        <v>92</v>
      </c>
      <c r="C76" s="39"/>
      <c r="D76" s="58"/>
      <c r="E76" s="58"/>
      <c r="F76" s="58"/>
      <c r="G76" s="58"/>
      <c r="H76" s="58"/>
      <c r="I76" s="58"/>
      <c r="J76" s="58">
        <v>175185</v>
      </c>
      <c r="K76" s="58">
        <f>J76</f>
        <v>175185</v>
      </c>
      <c r="L76" s="58"/>
      <c r="M76" s="58">
        <v>175185</v>
      </c>
      <c r="N76" s="58"/>
      <c r="O76" s="115">
        <f t="shared" si="11"/>
        <v>175185</v>
      </c>
      <c r="P76" s="115"/>
      <c r="Q76" s="115">
        <f t="shared" si="0"/>
        <v>175185</v>
      </c>
      <c r="R76" s="190">
        <f>196568-Q76</f>
        <v>21383</v>
      </c>
      <c r="S76" s="115">
        <f t="shared" si="9"/>
        <v>196568</v>
      </c>
    </row>
    <row r="77" spans="1:20" ht="54.75" customHeight="1">
      <c r="A77" s="81" t="s">
        <v>128</v>
      </c>
      <c r="B77" s="87" t="s">
        <v>92</v>
      </c>
      <c r="C77" s="39"/>
      <c r="D77" s="58"/>
      <c r="E77" s="58"/>
      <c r="F77" s="58">
        <v>539631.88</v>
      </c>
      <c r="G77" s="58">
        <f t="shared" si="10"/>
        <v>539631.88</v>
      </c>
      <c r="H77" s="58"/>
      <c r="I77" s="58">
        <v>539631.88</v>
      </c>
      <c r="J77" s="58"/>
      <c r="K77" s="58">
        <v>539631.88</v>
      </c>
      <c r="L77" s="58"/>
      <c r="M77" s="58">
        <v>539631.88</v>
      </c>
      <c r="N77" s="58"/>
      <c r="O77" s="115">
        <f t="shared" si="11"/>
        <v>539631.88</v>
      </c>
      <c r="P77" s="115">
        <v>-2112.81</v>
      </c>
      <c r="Q77" s="115">
        <f t="shared" si="0"/>
        <v>537519.06999999995</v>
      </c>
      <c r="R77" s="149"/>
      <c r="S77" s="115">
        <f t="shared" si="9"/>
        <v>537519.06999999995</v>
      </c>
    </row>
    <row r="78" spans="1:20" ht="41.25" customHeight="1">
      <c r="A78" s="60" t="s">
        <v>115</v>
      </c>
      <c r="B78" s="24" t="s">
        <v>92</v>
      </c>
      <c r="C78" s="39"/>
      <c r="D78" s="58">
        <v>75900</v>
      </c>
      <c r="E78" s="58">
        <f>D78</f>
        <v>75900</v>
      </c>
      <c r="F78" s="58"/>
      <c r="G78" s="58">
        <v>75900</v>
      </c>
      <c r="H78" s="58"/>
      <c r="I78" s="58">
        <v>75900</v>
      </c>
      <c r="J78" s="58"/>
      <c r="K78" s="58">
        <v>75900</v>
      </c>
      <c r="L78" s="58"/>
      <c r="M78" s="58">
        <v>75900</v>
      </c>
      <c r="N78" s="58"/>
      <c r="O78" s="115">
        <f t="shared" si="11"/>
        <v>75900</v>
      </c>
      <c r="P78" s="115"/>
      <c r="Q78" s="115">
        <f t="shared" si="0"/>
        <v>75900</v>
      </c>
      <c r="R78" s="149"/>
      <c r="S78" s="115">
        <f t="shared" si="9"/>
        <v>75900</v>
      </c>
    </row>
    <row r="79" spans="1:20" ht="65.25" customHeight="1">
      <c r="A79" s="23" t="s">
        <v>76</v>
      </c>
      <c r="B79" s="24" t="s">
        <v>92</v>
      </c>
      <c r="C79" s="39">
        <v>25600</v>
      </c>
      <c r="D79" s="58"/>
      <c r="E79" s="58">
        <v>25600</v>
      </c>
      <c r="F79" s="58"/>
      <c r="G79" s="58">
        <v>25600</v>
      </c>
      <c r="H79" s="58"/>
      <c r="I79" s="58">
        <v>25600</v>
      </c>
      <c r="J79" s="58"/>
      <c r="K79" s="58">
        <v>25600</v>
      </c>
      <c r="L79" s="58"/>
      <c r="M79" s="58">
        <v>25600</v>
      </c>
      <c r="N79" s="58"/>
      <c r="O79" s="115">
        <f t="shared" si="11"/>
        <v>25600</v>
      </c>
      <c r="P79" s="115"/>
      <c r="Q79" s="115">
        <f t="shared" si="0"/>
        <v>25600</v>
      </c>
      <c r="R79" s="149"/>
      <c r="S79" s="115">
        <f t="shared" si="9"/>
        <v>25600</v>
      </c>
    </row>
    <row r="80" spans="1:20" s="6" customFormat="1" ht="65.25" customHeight="1">
      <c r="A80" s="23" t="s">
        <v>54</v>
      </c>
      <c r="B80" s="24" t="s">
        <v>92</v>
      </c>
      <c r="C80" s="39">
        <v>256000</v>
      </c>
      <c r="D80" s="58"/>
      <c r="E80" s="58">
        <v>256000</v>
      </c>
      <c r="F80" s="58"/>
      <c r="G80" s="58">
        <v>256000</v>
      </c>
      <c r="H80" s="58"/>
      <c r="I80" s="58">
        <v>256000</v>
      </c>
      <c r="J80" s="58"/>
      <c r="K80" s="58">
        <v>256000</v>
      </c>
      <c r="L80" s="58"/>
      <c r="M80" s="58">
        <v>256000</v>
      </c>
      <c r="N80" s="58"/>
      <c r="O80" s="115">
        <f t="shared" si="11"/>
        <v>256000</v>
      </c>
      <c r="P80" s="115"/>
      <c r="Q80" s="115">
        <f t="shared" si="0"/>
        <v>256000</v>
      </c>
      <c r="R80" s="149">
        <v>-56400</v>
      </c>
      <c r="S80" s="115">
        <f t="shared" si="9"/>
        <v>199600</v>
      </c>
      <c r="T80" s="172"/>
    </row>
    <row r="81" spans="1:20" ht="26.25" customHeight="1">
      <c r="A81" s="23" t="s">
        <v>55</v>
      </c>
      <c r="B81" s="24" t="s">
        <v>92</v>
      </c>
      <c r="C81" s="39">
        <v>798600</v>
      </c>
      <c r="D81" s="58">
        <v>225000</v>
      </c>
      <c r="E81" s="58">
        <f>C81+D81</f>
        <v>1023600</v>
      </c>
      <c r="F81" s="58"/>
      <c r="G81" s="58">
        <v>1023600</v>
      </c>
      <c r="H81" s="58"/>
      <c r="I81" s="58">
        <v>1023600</v>
      </c>
      <c r="J81" s="58"/>
      <c r="K81" s="58">
        <v>1023600</v>
      </c>
      <c r="L81" s="58"/>
      <c r="M81" s="58">
        <v>1023600</v>
      </c>
      <c r="N81" s="58"/>
      <c r="O81" s="115">
        <f t="shared" si="11"/>
        <v>1023600</v>
      </c>
      <c r="P81" s="115"/>
      <c r="Q81" s="115">
        <f t="shared" si="0"/>
        <v>1023600</v>
      </c>
      <c r="R81" s="149"/>
      <c r="S81" s="115">
        <f t="shared" si="9"/>
        <v>1023600</v>
      </c>
    </row>
    <row r="82" spans="1:20" ht="39.75" customHeight="1" thickBot="1">
      <c r="A82" s="23" t="s">
        <v>88</v>
      </c>
      <c r="B82" s="24" t="s">
        <v>92</v>
      </c>
      <c r="C82" s="39">
        <v>843600</v>
      </c>
      <c r="D82" s="58"/>
      <c r="E82" s="58">
        <v>843600</v>
      </c>
      <c r="F82" s="58"/>
      <c r="G82" s="58">
        <v>843600</v>
      </c>
      <c r="H82" s="58"/>
      <c r="I82" s="58">
        <v>843600</v>
      </c>
      <c r="J82" s="58"/>
      <c r="K82" s="58">
        <v>843600</v>
      </c>
      <c r="L82" s="58"/>
      <c r="M82" s="58">
        <v>843600</v>
      </c>
      <c r="N82" s="58"/>
      <c r="O82" s="115">
        <f t="shared" si="11"/>
        <v>843600</v>
      </c>
      <c r="P82" s="185"/>
      <c r="Q82" s="115">
        <f t="shared" si="0"/>
        <v>843600</v>
      </c>
      <c r="R82" s="149"/>
      <c r="S82" s="115">
        <f t="shared" si="9"/>
        <v>843600</v>
      </c>
    </row>
    <row r="83" spans="1:20" ht="39.75" customHeight="1" thickBot="1">
      <c r="A83" s="23" t="s">
        <v>89</v>
      </c>
      <c r="B83" s="24" t="s">
        <v>92</v>
      </c>
      <c r="C83" s="39">
        <v>15631800</v>
      </c>
      <c r="D83" s="58"/>
      <c r="E83" s="58">
        <v>15631800</v>
      </c>
      <c r="F83" s="58"/>
      <c r="G83" s="58">
        <v>15631800</v>
      </c>
      <c r="H83" s="58"/>
      <c r="I83" s="58">
        <v>15631800</v>
      </c>
      <c r="J83" s="58"/>
      <c r="K83" s="58">
        <v>15631800</v>
      </c>
      <c r="L83" s="58"/>
      <c r="M83" s="58">
        <v>15631800</v>
      </c>
      <c r="N83" s="58"/>
      <c r="O83" s="183">
        <f t="shared" si="11"/>
        <v>15631800</v>
      </c>
      <c r="P83" s="188">
        <f>20385400-O83</f>
        <v>4753600</v>
      </c>
      <c r="Q83" s="184">
        <f t="shared" si="0"/>
        <v>20385400</v>
      </c>
      <c r="R83" s="150"/>
      <c r="S83" s="115">
        <f t="shared" si="9"/>
        <v>20385400</v>
      </c>
    </row>
    <row r="84" spans="1:20" ht="25.5" customHeight="1">
      <c r="A84" s="23" t="s">
        <v>56</v>
      </c>
      <c r="B84" s="24" t="s">
        <v>92</v>
      </c>
      <c r="C84" s="39">
        <v>141725600</v>
      </c>
      <c r="D84" s="58"/>
      <c r="E84" s="58">
        <v>141725600</v>
      </c>
      <c r="F84" s="58"/>
      <c r="G84" s="58">
        <v>141725600</v>
      </c>
      <c r="H84" s="58"/>
      <c r="I84" s="58">
        <v>141725600</v>
      </c>
      <c r="J84" s="58"/>
      <c r="K84" s="58">
        <v>141725600</v>
      </c>
      <c r="L84" s="58"/>
      <c r="M84" s="58">
        <v>141725600</v>
      </c>
      <c r="N84" s="58"/>
      <c r="O84" s="115">
        <f t="shared" si="11"/>
        <v>141725600</v>
      </c>
      <c r="P84" s="186"/>
      <c r="Q84" s="115">
        <f t="shared" si="0"/>
        <v>141725600</v>
      </c>
      <c r="R84" s="149"/>
      <c r="S84" s="115">
        <f t="shared" si="9"/>
        <v>141725600</v>
      </c>
    </row>
    <row r="85" spans="1:20" ht="25.5" customHeight="1">
      <c r="A85" s="60" t="s">
        <v>138</v>
      </c>
      <c r="B85" s="24" t="s">
        <v>92</v>
      </c>
      <c r="C85" s="39"/>
      <c r="D85" s="58"/>
      <c r="E85" s="58"/>
      <c r="F85" s="58"/>
      <c r="G85" s="58"/>
      <c r="H85" s="58">
        <v>13095400</v>
      </c>
      <c r="I85" s="58">
        <f>H85</f>
        <v>13095400</v>
      </c>
      <c r="J85" s="58"/>
      <c r="K85" s="58">
        <f>I85</f>
        <v>13095400</v>
      </c>
      <c r="L85" s="58"/>
      <c r="M85" s="58">
        <f>K85</f>
        <v>13095400</v>
      </c>
      <c r="N85" s="58">
        <v>0</v>
      </c>
      <c r="O85" s="115">
        <f t="shared" si="11"/>
        <v>13095400</v>
      </c>
      <c r="P85" s="115">
        <v>843300</v>
      </c>
      <c r="Q85" s="115">
        <f t="shared" si="0"/>
        <v>13938700</v>
      </c>
      <c r="R85" s="149"/>
      <c r="S85" s="115">
        <f t="shared" si="9"/>
        <v>13938700</v>
      </c>
    </row>
    <row r="86" spans="1:20" ht="38.25" customHeight="1">
      <c r="A86" s="60" t="s">
        <v>150</v>
      </c>
      <c r="B86" s="24" t="s">
        <v>92</v>
      </c>
      <c r="C86" s="39"/>
      <c r="D86" s="58"/>
      <c r="E86" s="58"/>
      <c r="F86" s="58"/>
      <c r="G86" s="58"/>
      <c r="H86" s="58"/>
      <c r="I86" s="58"/>
      <c r="J86" s="58"/>
      <c r="K86" s="58"/>
      <c r="L86" s="58">
        <v>167000</v>
      </c>
      <c r="M86" s="58">
        <f>L86</f>
        <v>167000</v>
      </c>
      <c r="N86" s="58"/>
      <c r="O86" s="115">
        <f t="shared" si="11"/>
        <v>167000</v>
      </c>
      <c r="P86" s="115"/>
      <c r="Q86" s="115">
        <f t="shared" si="0"/>
        <v>167000</v>
      </c>
      <c r="R86" s="149"/>
      <c r="S86" s="115">
        <f t="shared" si="9"/>
        <v>167000</v>
      </c>
    </row>
    <row r="87" spans="1:20" ht="25.5" customHeight="1">
      <c r="A87" s="60" t="s">
        <v>151</v>
      </c>
      <c r="B87" s="24" t="s">
        <v>92</v>
      </c>
      <c r="C87" s="39"/>
      <c r="D87" s="58"/>
      <c r="E87" s="58"/>
      <c r="F87" s="58"/>
      <c r="G87" s="58"/>
      <c r="H87" s="58"/>
      <c r="I87" s="58"/>
      <c r="J87" s="58"/>
      <c r="K87" s="58"/>
      <c r="L87" s="58">
        <v>1346321</v>
      </c>
      <c r="M87" s="58">
        <f>L87</f>
        <v>1346321</v>
      </c>
      <c r="N87" s="58"/>
      <c r="O87" s="115">
        <f t="shared" si="11"/>
        <v>1346321</v>
      </c>
      <c r="P87" s="115"/>
      <c r="Q87" s="115">
        <f t="shared" si="0"/>
        <v>1346321</v>
      </c>
      <c r="R87" s="149"/>
      <c r="S87" s="115">
        <f t="shared" si="9"/>
        <v>1346321</v>
      </c>
    </row>
    <row r="88" spans="1:20" ht="25.5" customHeight="1">
      <c r="A88" s="136" t="s">
        <v>171</v>
      </c>
      <c r="B88" s="135" t="s">
        <v>92</v>
      </c>
      <c r="C88" s="39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115"/>
      <c r="P88" s="115"/>
      <c r="Q88" s="115"/>
      <c r="R88" s="149">
        <v>470936.12</v>
      </c>
      <c r="S88" s="115">
        <f t="shared" si="9"/>
        <v>470936.12</v>
      </c>
    </row>
    <row r="89" spans="1:20" ht="38.25" customHeight="1" thickBot="1">
      <c r="A89" s="60" t="s">
        <v>157</v>
      </c>
      <c r="B89" s="24" t="s">
        <v>92</v>
      </c>
      <c r="C89" s="39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115">
        <f t="shared" si="11"/>
        <v>0</v>
      </c>
      <c r="P89" s="185">
        <v>600000</v>
      </c>
      <c r="Q89" s="115">
        <f t="shared" si="0"/>
        <v>600000</v>
      </c>
      <c r="R89" s="149"/>
      <c r="S89" s="115">
        <f t="shared" si="9"/>
        <v>600000</v>
      </c>
    </row>
    <row r="90" spans="1:20" ht="38.25" customHeight="1" thickBot="1">
      <c r="A90" s="60" t="s">
        <v>164</v>
      </c>
      <c r="B90" s="24" t="s">
        <v>92</v>
      </c>
      <c r="C90" s="39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183"/>
      <c r="P90" s="189">
        <v>2000000</v>
      </c>
      <c r="Q90" s="184">
        <f t="shared" si="0"/>
        <v>2000000</v>
      </c>
      <c r="R90" s="150"/>
      <c r="S90" s="115">
        <f t="shared" si="9"/>
        <v>2000000</v>
      </c>
      <c r="T90" s="182"/>
    </row>
    <row r="91" spans="1:20" ht="25.5" customHeight="1" thickBot="1">
      <c r="A91" s="92" t="s">
        <v>152</v>
      </c>
      <c r="B91" s="24" t="s">
        <v>92</v>
      </c>
      <c r="C91" s="39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>
        <v>0</v>
      </c>
      <c r="O91" s="183">
        <f t="shared" si="11"/>
        <v>0</v>
      </c>
      <c r="P91" s="189">
        <v>2995204.1</v>
      </c>
      <c r="Q91" s="184">
        <f t="shared" si="0"/>
        <v>2995204.1</v>
      </c>
      <c r="R91" s="150"/>
      <c r="S91" s="115">
        <f t="shared" si="9"/>
        <v>2995204.1</v>
      </c>
      <c r="T91" s="182"/>
    </row>
    <row r="92" spans="1:20" s="26" customFormat="1" ht="25.5" customHeight="1">
      <c r="A92" s="25" t="s">
        <v>58</v>
      </c>
      <c r="B92" s="19" t="s">
        <v>70</v>
      </c>
      <c r="C92" s="41">
        <f t="shared" ref="C92:L92" si="12">SUM(C93:C106)</f>
        <v>541336200</v>
      </c>
      <c r="D92" s="52">
        <f t="shared" si="12"/>
        <v>91.88</v>
      </c>
      <c r="E92" s="52">
        <f t="shared" si="12"/>
        <v>541336291.88</v>
      </c>
      <c r="F92" s="52">
        <f t="shared" si="12"/>
        <v>0</v>
      </c>
      <c r="G92" s="52">
        <f t="shared" si="12"/>
        <v>541336291.88</v>
      </c>
      <c r="H92" s="52">
        <f t="shared" si="12"/>
        <v>10737200</v>
      </c>
      <c r="I92" s="52">
        <f t="shared" si="12"/>
        <v>552073491.88</v>
      </c>
      <c r="J92" s="52">
        <f t="shared" si="12"/>
        <v>0</v>
      </c>
      <c r="K92" s="52">
        <f t="shared" si="12"/>
        <v>552073491.88</v>
      </c>
      <c r="L92" s="52">
        <f t="shared" si="12"/>
        <v>0</v>
      </c>
      <c r="M92" s="52">
        <f>SUM(M93:M106)</f>
        <v>552073491.88</v>
      </c>
      <c r="N92" s="52">
        <f t="shared" ref="N92" si="13">SUM(N93:N106)</f>
        <v>0</v>
      </c>
      <c r="O92" s="110">
        <f>SUM(O93:O106)</f>
        <v>552073491.88</v>
      </c>
      <c r="P92" s="187">
        <f t="shared" ref="P92:R92" si="14">SUM(P93:P106)</f>
        <v>5417668.1200000001</v>
      </c>
      <c r="Q92" s="110">
        <f t="shared" si="0"/>
        <v>557491160</v>
      </c>
      <c r="R92" s="144">
        <f t="shared" si="14"/>
        <v>0</v>
      </c>
      <c r="S92" s="110">
        <f t="shared" si="9"/>
        <v>557491160</v>
      </c>
      <c r="T92" s="168"/>
    </row>
    <row r="93" spans="1:20" s="30" customFormat="1" ht="38.25" customHeight="1">
      <c r="A93" s="28" t="s">
        <v>80</v>
      </c>
      <c r="B93" s="29" t="s">
        <v>72</v>
      </c>
      <c r="C93" s="39">
        <v>5724500</v>
      </c>
      <c r="D93" s="58"/>
      <c r="E93" s="58">
        <v>5724500</v>
      </c>
      <c r="F93" s="58"/>
      <c r="G93" s="58">
        <v>5724500</v>
      </c>
      <c r="H93" s="58"/>
      <c r="I93" s="58">
        <v>5724500</v>
      </c>
      <c r="J93" s="58"/>
      <c r="K93" s="58">
        <v>5724500</v>
      </c>
      <c r="L93" s="58"/>
      <c r="M93" s="58">
        <v>5724500</v>
      </c>
      <c r="N93" s="58"/>
      <c r="O93" s="115">
        <f>SUM(M93:N93)</f>
        <v>5724500</v>
      </c>
      <c r="P93" s="115"/>
      <c r="Q93" s="115">
        <f t="shared" si="0"/>
        <v>5724500</v>
      </c>
      <c r="R93" s="149"/>
      <c r="S93" s="115">
        <f t="shared" si="9"/>
        <v>5724500</v>
      </c>
      <c r="T93" s="176"/>
    </row>
    <row r="94" spans="1:20" s="30" customFormat="1" ht="38.25" customHeight="1">
      <c r="A94" s="31" t="s">
        <v>78</v>
      </c>
      <c r="B94" s="29" t="s">
        <v>72</v>
      </c>
      <c r="C94" s="39">
        <v>3246700</v>
      </c>
      <c r="D94" s="58"/>
      <c r="E94" s="58">
        <v>3246700</v>
      </c>
      <c r="F94" s="58"/>
      <c r="G94" s="58">
        <v>3246700</v>
      </c>
      <c r="H94" s="58"/>
      <c r="I94" s="58">
        <v>3246700</v>
      </c>
      <c r="J94" s="58"/>
      <c r="K94" s="58">
        <v>3246700</v>
      </c>
      <c r="L94" s="58"/>
      <c r="M94" s="58">
        <v>3246700</v>
      </c>
      <c r="N94" s="58"/>
      <c r="O94" s="115">
        <f t="shared" ref="O94:O106" si="15">SUM(M94:N94)</f>
        <v>3246700</v>
      </c>
      <c r="P94" s="115"/>
      <c r="Q94" s="115">
        <f t="shared" si="0"/>
        <v>3246700</v>
      </c>
      <c r="R94" s="149"/>
      <c r="S94" s="115">
        <f t="shared" si="9"/>
        <v>3246700</v>
      </c>
      <c r="T94" s="171"/>
    </row>
    <row r="95" spans="1:20" ht="38.25" customHeight="1">
      <c r="A95" s="23" t="s">
        <v>60</v>
      </c>
      <c r="B95" s="29" t="s">
        <v>72</v>
      </c>
      <c r="C95" s="39">
        <v>999000</v>
      </c>
      <c r="D95" s="58"/>
      <c r="E95" s="58">
        <v>999000</v>
      </c>
      <c r="F95" s="58"/>
      <c r="G95" s="58">
        <v>999000</v>
      </c>
      <c r="H95" s="58"/>
      <c r="I95" s="58">
        <v>999000</v>
      </c>
      <c r="J95" s="58"/>
      <c r="K95" s="58">
        <v>999000</v>
      </c>
      <c r="L95" s="58"/>
      <c r="M95" s="58">
        <v>999000</v>
      </c>
      <c r="N95" s="58"/>
      <c r="O95" s="115">
        <f t="shared" si="15"/>
        <v>999000</v>
      </c>
      <c r="P95" s="115"/>
      <c r="Q95" s="115">
        <f t="shared" si="0"/>
        <v>999000</v>
      </c>
      <c r="R95" s="149"/>
      <c r="S95" s="115">
        <f t="shared" si="9"/>
        <v>999000</v>
      </c>
    </row>
    <row r="96" spans="1:20" ht="27.75" customHeight="1">
      <c r="A96" s="23" t="s">
        <v>61</v>
      </c>
      <c r="B96" s="29" t="s">
        <v>72</v>
      </c>
      <c r="C96" s="39">
        <v>249700</v>
      </c>
      <c r="D96" s="58"/>
      <c r="E96" s="58">
        <v>249700</v>
      </c>
      <c r="F96" s="58"/>
      <c r="G96" s="58">
        <v>249700</v>
      </c>
      <c r="H96" s="58"/>
      <c r="I96" s="58">
        <v>249700</v>
      </c>
      <c r="J96" s="58"/>
      <c r="K96" s="58">
        <v>249700</v>
      </c>
      <c r="L96" s="58"/>
      <c r="M96" s="58">
        <v>249700</v>
      </c>
      <c r="N96" s="58"/>
      <c r="O96" s="115">
        <f t="shared" si="15"/>
        <v>249700</v>
      </c>
      <c r="P96" s="115"/>
      <c r="Q96" s="115">
        <f t="shared" si="0"/>
        <v>249700</v>
      </c>
      <c r="R96" s="149"/>
      <c r="S96" s="115">
        <f t="shared" si="9"/>
        <v>249700</v>
      </c>
    </row>
    <row r="97" spans="1:20" ht="25.5" customHeight="1">
      <c r="A97" s="23" t="s">
        <v>62</v>
      </c>
      <c r="B97" s="29" t="s">
        <v>72</v>
      </c>
      <c r="C97" s="39">
        <v>1012500</v>
      </c>
      <c r="D97" s="58"/>
      <c r="E97" s="58">
        <v>1012500</v>
      </c>
      <c r="F97" s="58"/>
      <c r="G97" s="58">
        <v>1012500</v>
      </c>
      <c r="H97" s="58"/>
      <c r="I97" s="58">
        <v>1012500</v>
      </c>
      <c r="J97" s="58"/>
      <c r="K97" s="58">
        <v>1012500</v>
      </c>
      <c r="L97" s="58"/>
      <c r="M97" s="58">
        <v>1012500</v>
      </c>
      <c r="N97" s="58"/>
      <c r="O97" s="115">
        <f t="shared" si="15"/>
        <v>1012500</v>
      </c>
      <c r="P97" s="115"/>
      <c r="Q97" s="115">
        <f t="shared" si="0"/>
        <v>1012500</v>
      </c>
      <c r="R97" s="149"/>
      <c r="S97" s="115">
        <f t="shared" si="9"/>
        <v>1012500</v>
      </c>
    </row>
    <row r="98" spans="1:20" ht="38.25" customHeight="1">
      <c r="A98" s="23" t="s">
        <v>63</v>
      </c>
      <c r="B98" s="29" t="s">
        <v>72</v>
      </c>
      <c r="C98" s="39">
        <v>10000</v>
      </c>
      <c r="D98" s="58"/>
      <c r="E98" s="58">
        <v>10000</v>
      </c>
      <c r="F98" s="58"/>
      <c r="G98" s="58">
        <v>10000</v>
      </c>
      <c r="H98" s="58"/>
      <c r="I98" s="58">
        <v>10000</v>
      </c>
      <c r="J98" s="58"/>
      <c r="K98" s="58">
        <v>10000</v>
      </c>
      <c r="L98" s="58"/>
      <c r="M98" s="58">
        <v>10000</v>
      </c>
      <c r="N98" s="58"/>
      <c r="O98" s="115">
        <f t="shared" si="15"/>
        <v>10000</v>
      </c>
      <c r="P98" s="115"/>
      <c r="Q98" s="115">
        <f t="shared" si="0"/>
        <v>10000</v>
      </c>
      <c r="R98" s="149"/>
      <c r="S98" s="115">
        <f t="shared" si="9"/>
        <v>10000</v>
      </c>
    </row>
    <row r="99" spans="1:20" ht="27" customHeight="1">
      <c r="A99" s="23" t="s">
        <v>64</v>
      </c>
      <c r="B99" s="29" t="s">
        <v>72</v>
      </c>
      <c r="C99" s="39">
        <v>25000</v>
      </c>
      <c r="D99" s="58"/>
      <c r="E99" s="58">
        <v>25000</v>
      </c>
      <c r="F99" s="58"/>
      <c r="G99" s="58">
        <v>25000</v>
      </c>
      <c r="H99" s="58"/>
      <c r="I99" s="58">
        <v>25000</v>
      </c>
      <c r="J99" s="58"/>
      <c r="K99" s="58">
        <v>25000</v>
      </c>
      <c r="L99" s="58"/>
      <c r="M99" s="58">
        <v>25000</v>
      </c>
      <c r="N99" s="58"/>
      <c r="O99" s="115">
        <f t="shared" si="15"/>
        <v>25000</v>
      </c>
      <c r="P99" s="115"/>
      <c r="Q99" s="115">
        <f t="shared" si="0"/>
        <v>25000</v>
      </c>
      <c r="R99" s="149"/>
      <c r="S99" s="115">
        <f t="shared" si="9"/>
        <v>25000</v>
      </c>
    </row>
    <row r="100" spans="1:20" ht="39" customHeight="1">
      <c r="A100" s="73" t="s">
        <v>113</v>
      </c>
      <c r="B100" s="29" t="s">
        <v>72</v>
      </c>
      <c r="C100" s="39">
        <v>6586100</v>
      </c>
      <c r="D100" s="58">
        <v>38</v>
      </c>
      <c r="E100" s="58">
        <f>C100+D100</f>
        <v>6586138</v>
      </c>
      <c r="F100" s="58"/>
      <c r="G100" s="58">
        <v>6586138</v>
      </c>
      <c r="H100" s="58"/>
      <c r="I100" s="58">
        <v>6586138</v>
      </c>
      <c r="J100" s="58"/>
      <c r="K100" s="58">
        <v>6586138</v>
      </c>
      <c r="L100" s="58"/>
      <c r="M100" s="58">
        <v>6586138</v>
      </c>
      <c r="N100" s="58">
        <v>0</v>
      </c>
      <c r="O100" s="115">
        <f>SUM(M100:N100)</f>
        <v>6586138</v>
      </c>
      <c r="P100" s="115">
        <f>-755498-405440</f>
        <v>-1160938</v>
      </c>
      <c r="Q100" s="115">
        <f t="shared" si="0"/>
        <v>5425200</v>
      </c>
      <c r="R100" s="149"/>
      <c r="S100" s="115">
        <f t="shared" si="9"/>
        <v>5425200</v>
      </c>
    </row>
    <row r="101" spans="1:20" ht="39" customHeight="1">
      <c r="A101" s="23" t="s">
        <v>77</v>
      </c>
      <c r="B101" s="32" t="s">
        <v>73</v>
      </c>
      <c r="C101" s="39">
        <v>9352700</v>
      </c>
      <c r="D101" s="58"/>
      <c r="E101" s="58">
        <v>9352700</v>
      </c>
      <c r="F101" s="58"/>
      <c r="G101" s="58">
        <v>9352700</v>
      </c>
      <c r="H101" s="58"/>
      <c r="I101" s="58">
        <v>9352700</v>
      </c>
      <c r="J101" s="58"/>
      <c r="K101" s="58">
        <v>9352700</v>
      </c>
      <c r="L101" s="58"/>
      <c r="M101" s="58">
        <v>9352700</v>
      </c>
      <c r="N101" s="58"/>
      <c r="O101" s="115">
        <f t="shared" si="15"/>
        <v>9352700</v>
      </c>
      <c r="P101" s="115">
        <v>8700</v>
      </c>
      <c r="Q101" s="115">
        <f t="shared" si="0"/>
        <v>9361400</v>
      </c>
      <c r="R101" s="149"/>
      <c r="S101" s="115">
        <f t="shared" si="9"/>
        <v>9361400</v>
      </c>
    </row>
    <row r="102" spans="1:20" ht="39" customHeight="1" thickBot="1">
      <c r="A102" s="23" t="s">
        <v>90</v>
      </c>
      <c r="B102" s="32" t="s">
        <v>84</v>
      </c>
      <c r="C102" s="39">
        <v>3328900</v>
      </c>
      <c r="D102" s="58">
        <v>11.6</v>
      </c>
      <c r="E102" s="58">
        <f>C102+D102</f>
        <v>3328911.6</v>
      </c>
      <c r="F102" s="58"/>
      <c r="G102" s="58">
        <v>3328911.6</v>
      </c>
      <c r="H102" s="58"/>
      <c r="I102" s="58">
        <v>3328911.6</v>
      </c>
      <c r="J102" s="58"/>
      <c r="K102" s="58">
        <v>3328911.6</v>
      </c>
      <c r="L102" s="58"/>
      <c r="M102" s="58">
        <v>3328911.6</v>
      </c>
      <c r="N102" s="58"/>
      <c r="O102" s="115">
        <f t="shared" si="15"/>
        <v>3328911.6</v>
      </c>
      <c r="P102" s="185">
        <f>1073525.51+119280.61</f>
        <v>1192806.1200000001</v>
      </c>
      <c r="Q102" s="115">
        <f t="shared" ref="Q102:Q131" si="16">P102+O102</f>
        <v>4521717.7200000007</v>
      </c>
      <c r="R102" s="149"/>
      <c r="S102" s="115">
        <f t="shared" si="9"/>
        <v>4521717.7200000007</v>
      </c>
    </row>
    <row r="103" spans="1:20" ht="39" customHeight="1" thickBot="1">
      <c r="A103" s="23" t="s">
        <v>59</v>
      </c>
      <c r="B103" s="27" t="s">
        <v>69</v>
      </c>
      <c r="C103" s="39">
        <v>2180400</v>
      </c>
      <c r="D103" s="58"/>
      <c r="E103" s="58">
        <v>2180400</v>
      </c>
      <c r="F103" s="58"/>
      <c r="G103" s="58">
        <v>2180400</v>
      </c>
      <c r="H103" s="58"/>
      <c r="I103" s="58">
        <v>2180400</v>
      </c>
      <c r="J103" s="58"/>
      <c r="K103" s="58">
        <v>2180400</v>
      </c>
      <c r="L103" s="58"/>
      <c r="M103" s="58">
        <v>2180400</v>
      </c>
      <c r="N103" s="58"/>
      <c r="O103" s="183">
        <f t="shared" si="15"/>
        <v>2180400</v>
      </c>
      <c r="P103" s="188">
        <f>2615700-O103</f>
        <v>435300</v>
      </c>
      <c r="Q103" s="184">
        <f t="shared" si="16"/>
        <v>2615700</v>
      </c>
      <c r="R103" s="150"/>
      <c r="S103" s="115">
        <f t="shared" si="9"/>
        <v>2615700</v>
      </c>
    </row>
    <row r="104" spans="1:20" s="26" customFormat="1" ht="39" customHeight="1">
      <c r="A104" s="57" t="s">
        <v>112</v>
      </c>
      <c r="B104" s="29" t="s">
        <v>111</v>
      </c>
      <c r="C104" s="39">
        <v>140600</v>
      </c>
      <c r="D104" s="58"/>
      <c r="E104" s="58">
        <v>140600</v>
      </c>
      <c r="F104" s="58"/>
      <c r="G104" s="58">
        <v>140600</v>
      </c>
      <c r="H104" s="58"/>
      <c r="I104" s="58">
        <v>140600</v>
      </c>
      <c r="J104" s="58"/>
      <c r="K104" s="58">
        <v>140600</v>
      </c>
      <c r="L104" s="58"/>
      <c r="M104" s="58">
        <v>140600</v>
      </c>
      <c r="N104" s="58"/>
      <c r="O104" s="115">
        <f t="shared" si="15"/>
        <v>140600</v>
      </c>
      <c r="P104" s="186"/>
      <c r="Q104" s="115">
        <f t="shared" si="16"/>
        <v>140600</v>
      </c>
      <c r="R104" s="149"/>
      <c r="S104" s="115">
        <f t="shared" si="9"/>
        <v>140600</v>
      </c>
      <c r="T104" s="172"/>
    </row>
    <row r="105" spans="1:20" ht="39.75" customHeight="1">
      <c r="A105" s="23" t="s">
        <v>65</v>
      </c>
      <c r="B105" s="32" t="s">
        <v>83</v>
      </c>
      <c r="C105" s="39">
        <v>2635400</v>
      </c>
      <c r="D105" s="58">
        <v>42.28</v>
      </c>
      <c r="E105" s="58">
        <f>C105+D105</f>
        <v>2635442.2799999998</v>
      </c>
      <c r="F105" s="58"/>
      <c r="G105" s="58">
        <v>2635442.2799999998</v>
      </c>
      <c r="H105" s="58"/>
      <c r="I105" s="58">
        <v>2635442.2799999998</v>
      </c>
      <c r="J105" s="58"/>
      <c r="K105" s="58">
        <v>2635442.2799999998</v>
      </c>
      <c r="L105" s="58"/>
      <c r="M105" s="58">
        <v>2635442.2799999998</v>
      </c>
      <c r="N105" s="58"/>
      <c r="O105" s="115">
        <f t="shared" si="15"/>
        <v>2635442.2799999998</v>
      </c>
      <c r="P105" s="115"/>
      <c r="Q105" s="115">
        <f t="shared" si="16"/>
        <v>2635442.2799999998</v>
      </c>
      <c r="R105" s="149"/>
      <c r="S105" s="115">
        <f t="shared" si="9"/>
        <v>2635442.2799999998</v>
      </c>
    </row>
    <row r="106" spans="1:20" ht="15.75" customHeight="1">
      <c r="A106" s="33" t="s">
        <v>79</v>
      </c>
      <c r="B106" s="32" t="s">
        <v>83</v>
      </c>
      <c r="C106" s="39">
        <v>505844700</v>
      </c>
      <c r="D106" s="58"/>
      <c r="E106" s="58">
        <v>505844700</v>
      </c>
      <c r="F106" s="58"/>
      <c r="G106" s="58">
        <v>505844700</v>
      </c>
      <c r="H106" s="58">
        <v>10737200</v>
      </c>
      <c r="I106" s="58">
        <f>505844700+H106</f>
        <v>516581900</v>
      </c>
      <c r="J106" s="58"/>
      <c r="K106" s="58">
        <f>I106</f>
        <v>516581900</v>
      </c>
      <c r="L106" s="58"/>
      <c r="M106" s="58">
        <f>K106</f>
        <v>516581900</v>
      </c>
      <c r="N106" s="58">
        <v>0</v>
      </c>
      <c r="O106" s="115">
        <f t="shared" si="15"/>
        <v>516581900</v>
      </c>
      <c r="P106" s="115">
        <v>4941800</v>
      </c>
      <c r="Q106" s="115">
        <f t="shared" si="16"/>
        <v>521523700</v>
      </c>
      <c r="R106" s="149"/>
      <c r="S106" s="115">
        <f t="shared" si="9"/>
        <v>521523700</v>
      </c>
    </row>
    <row r="107" spans="1:20" s="30" customFormat="1" ht="25.5" customHeight="1">
      <c r="A107" s="7" t="s">
        <v>66</v>
      </c>
      <c r="B107" s="34" t="s">
        <v>85</v>
      </c>
      <c r="C107" s="46">
        <f>SUM(C111:C120)</f>
        <v>47972800</v>
      </c>
      <c r="D107" s="61">
        <f>SUM(D109:D112)</f>
        <v>55467.12</v>
      </c>
      <c r="E107" s="61">
        <f>SUM(E108:E112)</f>
        <v>48028267.119999997</v>
      </c>
      <c r="F107" s="61">
        <f>SUM(F108:F112)</f>
        <v>47300</v>
      </c>
      <c r="G107" s="61">
        <f>SUM(G108:G112)</f>
        <v>48075567.119999997</v>
      </c>
      <c r="H107" s="61">
        <f>SUM(H108:H115)</f>
        <v>2497096</v>
      </c>
      <c r="I107" s="61">
        <f>SUM(I108:I115)</f>
        <v>50572663.119999997</v>
      </c>
      <c r="J107" s="61">
        <f>SUM(J108:J115)</f>
        <v>1917</v>
      </c>
      <c r="K107" s="61">
        <f>SUM(K108:K115)</f>
        <v>50574580.119999997</v>
      </c>
      <c r="L107" s="61">
        <f>SUM(L108:L115)</f>
        <v>0</v>
      </c>
      <c r="M107" s="61">
        <f>SUM(M108:M119)</f>
        <v>50574580.119999997</v>
      </c>
      <c r="N107" s="61">
        <f>SUM(N108:N119)</f>
        <v>0</v>
      </c>
      <c r="O107" s="117">
        <f>SUM(O108:O119)</f>
        <v>50574580.119999997</v>
      </c>
      <c r="P107" s="117">
        <f>SUM(P108:P119)</f>
        <v>2439727.1399999997</v>
      </c>
      <c r="Q107" s="110">
        <f t="shared" si="16"/>
        <v>53014307.259999998</v>
      </c>
      <c r="R107" s="144">
        <f>SUM(R108:R119)</f>
        <v>4736341.3</v>
      </c>
      <c r="S107" s="110">
        <f>R107+Q107</f>
        <v>57750648.559999995</v>
      </c>
      <c r="T107" s="168"/>
    </row>
    <row r="108" spans="1:20" s="30" customFormat="1" ht="38.25" customHeight="1">
      <c r="A108" s="78" t="s">
        <v>129</v>
      </c>
      <c r="B108" s="79" t="s">
        <v>117</v>
      </c>
      <c r="C108" s="46"/>
      <c r="D108" s="61"/>
      <c r="E108" s="61"/>
      <c r="F108" s="58">
        <v>30000</v>
      </c>
      <c r="G108" s="58">
        <f>F108</f>
        <v>30000</v>
      </c>
      <c r="H108" s="58"/>
      <c r="I108" s="58">
        <v>30000</v>
      </c>
      <c r="J108" s="58"/>
      <c r="K108" s="58">
        <v>30000</v>
      </c>
      <c r="L108" s="58"/>
      <c r="M108" s="58">
        <v>30000</v>
      </c>
      <c r="N108" s="58"/>
      <c r="O108" s="115">
        <f>SUM(M108:N108)</f>
        <v>30000</v>
      </c>
      <c r="P108" s="115"/>
      <c r="Q108" s="115">
        <f t="shared" si="16"/>
        <v>30000</v>
      </c>
      <c r="R108" s="149"/>
      <c r="S108" s="115">
        <f t="shared" si="9"/>
        <v>30000</v>
      </c>
      <c r="T108" s="176"/>
    </row>
    <row r="109" spans="1:20" s="30" customFormat="1" ht="38.25" customHeight="1">
      <c r="A109" s="78" t="s">
        <v>116</v>
      </c>
      <c r="B109" s="79" t="s">
        <v>117</v>
      </c>
      <c r="C109" s="46"/>
      <c r="D109" s="58">
        <v>55467</v>
      </c>
      <c r="E109" s="58">
        <f>D109</f>
        <v>55467</v>
      </c>
      <c r="F109" s="58">
        <v>17300</v>
      </c>
      <c r="G109" s="58">
        <f>55467+F109</f>
        <v>72767</v>
      </c>
      <c r="H109" s="58">
        <v>496</v>
      </c>
      <c r="I109" s="58">
        <f>72767+H109</f>
        <v>73263</v>
      </c>
      <c r="J109" s="58">
        <v>1917</v>
      </c>
      <c r="K109" s="58">
        <f>I109+J109</f>
        <v>75180</v>
      </c>
      <c r="L109" s="58"/>
      <c r="M109" s="58">
        <v>75180</v>
      </c>
      <c r="N109" s="58"/>
      <c r="O109" s="115">
        <f t="shared" ref="O109:O121" si="17">SUM(M109:N109)</f>
        <v>75180</v>
      </c>
      <c r="P109" s="115"/>
      <c r="Q109" s="115">
        <f t="shared" si="16"/>
        <v>75180</v>
      </c>
      <c r="R109" s="149"/>
      <c r="S109" s="115">
        <f t="shared" si="9"/>
        <v>75180</v>
      </c>
      <c r="T109" s="171"/>
    </row>
    <row r="110" spans="1:20" s="30" customFormat="1" ht="65.25" customHeight="1">
      <c r="A110" s="93" t="s">
        <v>154</v>
      </c>
      <c r="B110" s="17" t="s">
        <v>86</v>
      </c>
      <c r="C110" s="46"/>
      <c r="D110" s="58"/>
      <c r="E110" s="58"/>
      <c r="F110" s="58"/>
      <c r="G110" s="58"/>
      <c r="H110" s="58"/>
      <c r="I110" s="58"/>
      <c r="J110" s="58"/>
      <c r="K110" s="58"/>
      <c r="L110" s="58"/>
      <c r="M110" s="58">
        <f>L110</f>
        <v>0</v>
      </c>
      <c r="N110" s="58">
        <v>0</v>
      </c>
      <c r="O110" s="115">
        <f t="shared" si="17"/>
        <v>0</v>
      </c>
      <c r="P110" s="115">
        <f>1102881.98-14995.84</f>
        <v>1087886.1399999999</v>
      </c>
      <c r="Q110" s="115">
        <f t="shared" si="16"/>
        <v>1087886.1399999999</v>
      </c>
      <c r="R110" s="149">
        <f>185141.3+45600</f>
        <v>230741.3</v>
      </c>
      <c r="S110" s="115">
        <f t="shared" si="9"/>
        <v>1318627.44</v>
      </c>
      <c r="T110" s="177"/>
    </row>
    <row r="111" spans="1:20" ht="54" customHeight="1">
      <c r="A111" s="74" t="s">
        <v>114</v>
      </c>
      <c r="B111" s="17" t="s">
        <v>86</v>
      </c>
      <c r="C111" s="39">
        <v>47820400</v>
      </c>
      <c r="D111" s="58"/>
      <c r="E111" s="58">
        <v>47820400</v>
      </c>
      <c r="F111" s="58"/>
      <c r="G111" s="58">
        <v>47820400</v>
      </c>
      <c r="H111" s="58"/>
      <c r="I111" s="58">
        <v>47820400</v>
      </c>
      <c r="J111" s="58"/>
      <c r="K111" s="58">
        <v>47820400</v>
      </c>
      <c r="L111" s="58"/>
      <c r="M111" s="58">
        <v>47820400</v>
      </c>
      <c r="N111" s="58"/>
      <c r="O111" s="115">
        <f t="shared" si="17"/>
        <v>47820400</v>
      </c>
      <c r="P111" s="115"/>
      <c r="Q111" s="115">
        <f t="shared" si="16"/>
        <v>47820400</v>
      </c>
      <c r="R111" s="149"/>
      <c r="S111" s="115">
        <f t="shared" si="9"/>
        <v>47820400</v>
      </c>
      <c r="T111" s="169" t="s">
        <v>182</v>
      </c>
    </row>
    <row r="112" spans="1:20" ht="40.5" customHeight="1">
      <c r="A112" s="35" t="s">
        <v>91</v>
      </c>
      <c r="B112" s="17" t="s">
        <v>86</v>
      </c>
      <c r="C112" s="85">
        <v>152400</v>
      </c>
      <c r="D112" s="64">
        <v>0.12</v>
      </c>
      <c r="E112" s="64">
        <f>C112+D112</f>
        <v>152400.12</v>
      </c>
      <c r="F112" s="64"/>
      <c r="G112" s="64">
        <v>152400.12</v>
      </c>
      <c r="H112" s="64"/>
      <c r="I112" s="64">
        <v>152400.12</v>
      </c>
      <c r="J112" s="64"/>
      <c r="K112" s="64">
        <v>152400.12</v>
      </c>
      <c r="L112" s="64"/>
      <c r="M112" s="64">
        <v>152400.12</v>
      </c>
      <c r="N112" s="64"/>
      <c r="O112" s="115">
        <f t="shared" si="17"/>
        <v>152400.12</v>
      </c>
      <c r="P112" s="118"/>
      <c r="Q112" s="115">
        <f t="shared" si="16"/>
        <v>152400.12</v>
      </c>
      <c r="R112" s="151"/>
      <c r="S112" s="115">
        <f t="shared" si="9"/>
        <v>152400.12</v>
      </c>
    </row>
    <row r="113" spans="1:23" ht="80.25" customHeight="1">
      <c r="A113" s="65" t="s">
        <v>172</v>
      </c>
      <c r="B113" s="137" t="s">
        <v>86</v>
      </c>
      <c r="C113" s="85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115"/>
      <c r="P113" s="118"/>
      <c r="Q113" s="115"/>
      <c r="R113" s="151">
        <v>3784200</v>
      </c>
      <c r="S113" s="115">
        <f t="shared" si="9"/>
        <v>3784200</v>
      </c>
    </row>
    <row r="114" spans="1:23" ht="40.5" customHeight="1">
      <c r="A114" s="65" t="s">
        <v>173</v>
      </c>
      <c r="B114" s="137" t="s">
        <v>86</v>
      </c>
      <c r="C114" s="85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115"/>
      <c r="P114" s="118"/>
      <c r="Q114" s="115"/>
      <c r="R114" s="151">
        <v>105000</v>
      </c>
      <c r="S114" s="115">
        <f t="shared" si="9"/>
        <v>105000</v>
      </c>
    </row>
    <row r="115" spans="1:23" ht="38.25" customHeight="1">
      <c r="A115" s="65" t="s">
        <v>139</v>
      </c>
      <c r="B115" s="17" t="s">
        <v>86</v>
      </c>
      <c r="C115" s="85"/>
      <c r="D115" s="64"/>
      <c r="E115" s="64"/>
      <c r="F115" s="64"/>
      <c r="G115" s="64"/>
      <c r="H115" s="64">
        <v>2496600</v>
      </c>
      <c r="I115" s="64">
        <f>H115</f>
        <v>2496600</v>
      </c>
      <c r="J115" s="64"/>
      <c r="K115" s="64">
        <f>I115</f>
        <v>2496600</v>
      </c>
      <c r="L115" s="64"/>
      <c r="M115" s="64">
        <f>K115</f>
        <v>2496600</v>
      </c>
      <c r="N115" s="64"/>
      <c r="O115" s="115">
        <f t="shared" si="17"/>
        <v>2496600</v>
      </c>
      <c r="P115" s="118"/>
      <c r="Q115" s="115">
        <f t="shared" si="16"/>
        <v>2496600</v>
      </c>
      <c r="R115" s="151"/>
      <c r="S115" s="115">
        <f t="shared" si="9"/>
        <v>2496600</v>
      </c>
    </row>
    <row r="116" spans="1:23" ht="45.75" customHeight="1">
      <c r="A116" s="65" t="s">
        <v>153</v>
      </c>
      <c r="B116" s="17" t="s">
        <v>86</v>
      </c>
      <c r="C116" s="85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0</v>
      </c>
      <c r="O116" s="115">
        <f t="shared" si="17"/>
        <v>0</v>
      </c>
      <c r="P116" s="118">
        <v>900000</v>
      </c>
      <c r="Q116" s="115">
        <f t="shared" si="16"/>
        <v>900000</v>
      </c>
      <c r="R116" s="151"/>
      <c r="S116" s="115">
        <f t="shared" si="9"/>
        <v>900000</v>
      </c>
    </row>
    <row r="117" spans="1:23" ht="38.25" customHeight="1">
      <c r="A117" s="65" t="s">
        <v>155</v>
      </c>
      <c r="B117" s="17" t="s">
        <v>86</v>
      </c>
      <c r="C117" s="85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>
        <v>0</v>
      </c>
      <c r="O117" s="115">
        <f t="shared" si="17"/>
        <v>0</v>
      </c>
      <c r="P117" s="118">
        <v>250000</v>
      </c>
      <c r="Q117" s="115">
        <f t="shared" si="16"/>
        <v>250000</v>
      </c>
      <c r="R117" s="151"/>
      <c r="S117" s="115">
        <f t="shared" si="9"/>
        <v>250000</v>
      </c>
    </row>
    <row r="118" spans="1:23" ht="38.25" customHeight="1">
      <c r="A118" s="65" t="s">
        <v>174</v>
      </c>
      <c r="B118" s="17" t="s">
        <v>86</v>
      </c>
      <c r="C118" s="85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115"/>
      <c r="P118" s="118"/>
      <c r="Q118" s="115"/>
      <c r="R118" s="151">
        <v>616400</v>
      </c>
      <c r="S118" s="115">
        <f t="shared" si="9"/>
        <v>616400</v>
      </c>
    </row>
    <row r="119" spans="1:23" ht="38.25" customHeight="1">
      <c r="A119" s="65" t="s">
        <v>156</v>
      </c>
      <c r="B119" s="17" t="s">
        <v>86</v>
      </c>
      <c r="C119" s="85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0</v>
      </c>
      <c r="O119" s="115">
        <f t="shared" si="17"/>
        <v>0</v>
      </c>
      <c r="P119" s="118">
        <v>201841</v>
      </c>
      <c r="Q119" s="115">
        <f t="shared" si="16"/>
        <v>201841</v>
      </c>
      <c r="R119" s="151"/>
      <c r="S119" s="115">
        <f t="shared" si="9"/>
        <v>201841</v>
      </c>
    </row>
    <row r="120" spans="1:23" s="68" customFormat="1" ht="19.5" customHeight="1">
      <c r="A120" s="80" t="s">
        <v>99</v>
      </c>
      <c r="B120" s="160" t="s">
        <v>100</v>
      </c>
      <c r="C120" s="161">
        <f>C121</f>
        <v>0</v>
      </c>
      <c r="D120" s="161">
        <f>D121</f>
        <v>0</v>
      </c>
      <c r="E120" s="162">
        <f>SUM(C120:D120)</f>
        <v>0</v>
      </c>
      <c r="F120" s="161">
        <f>F121</f>
        <v>6108454</v>
      </c>
      <c r="G120" s="162">
        <f>SUM(E120:F120)</f>
        <v>6108454</v>
      </c>
      <c r="H120" s="161">
        <f>H121</f>
        <v>0</v>
      </c>
      <c r="I120" s="162">
        <f>SUM(G120:H120)</f>
        <v>6108454</v>
      </c>
      <c r="J120" s="161">
        <f>J121</f>
        <v>0</v>
      </c>
      <c r="K120" s="162">
        <f>SUM(I120:J120)</f>
        <v>6108454</v>
      </c>
      <c r="L120" s="161">
        <f>L121</f>
        <v>0</v>
      </c>
      <c r="M120" s="162">
        <f>SUM(K120:L120)</f>
        <v>6108454</v>
      </c>
      <c r="N120" s="161">
        <f>N121</f>
        <v>0</v>
      </c>
      <c r="O120" s="158">
        <f>O121</f>
        <v>6108454</v>
      </c>
      <c r="P120" s="158">
        <f t="shared" ref="P120:R120" si="18">P121</f>
        <v>-131869.19000000041</v>
      </c>
      <c r="Q120" s="158">
        <f t="shared" si="16"/>
        <v>5976584.8099999996</v>
      </c>
      <c r="R120" s="163">
        <f t="shared" si="18"/>
        <v>0</v>
      </c>
      <c r="S120" s="158">
        <f t="shared" si="9"/>
        <v>5976584.8099999996</v>
      </c>
      <c r="T120" s="172"/>
      <c r="U120" s="26"/>
      <c r="V120" s="26"/>
      <c r="W120" s="26"/>
    </row>
    <row r="121" spans="1:23" ht="25.5" customHeight="1">
      <c r="A121" s="81" t="s">
        <v>101</v>
      </c>
      <c r="B121" s="69" t="s">
        <v>102</v>
      </c>
      <c r="C121" s="70"/>
      <c r="D121" s="70"/>
      <c r="E121" s="64">
        <f>SUM(C121:D121)</f>
        <v>0</v>
      </c>
      <c r="F121" s="70">
        <f>6108454</f>
        <v>6108454</v>
      </c>
      <c r="G121" s="64">
        <f>SUM(E121:F121)</f>
        <v>6108454</v>
      </c>
      <c r="H121" s="70"/>
      <c r="I121" s="64">
        <v>6108454</v>
      </c>
      <c r="J121" s="70"/>
      <c r="K121" s="64">
        <v>6108454</v>
      </c>
      <c r="L121" s="70"/>
      <c r="M121" s="64">
        <v>6108454</v>
      </c>
      <c r="N121" s="70">
        <v>0</v>
      </c>
      <c r="O121" s="115">
        <f t="shared" si="17"/>
        <v>6108454</v>
      </c>
      <c r="P121" s="120">
        <f>5976584.81-O121</f>
        <v>-131869.19000000041</v>
      </c>
      <c r="Q121" s="115">
        <f t="shared" si="16"/>
        <v>5976584.8099999996</v>
      </c>
      <c r="R121" s="152">
        <f>5976584.81-Q121</f>
        <v>0</v>
      </c>
      <c r="S121" s="115">
        <f t="shared" si="9"/>
        <v>5976584.8099999996</v>
      </c>
      <c r="T121" s="172"/>
      <c r="U121" s="26"/>
      <c r="V121" s="26"/>
      <c r="W121" s="26"/>
    </row>
    <row r="122" spans="1:23" s="68" customFormat="1" ht="39.75" customHeight="1">
      <c r="A122" s="80" t="s">
        <v>103</v>
      </c>
      <c r="B122" s="71" t="s">
        <v>104</v>
      </c>
      <c r="C122" s="66">
        <f t="shared" ref="C122:N122" si="19">SUM(C123:C125)</f>
        <v>0</v>
      </c>
      <c r="D122" s="66">
        <f t="shared" si="19"/>
        <v>2811200.03</v>
      </c>
      <c r="E122" s="67">
        <f t="shared" si="19"/>
        <v>2811200.03</v>
      </c>
      <c r="F122" s="66">
        <f t="shared" si="19"/>
        <v>-1058911.94</v>
      </c>
      <c r="G122" s="67">
        <f t="shared" si="19"/>
        <v>1752288.0899999999</v>
      </c>
      <c r="H122" s="66">
        <f t="shared" si="19"/>
        <v>0</v>
      </c>
      <c r="I122" s="67">
        <f t="shared" si="19"/>
        <v>1752288.0899999999</v>
      </c>
      <c r="J122" s="66">
        <f t="shared" si="19"/>
        <v>0</v>
      </c>
      <c r="K122" s="67">
        <f t="shared" si="19"/>
        <v>1752288.0899999999</v>
      </c>
      <c r="L122" s="66">
        <f t="shared" si="19"/>
        <v>0</v>
      </c>
      <c r="M122" s="67">
        <f t="shared" si="19"/>
        <v>1752288.0899999999</v>
      </c>
      <c r="N122" s="66">
        <f t="shared" si="19"/>
        <v>0</v>
      </c>
      <c r="O122" s="119">
        <f>SUM(O123:O125)</f>
        <v>1752288.0899999999</v>
      </c>
      <c r="P122" s="121">
        <f t="shared" ref="P122:R122" si="20">SUM(P123:P125)</f>
        <v>0</v>
      </c>
      <c r="Q122" s="158">
        <f t="shared" si="16"/>
        <v>1752288.0899999999</v>
      </c>
      <c r="R122" s="159">
        <f t="shared" si="20"/>
        <v>0</v>
      </c>
      <c r="S122" s="158">
        <f t="shared" si="9"/>
        <v>1752288.0899999999</v>
      </c>
      <c r="T122" s="177"/>
      <c r="U122" s="4"/>
      <c r="V122" s="4"/>
      <c r="W122" s="4"/>
    </row>
    <row r="123" spans="1:23" s="68" customFormat="1" ht="26.25" customHeight="1">
      <c r="A123" s="88" t="s">
        <v>130</v>
      </c>
      <c r="B123" s="86" t="s">
        <v>131</v>
      </c>
      <c r="C123" s="66"/>
      <c r="D123" s="66"/>
      <c r="E123" s="67"/>
      <c r="F123" s="70">
        <v>1136104.44</v>
      </c>
      <c r="G123" s="64">
        <f>SUM(E123:F123)</f>
        <v>1136104.44</v>
      </c>
      <c r="H123" s="70"/>
      <c r="I123" s="64">
        <v>1136104.44</v>
      </c>
      <c r="J123" s="70"/>
      <c r="K123" s="64">
        <v>1136104.44</v>
      </c>
      <c r="L123" s="70"/>
      <c r="M123" s="64">
        <v>1136104.44</v>
      </c>
      <c r="N123" s="70"/>
      <c r="O123" s="118">
        <f>SUM(M123:N123)</f>
        <v>1136104.44</v>
      </c>
      <c r="P123" s="120"/>
      <c r="Q123" s="118">
        <f t="shared" si="16"/>
        <v>1136104.44</v>
      </c>
      <c r="R123" s="152"/>
      <c r="S123" s="118">
        <f t="shared" si="9"/>
        <v>1136104.44</v>
      </c>
      <c r="T123" s="169"/>
      <c r="U123" s="4"/>
      <c r="V123" s="4"/>
      <c r="W123" s="4"/>
    </row>
    <row r="124" spans="1:23" s="68" customFormat="1" ht="26.25" customHeight="1">
      <c r="A124" s="57" t="s">
        <v>134</v>
      </c>
      <c r="B124" s="86" t="s">
        <v>133</v>
      </c>
      <c r="C124" s="66"/>
      <c r="D124" s="66"/>
      <c r="E124" s="67"/>
      <c r="F124" s="70">
        <v>1377.13</v>
      </c>
      <c r="G124" s="64">
        <f>SUM(E124:F124)</f>
        <v>1377.13</v>
      </c>
      <c r="H124" s="70"/>
      <c r="I124" s="64">
        <v>1377.13</v>
      </c>
      <c r="J124" s="70"/>
      <c r="K124" s="64">
        <v>1377.13</v>
      </c>
      <c r="L124" s="70"/>
      <c r="M124" s="64">
        <v>1377.13</v>
      </c>
      <c r="N124" s="70"/>
      <c r="O124" s="118">
        <f t="shared" ref="O124:O125" si="21">SUM(M124:N124)</f>
        <v>1377.13</v>
      </c>
      <c r="P124" s="120"/>
      <c r="Q124" s="118">
        <f t="shared" si="16"/>
        <v>1377.13</v>
      </c>
      <c r="R124" s="152"/>
      <c r="S124" s="118">
        <f t="shared" si="9"/>
        <v>1377.13</v>
      </c>
      <c r="T124" s="169"/>
      <c r="U124" s="4"/>
      <c r="V124" s="4"/>
      <c r="W124" s="4"/>
    </row>
    <row r="125" spans="1:23" ht="26.25" customHeight="1">
      <c r="A125" s="81" t="s">
        <v>105</v>
      </c>
      <c r="B125" s="59" t="s">
        <v>106</v>
      </c>
      <c r="C125" s="70"/>
      <c r="D125" s="70">
        <v>2811200.03</v>
      </c>
      <c r="E125" s="64">
        <f>D125</f>
        <v>2811200.03</v>
      </c>
      <c r="F125" s="70">
        <f>-1058911.94-1136104.44-1377.13</f>
        <v>-2196393.5099999998</v>
      </c>
      <c r="G125" s="64">
        <f>2811200.03+F125</f>
        <v>614806.52</v>
      </c>
      <c r="H125" s="70"/>
      <c r="I125" s="64">
        <v>614806.52</v>
      </c>
      <c r="J125" s="70"/>
      <c r="K125" s="64">
        <v>614806.52</v>
      </c>
      <c r="L125" s="70"/>
      <c r="M125" s="64">
        <v>614806.52</v>
      </c>
      <c r="N125" s="70"/>
      <c r="O125" s="118">
        <f t="shared" si="21"/>
        <v>614806.52</v>
      </c>
      <c r="P125" s="120"/>
      <c r="Q125" s="118">
        <f t="shared" si="16"/>
        <v>614806.52</v>
      </c>
      <c r="R125" s="152"/>
      <c r="S125" s="118">
        <f t="shared" si="9"/>
        <v>614806.52</v>
      </c>
    </row>
    <row r="126" spans="1:23" s="68" customFormat="1" ht="25.5" customHeight="1">
      <c r="A126" s="80" t="s">
        <v>107</v>
      </c>
      <c r="B126" s="71" t="s">
        <v>108</v>
      </c>
      <c r="C126" s="162">
        <f t="shared" ref="C126:I126" si="22">SUM(C127:C129)</f>
        <v>0</v>
      </c>
      <c r="D126" s="162">
        <f t="shared" si="22"/>
        <v>-2532287.4900000002</v>
      </c>
      <c r="E126" s="162">
        <f t="shared" si="22"/>
        <v>-2532287.4900000002</v>
      </c>
      <c r="F126" s="162">
        <f t="shared" si="22"/>
        <v>780000</v>
      </c>
      <c r="G126" s="162">
        <f t="shared" si="22"/>
        <v>-1752287.4900000002</v>
      </c>
      <c r="H126" s="162">
        <f t="shared" si="22"/>
        <v>0</v>
      </c>
      <c r="I126" s="162">
        <f t="shared" si="22"/>
        <v>-1752287.4899999998</v>
      </c>
      <c r="J126" s="162">
        <f t="shared" ref="J126:N126" si="23">SUM(J127:J129)</f>
        <v>0</v>
      </c>
      <c r="K126" s="162">
        <f t="shared" si="23"/>
        <v>-1752287.4899999998</v>
      </c>
      <c r="L126" s="162">
        <f t="shared" si="23"/>
        <v>0</v>
      </c>
      <c r="M126" s="162">
        <f t="shared" si="23"/>
        <v>-1752287.4899999998</v>
      </c>
      <c r="N126" s="162">
        <f t="shared" si="23"/>
        <v>0</v>
      </c>
      <c r="O126" s="158">
        <f>SUM(O127:O129)</f>
        <v>-1752287.4899999998</v>
      </c>
      <c r="P126" s="158">
        <f t="shared" ref="P126:R126" si="24">SUM(P127:P129)</f>
        <v>0</v>
      </c>
      <c r="Q126" s="158">
        <f t="shared" si="16"/>
        <v>-1752287.4899999998</v>
      </c>
      <c r="R126" s="163">
        <f t="shared" si="24"/>
        <v>-29833.25</v>
      </c>
      <c r="S126" s="158">
        <f t="shared" si="9"/>
        <v>-1782120.7399999998</v>
      </c>
      <c r="T126" s="177"/>
      <c r="U126" s="4"/>
      <c r="V126" s="4"/>
      <c r="W126" s="4"/>
    </row>
    <row r="127" spans="1:23" s="68" customFormat="1" ht="25.5" customHeight="1">
      <c r="A127" s="57" t="s">
        <v>137</v>
      </c>
      <c r="B127" s="86" t="s">
        <v>136</v>
      </c>
      <c r="C127" s="66"/>
      <c r="D127" s="66"/>
      <c r="E127" s="67"/>
      <c r="F127" s="70">
        <f>-1136104.44</f>
        <v>-1136104.44</v>
      </c>
      <c r="G127" s="64">
        <f>SUM(E127:F127)</f>
        <v>-1136104.44</v>
      </c>
      <c r="H127" s="70"/>
      <c r="I127" s="64">
        <v>-1136104.44</v>
      </c>
      <c r="J127" s="70"/>
      <c r="K127" s="64">
        <v>-1136104.44</v>
      </c>
      <c r="L127" s="70"/>
      <c r="M127" s="64">
        <v>-1136104.44</v>
      </c>
      <c r="N127" s="70"/>
      <c r="O127" s="118">
        <f>SUM(M127:N127)</f>
        <v>-1136104.44</v>
      </c>
      <c r="P127" s="120"/>
      <c r="Q127" s="118">
        <f t="shared" si="16"/>
        <v>-1136104.44</v>
      </c>
      <c r="R127" s="152">
        <v>-29833.25</v>
      </c>
      <c r="S127" s="118">
        <f t="shared" si="9"/>
        <v>-1165937.69</v>
      </c>
      <c r="T127" s="169"/>
      <c r="U127" s="4"/>
      <c r="V127" s="4"/>
      <c r="W127" s="4"/>
    </row>
    <row r="128" spans="1:23" s="68" customFormat="1" ht="25.5" customHeight="1">
      <c r="A128" s="88" t="s">
        <v>135</v>
      </c>
      <c r="B128" s="86" t="s">
        <v>132</v>
      </c>
      <c r="C128" s="66"/>
      <c r="D128" s="66"/>
      <c r="E128" s="67"/>
      <c r="F128" s="70">
        <f>-1377.13</f>
        <v>-1377.13</v>
      </c>
      <c r="G128" s="64">
        <f>SUM(E128:F128)</f>
        <v>-1377.13</v>
      </c>
      <c r="H128" s="70"/>
      <c r="I128" s="64">
        <v>-1377.13</v>
      </c>
      <c r="J128" s="70"/>
      <c r="K128" s="64">
        <v>-1377.13</v>
      </c>
      <c r="L128" s="70"/>
      <c r="M128" s="64">
        <v>-1377.13</v>
      </c>
      <c r="N128" s="70"/>
      <c r="O128" s="118">
        <f t="shared" ref="O128:O129" si="25">SUM(M128:N128)</f>
        <v>-1377.13</v>
      </c>
      <c r="P128" s="120"/>
      <c r="Q128" s="118">
        <f t="shared" si="16"/>
        <v>-1377.13</v>
      </c>
      <c r="R128" s="152"/>
      <c r="S128" s="118">
        <f t="shared" si="9"/>
        <v>-1377.13</v>
      </c>
      <c r="T128" s="169"/>
      <c r="U128" s="4"/>
      <c r="V128" s="4"/>
      <c r="W128" s="4"/>
    </row>
    <row r="129" spans="1:23" ht="25.5" customHeight="1">
      <c r="A129" s="81" t="s">
        <v>109</v>
      </c>
      <c r="B129" s="69" t="s">
        <v>110</v>
      </c>
      <c r="C129" s="70"/>
      <c r="D129" s="70">
        <v>-2532287.4900000002</v>
      </c>
      <c r="E129" s="64">
        <f>D129</f>
        <v>-2532287.4900000002</v>
      </c>
      <c r="F129" s="70">
        <f>780000+1136104.44+1377.13</f>
        <v>1917481.5699999998</v>
      </c>
      <c r="G129" s="64">
        <f>-2532287.49+F129</f>
        <v>-614805.92000000039</v>
      </c>
      <c r="H129" s="70"/>
      <c r="I129" s="64">
        <v>-614805.92000000004</v>
      </c>
      <c r="J129" s="70"/>
      <c r="K129" s="64">
        <v>-614805.92000000004</v>
      </c>
      <c r="L129" s="70"/>
      <c r="M129" s="64">
        <v>-614805.92000000004</v>
      </c>
      <c r="N129" s="70"/>
      <c r="O129" s="118">
        <f t="shared" si="25"/>
        <v>-614805.92000000004</v>
      </c>
      <c r="P129" s="120"/>
      <c r="Q129" s="118">
        <f t="shared" si="16"/>
        <v>-614805.92000000004</v>
      </c>
      <c r="R129" s="152"/>
      <c r="S129" s="118">
        <f t="shared" si="9"/>
        <v>-614805.92000000004</v>
      </c>
    </row>
    <row r="130" spans="1:23" s="26" customFormat="1" ht="18.75" customHeight="1">
      <c r="A130" s="36" t="s">
        <v>68</v>
      </c>
      <c r="B130" s="19"/>
      <c r="C130" s="42">
        <f t="shared" ref="C130:P130" si="26">C57</f>
        <v>802378400</v>
      </c>
      <c r="D130" s="42">
        <f t="shared" si="26"/>
        <v>635371.53999999957</v>
      </c>
      <c r="E130" s="53">
        <f t="shared" si="26"/>
        <v>803013771.53999996</v>
      </c>
      <c r="F130" s="42">
        <f t="shared" si="26"/>
        <v>14518074.780000001</v>
      </c>
      <c r="G130" s="53">
        <f t="shared" si="26"/>
        <v>817531846.32000005</v>
      </c>
      <c r="H130" s="42">
        <f t="shared" si="26"/>
        <v>26329696</v>
      </c>
      <c r="I130" s="53">
        <f t="shared" si="26"/>
        <v>843861542.32000005</v>
      </c>
      <c r="J130" s="42">
        <f t="shared" si="26"/>
        <v>16199337.76</v>
      </c>
      <c r="K130" s="53">
        <f t="shared" si="26"/>
        <v>860060880.08000004</v>
      </c>
      <c r="L130" s="42">
        <f t="shared" si="26"/>
        <v>5756557</v>
      </c>
      <c r="M130" s="53">
        <f t="shared" si="26"/>
        <v>865817437.08000004</v>
      </c>
      <c r="N130" s="42">
        <f t="shared" si="26"/>
        <v>0</v>
      </c>
      <c r="O130" s="111">
        <f t="shared" si="26"/>
        <v>865817437.08000004</v>
      </c>
      <c r="P130" s="122">
        <f t="shared" si="26"/>
        <v>18767671.759999998</v>
      </c>
      <c r="Q130" s="164">
        <f t="shared" si="16"/>
        <v>884585108.84000003</v>
      </c>
      <c r="R130" s="165">
        <f t="shared" ref="R130" si="27">R57</f>
        <v>59227418.729999997</v>
      </c>
      <c r="S130" s="164">
        <f t="shared" si="9"/>
        <v>943812527.57000005</v>
      </c>
      <c r="T130" s="169"/>
      <c r="U130" s="4"/>
      <c r="V130" s="4"/>
      <c r="W130" s="4"/>
    </row>
    <row r="131" spans="1:23" s="26" customFormat="1" ht="18.75" customHeight="1">
      <c r="A131" s="36" t="s">
        <v>67</v>
      </c>
      <c r="B131" s="5"/>
      <c r="C131" s="49">
        <f t="shared" ref="C131:P131" si="28">C130+C31</f>
        <v>996459628</v>
      </c>
      <c r="D131" s="49">
        <f t="shared" si="28"/>
        <v>635371.53999999957</v>
      </c>
      <c r="E131" s="77">
        <f t="shared" si="28"/>
        <v>997094999.53999996</v>
      </c>
      <c r="F131" s="49">
        <f t="shared" si="28"/>
        <v>14518074.780000001</v>
      </c>
      <c r="G131" s="77">
        <f t="shared" si="28"/>
        <v>1011613074.3200001</v>
      </c>
      <c r="H131" s="49">
        <f t="shared" si="28"/>
        <v>26375579.41</v>
      </c>
      <c r="I131" s="77">
        <f t="shared" si="28"/>
        <v>1037988653.73</v>
      </c>
      <c r="J131" s="49">
        <f t="shared" si="28"/>
        <v>16199337.76</v>
      </c>
      <c r="K131" s="77">
        <f t="shared" si="28"/>
        <v>1054187991.49</v>
      </c>
      <c r="L131" s="49">
        <f t="shared" si="28"/>
        <v>5756557</v>
      </c>
      <c r="M131" s="77">
        <f t="shared" si="28"/>
        <v>1059944548.49</v>
      </c>
      <c r="N131" s="49">
        <f t="shared" si="28"/>
        <v>0</v>
      </c>
      <c r="O131" s="123">
        <f t="shared" si="28"/>
        <v>1059944548.49</v>
      </c>
      <c r="P131" s="124">
        <f t="shared" si="28"/>
        <v>55271671.759999998</v>
      </c>
      <c r="Q131" s="123">
        <f t="shared" si="16"/>
        <v>1115216220.25</v>
      </c>
      <c r="R131" s="153">
        <f>R130+R31</f>
        <v>64910283.559999995</v>
      </c>
      <c r="S131" s="123">
        <f t="shared" si="9"/>
        <v>1180126503.8099999</v>
      </c>
      <c r="T131" s="169"/>
      <c r="U131" s="4"/>
      <c r="V131" s="4"/>
      <c r="W131" s="4"/>
    </row>
    <row r="132" spans="1:23" ht="15.75" customHeight="1">
      <c r="C132" s="47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116"/>
      <c r="P132" s="116"/>
      <c r="Q132" s="116"/>
      <c r="R132" s="141"/>
      <c r="S132" s="116"/>
      <c r="T132" s="182"/>
    </row>
    <row r="133" spans="1:23" ht="15.75" customHeight="1"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125"/>
      <c r="P133" s="125"/>
      <c r="Q133" s="125"/>
      <c r="R133" s="154"/>
      <c r="S133" s="181"/>
      <c r="T133" s="182"/>
    </row>
    <row r="134" spans="1:23" ht="15.75" customHeight="1"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125"/>
      <c r="P134" s="125"/>
      <c r="Q134" s="125"/>
      <c r="R134" s="154"/>
      <c r="S134" s="125"/>
    </row>
    <row r="135" spans="1:23" ht="15.75" customHeight="1"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125"/>
      <c r="P135" s="125"/>
      <c r="Q135" s="125"/>
      <c r="R135" s="154"/>
      <c r="S135" s="125"/>
    </row>
    <row r="136" spans="1:23" ht="15.75" customHeight="1"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125"/>
      <c r="P136" s="125"/>
      <c r="Q136" s="125"/>
      <c r="R136" s="154"/>
      <c r="S136" s="125"/>
    </row>
    <row r="137" spans="1:23" ht="15.75" customHeight="1"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125"/>
      <c r="P137" s="125"/>
      <c r="Q137" s="125"/>
      <c r="R137" s="154"/>
      <c r="S137" s="125"/>
    </row>
    <row r="138" spans="1:23" ht="15.75" customHeight="1"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125"/>
      <c r="P138" s="125"/>
      <c r="Q138" s="125"/>
      <c r="R138" s="154"/>
      <c r="S138" s="125"/>
    </row>
    <row r="139" spans="1:23" ht="15.75" customHeight="1"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125"/>
      <c r="P139" s="125"/>
      <c r="Q139" s="125"/>
      <c r="R139" s="154"/>
      <c r="S139" s="125"/>
    </row>
    <row r="140" spans="1:23" ht="15.75" customHeight="1"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125"/>
      <c r="P140" s="125"/>
      <c r="Q140" s="125"/>
      <c r="R140" s="154"/>
      <c r="S140" s="125"/>
    </row>
    <row r="141" spans="1:23" ht="15.75" customHeight="1">
      <c r="C141" s="47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116"/>
      <c r="P141" s="116"/>
      <c r="Q141" s="116"/>
      <c r="R141" s="141"/>
      <c r="S141" s="116"/>
    </row>
    <row r="142" spans="1:23" ht="15.75" customHeight="1">
      <c r="C142" s="47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116"/>
      <c r="P142" s="116"/>
      <c r="Q142" s="116"/>
      <c r="R142" s="141"/>
      <c r="S142" s="116"/>
    </row>
    <row r="143" spans="1:23" ht="15.75" customHeight="1">
      <c r="C143" s="47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116"/>
      <c r="P143" s="116"/>
      <c r="Q143" s="116"/>
      <c r="R143" s="141"/>
      <c r="S143" s="116"/>
    </row>
    <row r="144" spans="1:23" ht="15.75" customHeight="1">
      <c r="C144" s="47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116"/>
      <c r="P144" s="116"/>
      <c r="Q144" s="116"/>
      <c r="R144" s="141"/>
      <c r="S144" s="116"/>
    </row>
    <row r="145" spans="3:19" ht="15.75" customHeight="1">
      <c r="C145" s="47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116"/>
      <c r="P145" s="116"/>
      <c r="Q145" s="116"/>
      <c r="R145" s="141"/>
      <c r="S145" s="116"/>
    </row>
  </sheetData>
  <mergeCells count="1">
    <mergeCell ref="A28:S28"/>
  </mergeCells>
  <pageMargins left="0.35433070866141736" right="0.19685039370078741" top="0.23622047244094491" bottom="0.19685039370078741" header="0.19685039370078741" footer="0"/>
  <pageSetup paperSize="9" scale="89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доходы </vt:lpstr>
      <vt:lpstr>Пояснительная записка</vt:lpstr>
      <vt:lpstr>'Пояснительная записка'!Заголовки_для_печати</vt:lpstr>
      <vt:lpstr>'Приложение доходы '!Заголовки_для_печати</vt:lpstr>
      <vt:lpstr>'Пояснительная записка'!Область_печати</vt:lpstr>
      <vt:lpstr>'Приложение доходы 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2018-12-12T07:43:44Z</cp:lastPrinted>
  <dcterms:created xsi:type="dcterms:W3CDTF">2015-11-20T04:47:03Z</dcterms:created>
  <dcterms:modified xsi:type="dcterms:W3CDTF">2018-12-25T12:31:42Z</dcterms:modified>
</cp:coreProperties>
</file>