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" sheetId="2" r:id="rId1"/>
    <sheet name="прил 5" sheetId="1" r:id="rId2"/>
    <sheet name="прил 6" sheetId="3" r:id="rId3"/>
  </sheets>
  <definedNames>
    <definedName name="_xlnm.Print_Area" localSheetId="0">'прил 4'!$A$3:$J$71</definedName>
    <definedName name="_xlnm.Print_Area" localSheetId="1">'прил 5'!$A$1:$I$1561</definedName>
    <definedName name="_xlnm.Print_Area" localSheetId="2">'прил 6'!$A$1:$I$1143</definedName>
  </definedNames>
  <calcPr calcId="124519" iterate="1"/>
</workbook>
</file>

<file path=xl/calcChain.xml><?xml version="1.0" encoding="utf-8"?>
<calcChain xmlns="http://schemas.openxmlformats.org/spreadsheetml/2006/main">
  <c r="I240" i="3"/>
  <c r="H240"/>
  <c r="G240"/>
  <c r="I257"/>
  <c r="I256" s="1"/>
  <c r="H257"/>
  <c r="H256" s="1"/>
  <c r="G256"/>
  <c r="G257"/>
  <c r="I1337" i="1"/>
  <c r="H1337"/>
  <c r="G1340"/>
  <c r="I1345"/>
  <c r="H1345"/>
  <c r="H1344" s="1"/>
  <c r="I1344"/>
  <c r="G1344"/>
  <c r="G1345"/>
  <c r="I612" l="1"/>
  <c r="H612"/>
  <c r="I606"/>
  <c r="H606"/>
  <c r="H458"/>
  <c r="I458"/>
  <c r="I447"/>
  <c r="H447"/>
  <c r="I385"/>
  <c r="H385"/>
  <c r="I379"/>
  <c r="H379"/>
  <c r="I90"/>
  <c r="I39"/>
  <c r="G773" l="1"/>
  <c r="G775"/>
  <c r="G771"/>
  <c r="G1359" l="1"/>
  <c r="G1442"/>
  <c r="G1447"/>
  <c r="G1450"/>
  <c r="G1439"/>
  <c r="G1504"/>
  <c r="G1513"/>
  <c r="G722"/>
  <c r="G720"/>
  <c r="G912"/>
  <c r="G924"/>
  <c r="G1263"/>
  <c r="G1239"/>
  <c r="G844" l="1"/>
  <c r="G1138"/>
  <c r="G1319"/>
  <c r="G1317"/>
  <c r="G842" l="1"/>
  <c r="G1343" l="1"/>
  <c r="G922"/>
  <c r="G1226"/>
  <c r="G1333"/>
  <c r="G780"/>
  <c r="G600" l="1"/>
  <c r="G458"/>
  <c r="G586" l="1"/>
  <c r="G1476"/>
  <c r="G858" l="1"/>
  <c r="G854"/>
  <c r="G388" l="1"/>
  <c r="I1177"/>
  <c r="G881"/>
  <c r="G612"/>
  <c r="G385"/>
  <c r="G321" i="3"/>
  <c r="G320" s="1"/>
  <c r="G319" s="1"/>
  <c r="I320"/>
  <c r="I319" s="1"/>
  <c r="H320"/>
  <c r="H319" s="1"/>
  <c r="G474" i="1"/>
  <c r="I482"/>
  <c r="I481" s="1"/>
  <c r="H482"/>
  <c r="H481" s="1"/>
  <c r="G482"/>
  <c r="G481" s="1"/>
  <c r="G628"/>
  <c r="G631"/>
  <c r="G629"/>
  <c r="G627"/>
  <c r="G736"/>
  <c r="G537"/>
  <c r="G358" i="3"/>
  <c r="G357" s="1"/>
  <c r="G356" s="1"/>
  <c r="I357"/>
  <c r="H357"/>
  <c r="I356"/>
  <c r="H356"/>
  <c r="G739" i="1"/>
  <c r="I744"/>
  <c r="I743" s="1"/>
  <c r="H744"/>
  <c r="H743" s="1"/>
  <c r="G744"/>
  <c r="G743" s="1"/>
  <c r="G1000"/>
  <c r="G1015"/>
  <c r="G746" i="3"/>
  <c r="G1021" i="1"/>
  <c r="G1037"/>
  <c r="G945"/>
  <c r="G151"/>
  <c r="I1340"/>
  <c r="I1349"/>
  <c r="G1349"/>
  <c r="G186"/>
  <c r="G192"/>
  <c r="G851" l="1"/>
  <c r="G849"/>
  <c r="G1088" i="3"/>
  <c r="G1007"/>
  <c r="G335"/>
  <c r="G934"/>
  <c r="G933" s="1"/>
  <c r="H933"/>
  <c r="H931"/>
  <c r="G931"/>
  <c r="I930"/>
  <c r="H930"/>
  <c r="H1459" i="1"/>
  <c r="I1459"/>
  <c r="H1488"/>
  <c r="H1485" s="1"/>
  <c r="G1488"/>
  <c r="G1485" s="1"/>
  <c r="H1486"/>
  <c r="G1486"/>
  <c r="I1485"/>
  <c r="G930" i="3" l="1"/>
  <c r="I433" i="1"/>
  <c r="H433"/>
  <c r="G433"/>
  <c r="G426" s="1"/>
  <c r="G425" s="1"/>
  <c r="G431"/>
  <c r="G430"/>
  <c r="G429" s="1"/>
  <c r="G1098"/>
  <c r="G1133" l="1"/>
  <c r="G1048"/>
  <c r="G326"/>
  <c r="G313"/>
  <c r="H1349"/>
  <c r="H929" i="3"/>
  <c r="H928" s="1"/>
  <c r="H925" s="1"/>
  <c r="I929"/>
  <c r="G929"/>
  <c r="G928" s="1"/>
  <c r="H926"/>
  <c r="G926"/>
  <c r="I925"/>
  <c r="H1483" i="1"/>
  <c r="H1480" s="1"/>
  <c r="G1483"/>
  <c r="H1481"/>
  <c r="G1481"/>
  <c r="I1480"/>
  <c r="I902" i="3"/>
  <c r="I901" s="1"/>
  <c r="I900" s="1"/>
  <c r="H902"/>
  <c r="H901" s="1"/>
  <c r="H900" s="1"/>
  <c r="G902"/>
  <c r="G901" s="1"/>
  <c r="G900" s="1"/>
  <c r="G1115" i="1"/>
  <c r="G1114" s="1"/>
  <c r="I1117"/>
  <c r="I1116" s="1"/>
  <c r="I1115" s="1"/>
  <c r="I1114" s="1"/>
  <c r="H1117"/>
  <c r="H1116" s="1"/>
  <c r="H1115" s="1"/>
  <c r="H1114" s="1"/>
  <c r="G1117"/>
  <c r="G1116" s="1"/>
  <c r="G1507"/>
  <c r="I1069" i="3"/>
  <c r="I1068" s="1"/>
  <c r="H1069"/>
  <c r="H1068" s="1"/>
  <c r="I1067"/>
  <c r="I1066" s="1"/>
  <c r="H1067"/>
  <c r="H1066" s="1"/>
  <c r="I1215" i="1"/>
  <c r="I1213"/>
  <c r="H1215"/>
  <c r="H1213"/>
  <c r="H227" i="3"/>
  <c r="I227"/>
  <c r="H1055" i="1"/>
  <c r="H1054" s="1"/>
  <c r="I1055"/>
  <c r="I1054" s="1"/>
  <c r="G1055"/>
  <c r="G1054" s="1"/>
  <c r="I1233"/>
  <c r="I168" i="3" s="1"/>
  <c r="H1233" i="1"/>
  <c r="H168" i="3" s="1"/>
  <c r="J1044" i="1"/>
  <c r="K1044"/>
  <c r="L1044"/>
  <c r="M1044"/>
  <c r="N1044"/>
  <c r="H1065"/>
  <c r="I1065"/>
  <c r="G1065"/>
  <c r="H1057"/>
  <c r="I1057"/>
  <c r="G1057"/>
  <c r="H1075"/>
  <c r="I1075"/>
  <c r="G1075"/>
  <c r="G1074"/>
  <c r="G1073" s="1"/>
  <c r="I1073"/>
  <c r="H1073"/>
  <c r="G1070"/>
  <c r="G1069" s="1"/>
  <c r="G1067"/>
  <c r="G1066" s="1"/>
  <c r="H1063"/>
  <c r="I1063"/>
  <c r="G1063"/>
  <c r="I1061"/>
  <c r="H1061"/>
  <c r="G1061"/>
  <c r="G1060"/>
  <c r="G1059" s="1"/>
  <c r="G1058" s="1"/>
  <c r="H1052"/>
  <c r="H1051" s="1"/>
  <c r="H1050" s="1"/>
  <c r="I1052"/>
  <c r="I1051" s="1"/>
  <c r="G1052"/>
  <c r="G1051" s="1"/>
  <c r="I1415"/>
  <c r="I1414" s="1"/>
  <c r="H1415"/>
  <c r="H1414" s="1"/>
  <c r="G1415"/>
  <c r="G1414" s="1"/>
  <c r="G315"/>
  <c r="I1296"/>
  <c r="I239" i="3" s="1"/>
  <c r="H1296" i="1"/>
  <c r="H239" i="3" s="1"/>
  <c r="I1265" i="1"/>
  <c r="I200" i="3" s="1"/>
  <c r="H1265" i="1"/>
  <c r="H200" i="3" s="1"/>
  <c r="I1236" i="1"/>
  <c r="I171" i="3" s="1"/>
  <c r="H1236" i="1"/>
  <c r="H171" i="3" s="1"/>
  <c r="G1236" i="1"/>
  <c r="G171" i="3" s="1"/>
  <c r="G1278" i="1"/>
  <c r="I1074" i="3"/>
  <c r="I1073" s="1"/>
  <c r="H1074"/>
  <c r="H1073" s="1"/>
  <c r="G1074"/>
  <c r="G1073" s="1"/>
  <c r="I1071"/>
  <c r="I1070" s="1"/>
  <c r="H1071"/>
  <c r="H1070" s="1"/>
  <c r="G1071"/>
  <c r="G1070" s="1"/>
  <c r="G1068"/>
  <c r="G1066"/>
  <c r="I1558" i="1"/>
  <c r="I1557" s="1"/>
  <c r="H1558"/>
  <c r="H1557" s="1"/>
  <c r="G1558"/>
  <c r="G1557" s="1"/>
  <c r="I1555"/>
  <c r="I1554" s="1"/>
  <c r="H1555"/>
  <c r="H1554" s="1"/>
  <c r="G1555"/>
  <c r="G1554" s="1"/>
  <c r="I1552"/>
  <c r="H1552"/>
  <c r="G1552"/>
  <c r="I1550"/>
  <c r="H1550"/>
  <c r="G1550"/>
  <c r="G925" i="3" l="1"/>
  <c r="I1050" i="1"/>
  <c r="H1049"/>
  <c r="G1065" i="3"/>
  <c r="G1063" s="1"/>
  <c r="G1072" i="1"/>
  <c r="I1049"/>
  <c r="H1072"/>
  <c r="G1480"/>
  <c r="G1050"/>
  <c r="G1049" s="1"/>
  <c r="I1072"/>
  <c r="H1065" i="3"/>
  <c r="H1063" s="1"/>
  <c r="I1065"/>
  <c r="I1063" s="1"/>
  <c r="I1058" i="1"/>
  <c r="H1058"/>
  <c r="G1549"/>
  <c r="G1547" s="1"/>
  <c r="G1545" s="1"/>
  <c r="G1560" s="1"/>
  <c r="H1549"/>
  <c r="H1547" s="1"/>
  <c r="H1545" s="1"/>
  <c r="H1560" s="1"/>
  <c r="I1549"/>
  <c r="I1547" s="1"/>
  <c r="I1545" s="1"/>
  <c r="I1560" s="1"/>
  <c r="G1218" l="1"/>
  <c r="G1215"/>
  <c r="G1213"/>
  <c r="G30"/>
  <c r="G894"/>
  <c r="G898"/>
  <c r="G901"/>
  <c r="G1180"/>
  <c r="G1159"/>
  <c r="G90" i="3"/>
  <c r="G306" i="1"/>
  <c r="G347"/>
  <c r="G308"/>
  <c r="G929"/>
  <c r="G101" i="3" l="1"/>
  <c r="G100" s="1"/>
  <c r="G99" s="1"/>
  <c r="H101"/>
  <c r="H100" s="1"/>
  <c r="H99" s="1"/>
  <c r="I101"/>
  <c r="I100" s="1"/>
  <c r="I99" s="1"/>
  <c r="I104"/>
  <c r="I103" s="1"/>
  <c r="I102" s="1"/>
  <c r="G105"/>
  <c r="G104" s="1"/>
  <c r="G103" s="1"/>
  <c r="G102" s="1"/>
  <c r="H105"/>
  <c r="H104" s="1"/>
  <c r="H103" s="1"/>
  <c r="H102" s="1"/>
  <c r="H107"/>
  <c r="H106" s="1"/>
  <c r="I107"/>
  <c r="I106" s="1"/>
  <c r="G108"/>
  <c r="G107" s="1"/>
  <c r="G106" s="1"/>
  <c r="G110"/>
  <c r="G109" s="1"/>
  <c r="H110"/>
  <c r="H109" s="1"/>
  <c r="I110"/>
  <c r="I109" s="1"/>
  <c r="G113"/>
  <c r="G112" s="1"/>
  <c r="H113"/>
  <c r="H112" s="1"/>
  <c r="I113"/>
  <c r="I112" s="1"/>
  <c r="G1121" l="1"/>
  <c r="G1120" s="1"/>
  <c r="G1119" s="1"/>
  <c r="G1124"/>
  <c r="G1123" s="1"/>
  <c r="G1122" s="1"/>
  <c r="I1123"/>
  <c r="I1122" s="1"/>
  <c r="H1123"/>
  <c r="H1122" s="1"/>
  <c r="I1120"/>
  <c r="I1119" s="1"/>
  <c r="H1120"/>
  <c r="H1119" s="1"/>
  <c r="I944" i="1"/>
  <c r="I943" s="1"/>
  <c r="H944"/>
  <c r="H943" s="1"/>
  <c r="G944"/>
  <c r="G943" s="1"/>
  <c r="G1098" i="3"/>
  <c r="G28" i="1" l="1"/>
  <c r="G503" i="3" s="1"/>
  <c r="G411" i="1" l="1"/>
  <c r="I1491" l="1"/>
  <c r="I1490" s="1"/>
  <c r="H1491"/>
  <c r="H1490" s="1"/>
  <c r="I41" i="3" l="1"/>
  <c r="H41"/>
  <c r="G41"/>
  <c r="I993" l="1"/>
  <c r="I992" s="1"/>
  <c r="I991" s="1"/>
  <c r="I981" s="1"/>
  <c r="H993"/>
  <c r="H992" s="1"/>
  <c r="H991" s="1"/>
  <c r="H981" s="1"/>
  <c r="G993"/>
  <c r="G992" s="1"/>
  <c r="G991" s="1"/>
  <c r="G981" s="1"/>
  <c r="I989"/>
  <c r="I988" s="1"/>
  <c r="H989"/>
  <c r="H988" s="1"/>
  <c r="G989"/>
  <c r="G988" s="1"/>
  <c r="G986"/>
  <c r="G985" s="1"/>
  <c r="G983"/>
  <c r="G982" s="1"/>
  <c r="G134" i="1"/>
  <c r="G133" s="1"/>
  <c r="G123" s="1"/>
  <c r="I134"/>
  <c r="I133" s="1"/>
  <c r="H134"/>
  <c r="H133" s="1"/>
  <c r="I131"/>
  <c r="I130" s="1"/>
  <c r="H131"/>
  <c r="H130" s="1"/>
  <c r="G131"/>
  <c r="G130" s="1"/>
  <c r="G128"/>
  <c r="G127" s="1"/>
  <c r="G125"/>
  <c r="G124" s="1"/>
  <c r="G259"/>
  <c r="G28" i="3"/>
  <c r="G261" i="1"/>
  <c r="G703" i="3"/>
  <c r="G1127"/>
  <c r="G1126" s="1"/>
  <c r="G1125" s="1"/>
  <c r="I1126"/>
  <c r="I1125" s="1"/>
  <c r="H1126"/>
  <c r="H1125" s="1"/>
  <c r="I599" i="1"/>
  <c r="I598" s="1"/>
  <c r="I597" s="1"/>
  <c r="H599"/>
  <c r="H598" s="1"/>
  <c r="H597" s="1"/>
  <c r="G599"/>
  <c r="G598" s="1"/>
  <c r="G597" s="1"/>
  <c r="G65" i="3"/>
  <c r="G64" s="1"/>
  <c r="G700"/>
  <c r="I595" i="1"/>
  <c r="H595"/>
  <c r="G595"/>
  <c r="G588" s="1"/>
  <c r="G587" s="1"/>
  <c r="G593"/>
  <c r="G1491" l="1"/>
  <c r="H1132"/>
  <c r="I262" i="3"/>
  <c r="H262"/>
  <c r="G262"/>
  <c r="H1353" i="1"/>
  <c r="G1353"/>
  <c r="I824" i="3"/>
  <c r="I823" s="1"/>
  <c r="H824"/>
  <c r="H823" s="1"/>
  <c r="G824"/>
  <c r="G823" s="1"/>
  <c r="I917" i="1"/>
  <c r="I916" s="1"/>
  <c r="H917"/>
  <c r="H916" s="1"/>
  <c r="G917"/>
  <c r="G916" s="1"/>
  <c r="G329"/>
  <c r="G889"/>
  <c r="I1353" l="1"/>
  <c r="I1343"/>
  <c r="G27" i="3" l="1"/>
  <c r="G26" s="1"/>
  <c r="I27"/>
  <c r="I26" s="1"/>
  <c r="H27"/>
  <c r="H26" s="1"/>
  <c r="G271" i="1"/>
  <c r="G270" s="1"/>
  <c r="I271"/>
  <c r="I270" s="1"/>
  <c r="H271"/>
  <c r="H270" s="1"/>
  <c r="G269"/>
  <c r="H1343" l="1"/>
  <c r="H1340"/>
  <c r="G832"/>
  <c r="H525" l="1"/>
  <c r="H411"/>
  <c r="H414" i="3"/>
  <c r="G1379" i="1"/>
  <c r="G943" i="3" s="1"/>
  <c r="G1265" i="1"/>
  <c r="G200" i="3" s="1"/>
  <c r="G1284" i="1"/>
  <c r="G227" i="3" s="1"/>
  <c r="G1321" i="1"/>
  <c r="G1233"/>
  <c r="G168" i="3" s="1"/>
  <c r="G966" i="1"/>
  <c r="G809" i="3" s="1"/>
  <c r="G963" i="1"/>
  <c r="G120"/>
  <c r="G736" i="3" s="1"/>
  <c r="G341" i="1"/>
  <c r="I1117" i="3"/>
  <c r="H1117"/>
  <c r="G1117"/>
  <c r="I941" i="1"/>
  <c r="I940" s="1"/>
  <c r="H941"/>
  <c r="H940" s="1"/>
  <c r="G941"/>
  <c r="G940" s="1"/>
  <c r="G592"/>
  <c r="G591" s="1"/>
  <c r="G189"/>
  <c r="G589" i="3" s="1"/>
  <c r="G75" i="1"/>
  <c r="I923" i="3"/>
  <c r="H923"/>
  <c r="G923"/>
  <c r="G1389" i="1"/>
  <c r="I1389"/>
  <c r="H1389"/>
  <c r="G1385"/>
  <c r="G922" i="3" s="1"/>
  <c r="H1318" i="1" l="1"/>
  <c r="I1318"/>
  <c r="H697" i="3"/>
  <c r="I697"/>
  <c r="H695"/>
  <c r="I695"/>
  <c r="G697"/>
  <c r="G695"/>
  <c r="G93"/>
  <c r="I1004"/>
  <c r="H1004"/>
  <c r="G1004"/>
  <c r="I1427" i="1"/>
  <c r="H1427"/>
  <c r="G1427"/>
  <c r="G1090" i="3"/>
  <c r="I1433" i="1"/>
  <c r="I1430" s="1"/>
  <c r="I1429" s="1"/>
  <c r="H1433"/>
  <c r="H1430" s="1"/>
  <c r="H1429" s="1"/>
  <c r="G1433"/>
  <c r="G1430" s="1"/>
  <c r="G1429" s="1"/>
  <c r="G1003" i="3"/>
  <c r="H946"/>
  <c r="H945" s="1"/>
  <c r="H944" s="1"/>
  <c r="I945"/>
  <c r="I944" s="1"/>
  <c r="G945"/>
  <c r="G944" s="1"/>
  <c r="H1382" i="1"/>
  <c r="H1381" s="1"/>
  <c r="H1380" s="1"/>
  <c r="I1381"/>
  <c r="I1380" s="1"/>
  <c r="G1381"/>
  <c r="G1380" s="1"/>
  <c r="H943" i="3"/>
  <c r="H942" s="1"/>
  <c r="H941" s="1"/>
  <c r="I942"/>
  <c r="I941" s="1"/>
  <c r="G942"/>
  <c r="G941" s="1"/>
  <c r="H1379" i="1"/>
  <c r="H1378" s="1"/>
  <c r="H1377" s="1"/>
  <c r="I1378"/>
  <c r="I1377" s="1"/>
  <c r="G1378"/>
  <c r="G1377" s="1"/>
  <c r="H940" i="3"/>
  <c r="H939" s="1"/>
  <c r="H938" s="1"/>
  <c r="I939"/>
  <c r="I938" s="1"/>
  <c r="G939"/>
  <c r="G938" s="1"/>
  <c r="H1376" i="1"/>
  <c r="H1375" s="1"/>
  <c r="H1374" s="1"/>
  <c r="I1375"/>
  <c r="I1374" s="1"/>
  <c r="G1375"/>
  <c r="G1374" s="1"/>
  <c r="H937" i="3"/>
  <c r="H936" s="1"/>
  <c r="H935" s="1"/>
  <c r="I936"/>
  <c r="I935" s="1"/>
  <c r="G936"/>
  <c r="G935" s="1"/>
  <c r="H1373" i="1"/>
  <c r="H1372" s="1"/>
  <c r="H1371" s="1"/>
  <c r="I1372"/>
  <c r="I1371" s="1"/>
  <c r="G1372"/>
  <c r="G1371" s="1"/>
  <c r="I1133" i="3" l="1"/>
  <c r="I1132" s="1"/>
  <c r="H1133"/>
  <c r="H1132" s="1"/>
  <c r="G1133"/>
  <c r="G1132" s="1"/>
  <c r="I1139"/>
  <c r="H1139"/>
  <c r="G1139"/>
  <c r="I875" i="1"/>
  <c r="I874" s="1"/>
  <c r="I873" s="1"/>
  <c r="I872" s="1"/>
  <c r="H27" i="2" s="1"/>
  <c r="H875" i="1"/>
  <c r="H874" s="1"/>
  <c r="H873" s="1"/>
  <c r="H872" s="1"/>
  <c r="G27" i="2" s="1"/>
  <c r="G875" i="1"/>
  <c r="G874" s="1"/>
  <c r="G873" s="1"/>
  <c r="G872" s="1"/>
  <c r="F27" i="2" s="1"/>
  <c r="G844" i="3"/>
  <c r="J789" i="1"/>
  <c r="K789"/>
  <c r="L789"/>
  <c r="M789"/>
  <c r="N789"/>
  <c r="I791"/>
  <c r="I790" s="1"/>
  <c r="I789" s="1"/>
  <c r="H791"/>
  <c r="H790" s="1"/>
  <c r="H789" s="1"/>
  <c r="G791"/>
  <c r="G790" s="1"/>
  <c r="G789" s="1"/>
  <c r="I478" i="3"/>
  <c r="I477" s="1"/>
  <c r="H478"/>
  <c r="H477" s="1"/>
  <c r="G478"/>
  <c r="G477" s="1"/>
  <c r="I698" i="1"/>
  <c r="I697" s="1"/>
  <c r="H698"/>
  <c r="H697" s="1"/>
  <c r="G698"/>
  <c r="G697" s="1"/>
  <c r="G666"/>
  <c r="G665" s="1"/>
  <c r="I666"/>
  <c r="H666"/>
  <c r="I95" i="3"/>
  <c r="I94" s="1"/>
  <c r="H95"/>
  <c r="H94" s="1"/>
  <c r="G95"/>
  <c r="G94" s="1"/>
  <c r="I349" i="1"/>
  <c r="I348" s="1"/>
  <c r="H349"/>
  <c r="H348" s="1"/>
  <c r="G349"/>
  <c r="G348" s="1"/>
  <c r="I1097" i="3"/>
  <c r="H1097"/>
  <c r="G1097"/>
  <c r="I253" i="1"/>
  <c r="I252" s="1"/>
  <c r="H253"/>
  <c r="H252" s="1"/>
  <c r="G253"/>
  <c r="G252" s="1"/>
  <c r="G258"/>
  <c r="G735" i="3"/>
  <c r="G734" s="1"/>
  <c r="G119" i="1"/>
  <c r="G118" s="1"/>
  <c r="G101"/>
  <c r="I101"/>
  <c r="H101"/>
  <c r="G97"/>
  <c r="I89" i="3"/>
  <c r="I88" s="1"/>
  <c r="H89"/>
  <c r="H88" s="1"/>
  <c r="G89"/>
  <c r="G88" s="1"/>
  <c r="I346" i="1"/>
  <c r="I345" s="1"/>
  <c r="H346"/>
  <c r="H345" s="1"/>
  <c r="G346"/>
  <c r="G345" s="1"/>
  <c r="I92" i="3"/>
  <c r="H92"/>
  <c r="G92"/>
  <c r="G91" s="1"/>
  <c r="I91"/>
  <c r="H91"/>
  <c r="I320" i="1"/>
  <c r="H320"/>
  <c r="G320"/>
  <c r="G319" s="1"/>
  <c r="G317" s="1"/>
  <c r="I319"/>
  <c r="I317" s="1"/>
  <c r="H319"/>
  <c r="H318" s="1"/>
  <c r="I318" l="1"/>
  <c r="I788"/>
  <c r="G788"/>
  <c r="H788"/>
  <c r="I251"/>
  <c r="H251"/>
  <c r="H317"/>
  <c r="G318"/>
  <c r="G696" i="3"/>
  <c r="K696"/>
  <c r="J696"/>
  <c r="I696"/>
  <c r="H696"/>
  <c r="G74" i="1"/>
  <c r="K74"/>
  <c r="J74"/>
  <c r="I74"/>
  <c r="H74"/>
  <c r="H798" i="3" l="1"/>
  <c r="H1000" i="1"/>
  <c r="I808" i="3"/>
  <c r="I807" s="1"/>
  <c r="H808"/>
  <c r="H807" s="1"/>
  <c r="G808"/>
  <c r="G807" s="1"/>
  <c r="G965" i="1"/>
  <c r="G964" s="1"/>
  <c r="I965"/>
  <c r="I964" s="1"/>
  <c r="H965"/>
  <c r="H964" s="1"/>
  <c r="G989"/>
  <c r="I588" i="3" l="1"/>
  <c r="I587" s="1"/>
  <c r="H588"/>
  <c r="H587" s="1"/>
  <c r="G588"/>
  <c r="G587" s="1"/>
  <c r="K702" l="1"/>
  <c r="J702"/>
  <c r="I702"/>
  <c r="I701" s="1"/>
  <c r="H702"/>
  <c r="H701" s="1"/>
  <c r="G702"/>
  <c r="G701" s="1"/>
  <c r="K239" i="1"/>
  <c r="J239"/>
  <c r="I239"/>
  <c r="I238" s="1"/>
  <c r="H239"/>
  <c r="H238" s="1"/>
  <c r="G239"/>
  <c r="G238" s="1"/>
  <c r="I86" i="3"/>
  <c r="I85" s="1"/>
  <c r="H86"/>
  <c r="H85" s="1"/>
  <c r="G86"/>
  <c r="G85" s="1"/>
  <c r="I343" i="1"/>
  <c r="I342" s="1"/>
  <c r="H343"/>
  <c r="H342" s="1"/>
  <c r="G343"/>
  <c r="G342" s="1"/>
  <c r="G694" i="3"/>
  <c r="G693" s="1"/>
  <c r="G72" i="1"/>
  <c r="G71" s="1"/>
  <c r="K694" i="3"/>
  <c r="J694"/>
  <c r="I694"/>
  <c r="I693" s="1"/>
  <c r="H694"/>
  <c r="H693" s="1"/>
  <c r="K72" i="1"/>
  <c r="J72"/>
  <c r="I72"/>
  <c r="I71" s="1"/>
  <c r="H72"/>
  <c r="H71" s="1"/>
  <c r="G709"/>
  <c r="G696"/>
  <c r="I590" i="3" l="1"/>
  <c r="H590"/>
  <c r="G590"/>
  <c r="I188" i="1"/>
  <c r="I187" s="1"/>
  <c r="H188"/>
  <c r="H187" s="1"/>
  <c r="G188"/>
  <c r="G187" s="1"/>
  <c r="I1002" i="3" l="1"/>
  <c r="H1002"/>
  <c r="G1002"/>
  <c r="I1425" i="1"/>
  <c r="H1425"/>
  <c r="G1423"/>
  <c r="G1420"/>
  <c r="G1419" s="1"/>
  <c r="I134" i="3" l="1"/>
  <c r="H134"/>
  <c r="G134"/>
  <c r="G133" s="1"/>
  <c r="I133"/>
  <c r="H133"/>
  <c r="J1026" i="1"/>
  <c r="K1026"/>
  <c r="L1026"/>
  <c r="M1026"/>
  <c r="N1026"/>
  <c r="I1029"/>
  <c r="H1029"/>
  <c r="H1027" s="1"/>
  <c r="G37" i="2" s="1"/>
  <c r="I1030" i="1"/>
  <c r="H1030"/>
  <c r="G1030"/>
  <c r="G1029" s="1"/>
  <c r="G1087"/>
  <c r="I1027" l="1"/>
  <c r="H37" i="2" s="1"/>
  <c r="H1028" i="1"/>
  <c r="I1028"/>
  <c r="G1027"/>
  <c r="F37" i="2" s="1"/>
  <c r="G1028" i="1"/>
  <c r="H1021" l="1"/>
  <c r="H746" i="3" s="1"/>
  <c r="H972" i="1"/>
  <c r="G995" l="1"/>
  <c r="G798"/>
  <c r="G950" i="3" l="1"/>
  <c r="I797" i="1"/>
  <c r="I796" s="1"/>
  <c r="I795" s="1"/>
  <c r="I794" s="1"/>
  <c r="I793" s="1"/>
  <c r="H797"/>
  <c r="H796" s="1"/>
  <c r="H795" s="1"/>
  <c r="H794" s="1"/>
  <c r="H793" s="1"/>
  <c r="G797"/>
  <c r="G796" s="1"/>
  <c r="G795" s="1"/>
  <c r="G794" s="1"/>
  <c r="G793" s="1"/>
  <c r="I617" i="3"/>
  <c r="I616" s="1"/>
  <c r="H617"/>
  <c r="H616" s="1"/>
  <c r="G617"/>
  <c r="G616" s="1"/>
  <c r="I182" i="1"/>
  <c r="I181" s="1"/>
  <c r="H182"/>
  <c r="H181" s="1"/>
  <c r="G182"/>
  <c r="G181" s="1"/>
  <c r="I745" i="3"/>
  <c r="I744" s="1"/>
  <c r="H745"/>
  <c r="H744" s="1"/>
  <c r="G745"/>
  <c r="G744" s="1"/>
  <c r="G1020" i="1"/>
  <c r="G1019" s="1"/>
  <c r="I1020"/>
  <c r="I1019" s="1"/>
  <c r="H1020"/>
  <c r="H1019" s="1"/>
  <c r="G972"/>
  <c r="I155" i="3"/>
  <c r="I154" s="1"/>
  <c r="H155"/>
  <c r="H154" s="1"/>
  <c r="G155"/>
  <c r="G154" s="1"/>
  <c r="I1042" i="1" l="1"/>
  <c r="I1041" s="1"/>
  <c r="H1042"/>
  <c r="H1041" s="1"/>
  <c r="G1042"/>
  <c r="G1041" s="1"/>
  <c r="I795" i="3" l="1"/>
  <c r="H795"/>
  <c r="H812"/>
  <c r="I812"/>
  <c r="G812"/>
  <c r="J998" i="1"/>
  <c r="K998"/>
  <c r="L998"/>
  <c r="M998"/>
  <c r="N998"/>
  <c r="H999"/>
  <c r="H998" s="1"/>
  <c r="I999"/>
  <c r="I998" s="1"/>
  <c r="G999"/>
  <c r="G998" s="1"/>
  <c r="H957"/>
  <c r="I957"/>
  <c r="G957"/>
  <c r="G956" s="1"/>
  <c r="H959"/>
  <c r="I959"/>
  <c r="G959"/>
  <c r="H968"/>
  <c r="H967" s="1"/>
  <c r="I968"/>
  <c r="I967" s="1"/>
  <c r="G968"/>
  <c r="G967" s="1"/>
  <c r="H956" l="1"/>
  <c r="I956"/>
  <c r="I567" i="3"/>
  <c r="I566" s="1"/>
  <c r="I565" s="1"/>
  <c r="H566"/>
  <c r="H565" s="1"/>
  <c r="G566"/>
  <c r="G565" s="1"/>
  <c r="I1542" i="1"/>
  <c r="I1541" s="1"/>
  <c r="I1540" s="1"/>
  <c r="H1541"/>
  <c r="H1540" s="1"/>
  <c r="G1541"/>
  <c r="G1540" s="1"/>
  <c r="I1311"/>
  <c r="I1308" s="1"/>
  <c r="I1307" s="1"/>
  <c r="H1311"/>
  <c r="H1308" s="1"/>
  <c r="H1307" s="1"/>
  <c r="G1311"/>
  <c r="G1308" s="1"/>
  <c r="G1307" s="1"/>
  <c r="I1087" i="3"/>
  <c r="H1087"/>
  <c r="G1087"/>
  <c r="I1168" i="1"/>
  <c r="I1165" s="1"/>
  <c r="I1164" s="1"/>
  <c r="H1168"/>
  <c r="H1165" s="1"/>
  <c r="H1164" s="1"/>
  <c r="G1168"/>
  <c r="G1165" s="1"/>
  <c r="G1164" s="1"/>
  <c r="J797" i="3"/>
  <c r="K797"/>
  <c r="L797"/>
  <c r="M797"/>
  <c r="N797"/>
  <c r="O797"/>
  <c r="H800"/>
  <c r="I800"/>
  <c r="J800"/>
  <c r="K800"/>
  <c r="L800"/>
  <c r="M800"/>
  <c r="N800"/>
  <c r="O800"/>
  <c r="H803"/>
  <c r="I803"/>
  <c r="J803"/>
  <c r="K803"/>
  <c r="L803"/>
  <c r="M803"/>
  <c r="N803"/>
  <c r="O803"/>
  <c r="H806"/>
  <c r="I806"/>
  <c r="H815"/>
  <c r="I815"/>
  <c r="J815"/>
  <c r="K815"/>
  <c r="L815"/>
  <c r="M815"/>
  <c r="N815"/>
  <c r="O815"/>
  <c r="H1094"/>
  <c r="I1094"/>
  <c r="G1094"/>
  <c r="G1126" i="1"/>
  <c r="I1126"/>
  <c r="H1126"/>
  <c r="H1123" s="1"/>
  <c r="H1122" s="1"/>
  <c r="H1119" s="1"/>
  <c r="H1113" s="1"/>
  <c r="G800" i="3"/>
  <c r="H797"/>
  <c r="I798"/>
  <c r="I797" s="1"/>
  <c r="G798"/>
  <c r="I1009" i="1"/>
  <c r="I1008" s="1"/>
  <c r="I1007" s="1"/>
  <c r="H1009"/>
  <c r="H1008" s="1"/>
  <c r="H1007" s="1"/>
  <c r="G1009"/>
  <c r="G1008" s="1"/>
  <c r="G1007" s="1"/>
  <c r="G971"/>
  <c r="G970" s="1"/>
  <c r="H971"/>
  <c r="H970" s="1"/>
  <c r="I971"/>
  <c r="I970" s="1"/>
  <c r="I996"/>
  <c r="H996"/>
  <c r="G996"/>
  <c r="I994"/>
  <c r="H994"/>
  <c r="G994"/>
  <c r="G992"/>
  <c r="G991" s="1"/>
  <c r="G990" s="1"/>
  <c r="I991"/>
  <c r="I990" s="1"/>
  <c r="H991"/>
  <c r="H990" s="1"/>
  <c r="I948"/>
  <c r="I947" s="1"/>
  <c r="I946" s="1"/>
  <c r="H948"/>
  <c r="H947" s="1"/>
  <c r="H946" s="1"/>
  <c r="G948"/>
  <c r="G947" s="1"/>
  <c r="G946" s="1"/>
  <c r="I721" i="3"/>
  <c r="I720" s="1"/>
  <c r="H721"/>
  <c r="H720" s="1"/>
  <c r="G721"/>
  <c r="G720" s="1"/>
  <c r="G663" i="1"/>
  <c r="G662" s="1"/>
  <c r="I663"/>
  <c r="I662" s="1"/>
  <c r="H663"/>
  <c r="H662" s="1"/>
  <c r="I585"/>
  <c r="H585"/>
  <c r="G585"/>
  <c r="G578" s="1"/>
  <c r="G577" s="1"/>
  <c r="G583"/>
  <c r="I273" i="3"/>
  <c r="I272" s="1"/>
  <c r="H273"/>
  <c r="H272" s="1"/>
  <c r="G273"/>
  <c r="G272" s="1"/>
  <c r="H503" i="1"/>
  <c r="H502" s="1"/>
  <c r="I503"/>
  <c r="I502" s="1"/>
  <c r="G503"/>
  <c r="G502" s="1"/>
  <c r="I337" i="3"/>
  <c r="I336" s="1"/>
  <c r="H337"/>
  <c r="H336" s="1"/>
  <c r="G337"/>
  <c r="G336" s="1"/>
  <c r="I491" i="1"/>
  <c r="I490" s="1"/>
  <c r="H491"/>
  <c r="H490" s="1"/>
  <c r="G491"/>
  <c r="G490" s="1"/>
  <c r="I427" i="3"/>
  <c r="I426" s="1"/>
  <c r="H427"/>
  <c r="H426" s="1"/>
  <c r="G427"/>
  <c r="G426" s="1"/>
  <c r="I396" i="1"/>
  <c r="I395" s="1"/>
  <c r="H396"/>
  <c r="H395" s="1"/>
  <c r="G396"/>
  <c r="G395" s="1"/>
  <c r="K699" i="3"/>
  <c r="J699"/>
  <c r="I699"/>
  <c r="I698" s="1"/>
  <c r="H699"/>
  <c r="H698" s="1"/>
  <c r="G699"/>
  <c r="G698" s="1"/>
  <c r="K236" i="1"/>
  <c r="J236"/>
  <c r="I236"/>
  <c r="I235" s="1"/>
  <c r="H236"/>
  <c r="H235" s="1"/>
  <c r="G236"/>
  <c r="G235" s="1"/>
  <c r="G249"/>
  <c r="G242" s="1"/>
  <c r="I249"/>
  <c r="H249"/>
  <c r="G247"/>
  <c r="K233"/>
  <c r="J233"/>
  <c r="I233"/>
  <c r="I232" s="1"/>
  <c r="H233"/>
  <c r="H232" s="1"/>
  <c r="G233"/>
  <c r="G232" s="1"/>
  <c r="K691" i="3"/>
  <c r="J691"/>
  <c r="I691"/>
  <c r="I690" s="1"/>
  <c r="H691"/>
  <c r="H690" s="1"/>
  <c r="G691"/>
  <c r="G690" s="1"/>
  <c r="K69" i="1"/>
  <c r="J69"/>
  <c r="I69"/>
  <c r="I68" s="1"/>
  <c r="H69"/>
  <c r="H68" s="1"/>
  <c r="G69"/>
  <c r="G68" s="1"/>
  <c r="I789" i="3" l="1"/>
  <c r="H789"/>
  <c r="G795"/>
  <c r="I993" i="1"/>
  <c r="I1123"/>
  <c r="I1122" s="1"/>
  <c r="I1119" s="1"/>
  <c r="I1113" s="1"/>
  <c r="G993"/>
  <c r="H993"/>
  <c r="G1123"/>
  <c r="G1122" s="1"/>
  <c r="G1119" s="1"/>
  <c r="G1113" s="1"/>
  <c r="G841" i="3"/>
  <c r="G840" s="1"/>
  <c r="G1360" i="1"/>
  <c r="G1422" s="1"/>
  <c r="G1421" s="1"/>
  <c r="G299" i="3"/>
  <c r="G460" i="1"/>
  <c r="G459" s="1"/>
  <c r="I460"/>
  <c r="H460"/>
  <c r="G557"/>
  <c r="G398" i="3" l="1"/>
  <c r="G397" s="1"/>
  <c r="G396" s="1"/>
  <c r="I397"/>
  <c r="I396" s="1"/>
  <c r="H397"/>
  <c r="H396" s="1"/>
  <c r="I521" i="1"/>
  <c r="I520" s="1"/>
  <c r="H521"/>
  <c r="H520" s="1"/>
  <c r="G521"/>
  <c r="G520" s="1"/>
  <c r="G476" i="3"/>
  <c r="G475" s="1"/>
  <c r="G471"/>
  <c r="G470" s="1"/>
  <c r="G466"/>
  <c r="G465" s="1"/>
  <c r="I475"/>
  <c r="H475"/>
  <c r="I473"/>
  <c r="H473"/>
  <c r="G473"/>
  <c r="I470"/>
  <c r="H470"/>
  <c r="I468"/>
  <c r="H468"/>
  <c r="G468"/>
  <c r="I465"/>
  <c r="H465"/>
  <c r="I463"/>
  <c r="H463"/>
  <c r="G463"/>
  <c r="I708" i="1"/>
  <c r="H708"/>
  <c r="G708"/>
  <c r="I706"/>
  <c r="H706"/>
  <c r="G706"/>
  <c r="I703"/>
  <c r="H703"/>
  <c r="G703"/>
  <c r="I701"/>
  <c r="H701"/>
  <c r="G701"/>
  <c r="I695"/>
  <c r="H695"/>
  <c r="G695"/>
  <c r="I693"/>
  <c r="H693"/>
  <c r="G693"/>
  <c r="G307" i="3"/>
  <c r="G306" s="1"/>
  <c r="I306"/>
  <c r="I303" s="1"/>
  <c r="H306"/>
  <c r="H303" s="1"/>
  <c r="I304"/>
  <c r="H304"/>
  <c r="G304"/>
  <c r="I465" i="1"/>
  <c r="I462" s="1"/>
  <c r="H465"/>
  <c r="H462" s="1"/>
  <c r="G465"/>
  <c r="I463"/>
  <c r="H463"/>
  <c r="G463"/>
  <c r="G312" i="3"/>
  <c r="G311" s="1"/>
  <c r="I311"/>
  <c r="I308" s="1"/>
  <c r="H311"/>
  <c r="H308" s="1"/>
  <c r="I309"/>
  <c r="H309"/>
  <c r="G309"/>
  <c r="I470" i="1"/>
  <c r="I467" s="1"/>
  <c r="H470"/>
  <c r="H467" s="1"/>
  <c r="G470"/>
  <c r="I468"/>
  <c r="H468"/>
  <c r="G468"/>
  <c r="G372"/>
  <c r="G523" i="3"/>
  <c r="G522" s="1"/>
  <c r="G521" s="1"/>
  <c r="I522"/>
  <c r="I521" s="1"/>
  <c r="H522"/>
  <c r="H521" s="1"/>
  <c r="I1500" i="1"/>
  <c r="I1499" s="1"/>
  <c r="H1500"/>
  <c r="H1499" s="1"/>
  <c r="G1500"/>
  <c r="G1499" s="1"/>
  <c r="G1471"/>
  <c r="I462" i="3" l="1"/>
  <c r="H467"/>
  <c r="I472"/>
  <c r="I467"/>
  <c r="I705" i="1"/>
  <c r="G692"/>
  <c r="I700"/>
  <c r="I692"/>
  <c r="G700"/>
  <c r="H705"/>
  <c r="G467"/>
  <c r="H700"/>
  <c r="H472" i="3"/>
  <c r="H462"/>
  <c r="G462"/>
  <c r="G472"/>
  <c r="G467"/>
  <c r="G705" i="1"/>
  <c r="G303" i="3"/>
  <c r="H692" i="1"/>
  <c r="G308" i="3"/>
  <c r="G462" i="1"/>
  <c r="I371"/>
  <c r="I370" s="1"/>
  <c r="I369" s="1"/>
  <c r="I368" s="1"/>
  <c r="H371"/>
  <c r="H370" s="1"/>
  <c r="H369" s="1"/>
  <c r="H368" s="1"/>
  <c r="G371"/>
  <c r="G370" s="1"/>
  <c r="G369" s="1"/>
  <c r="G368" s="1"/>
  <c r="G979" i="3"/>
  <c r="G615"/>
  <c r="G614" s="1"/>
  <c r="G613" s="1"/>
  <c r="I614"/>
  <c r="I613" s="1"/>
  <c r="H614"/>
  <c r="H613" s="1"/>
  <c r="I179" i="1"/>
  <c r="I178" s="1"/>
  <c r="H179"/>
  <c r="H178" s="1"/>
  <c r="G179"/>
  <c r="G178" s="1"/>
  <c r="G174"/>
  <c r="G606" i="3" s="1"/>
  <c r="G605" s="1"/>
  <c r="G604" s="1"/>
  <c r="G612"/>
  <c r="G611" s="1"/>
  <c r="G610" s="1"/>
  <c r="K611"/>
  <c r="J611"/>
  <c r="I611"/>
  <c r="I610" s="1"/>
  <c r="H611"/>
  <c r="H610" s="1"/>
  <c r="K66" i="1"/>
  <c r="J66"/>
  <c r="I66"/>
  <c r="I65" s="1"/>
  <c r="H66"/>
  <c r="H65" s="1"/>
  <c r="G66"/>
  <c r="G65" s="1"/>
  <c r="G206"/>
  <c r="I605" i="3"/>
  <c r="I604" s="1"/>
  <c r="H605"/>
  <c r="H604" s="1"/>
  <c r="I173" i="1"/>
  <c r="I172" s="1"/>
  <c r="H173"/>
  <c r="H172" s="1"/>
  <c r="G609" i="3"/>
  <c r="G608" s="1"/>
  <c r="G607" s="1"/>
  <c r="I608"/>
  <c r="I607" s="1"/>
  <c r="H608"/>
  <c r="H607" s="1"/>
  <c r="I176" i="1"/>
  <c r="I175" s="1"/>
  <c r="H176"/>
  <c r="H175" s="1"/>
  <c r="G176"/>
  <c r="G175" s="1"/>
  <c r="G411" i="3"/>
  <c r="I413" i="1"/>
  <c r="I412" s="1"/>
  <c r="I394" s="1"/>
  <c r="H413"/>
  <c r="H412" s="1"/>
  <c r="H394" s="1"/>
  <c r="G413"/>
  <c r="G412" s="1"/>
  <c r="G1393"/>
  <c r="G847" i="3"/>
  <c r="G846" s="1"/>
  <c r="G845" s="1"/>
  <c r="I846"/>
  <c r="I845" s="1"/>
  <c r="H846"/>
  <c r="H845" s="1"/>
  <c r="I1366" i="1"/>
  <c r="I1365" s="1"/>
  <c r="H1366"/>
  <c r="H1365" s="1"/>
  <c r="G1366"/>
  <c r="G1365" s="1"/>
  <c r="G554"/>
  <c r="G972" i="3"/>
  <c r="G971" s="1"/>
  <c r="G970" s="1"/>
  <c r="I971"/>
  <c r="I970" s="1"/>
  <c r="H971"/>
  <c r="H970" s="1"/>
  <c r="I557" i="1"/>
  <c r="I556" s="1"/>
  <c r="I555" s="1"/>
  <c r="H557"/>
  <c r="H556" s="1"/>
  <c r="H555" s="1"/>
  <c r="G556"/>
  <c r="G555" s="1"/>
  <c r="G561"/>
  <c r="G615"/>
  <c r="G635"/>
  <c r="G510"/>
  <c r="G386" i="3" s="1"/>
  <c r="G477" i="1"/>
  <c r="G394" l="1"/>
  <c r="G173"/>
  <c r="G172" s="1"/>
  <c r="G419"/>
  <c r="G418" s="1"/>
  <c r="H416"/>
  <c r="H415" s="1"/>
  <c r="I416"/>
  <c r="I415" s="1"/>
  <c r="G416"/>
  <c r="G415" s="1"/>
  <c r="G431" i="3"/>
  <c r="G405"/>
  <c r="G899"/>
  <c r="G898" s="1"/>
  <c r="H896"/>
  <c r="H895" s="1"/>
  <c r="G896"/>
  <c r="I895"/>
  <c r="G1470" i="1"/>
  <c r="H1468"/>
  <c r="H1467" s="1"/>
  <c r="G1468"/>
  <c r="I1467"/>
  <c r="G895" i="3" l="1"/>
  <c r="G1467" i="1"/>
  <c r="H689" i="3"/>
  <c r="I689"/>
  <c r="J264"/>
  <c r="K264"/>
  <c r="L264"/>
  <c r="M264"/>
  <c r="N264"/>
  <c r="O264"/>
  <c r="G907" l="1"/>
  <c r="G906" s="1"/>
  <c r="H904"/>
  <c r="H903" s="1"/>
  <c r="G904"/>
  <c r="I903"/>
  <c r="G689"/>
  <c r="G332"/>
  <c r="G903" l="1"/>
  <c r="H922" l="1"/>
  <c r="H921" s="1"/>
  <c r="H920" s="1"/>
  <c r="I921"/>
  <c r="I920" s="1"/>
  <c r="G921"/>
  <c r="G920" s="1"/>
  <c r="I1111" i="1"/>
  <c r="I1110" s="1"/>
  <c r="I1109" s="1"/>
  <c r="H1111"/>
  <c r="H1110" s="1"/>
  <c r="H1109" s="1"/>
  <c r="G1111"/>
  <c r="G1110" s="1"/>
  <c r="G1109" s="1"/>
  <c r="G355" i="3"/>
  <c r="G354" s="1"/>
  <c r="G353" s="1"/>
  <c r="I354"/>
  <c r="I353" s="1"/>
  <c r="H354"/>
  <c r="H353" s="1"/>
  <c r="I614" i="1"/>
  <c r="I613" s="1"/>
  <c r="H614"/>
  <c r="H613" s="1"/>
  <c r="G614"/>
  <c r="G613" s="1"/>
  <c r="G298" i="3"/>
  <c r="G297" s="1"/>
  <c r="I298"/>
  <c r="H298"/>
  <c r="I455" i="1"/>
  <c r="H455"/>
  <c r="G455"/>
  <c r="I385" i="3" l="1"/>
  <c r="I384" s="1"/>
  <c r="H385"/>
  <c r="H384" s="1"/>
  <c r="G385"/>
  <c r="G384" s="1"/>
  <c r="I509" i="1"/>
  <c r="I508" s="1"/>
  <c r="H509"/>
  <c r="H508" s="1"/>
  <c r="G509"/>
  <c r="G508" s="1"/>
  <c r="G318" i="3"/>
  <c r="G317" s="1"/>
  <c r="G316" s="1"/>
  <c r="G315"/>
  <c r="G314" s="1"/>
  <c r="G313" s="1"/>
  <c r="I317"/>
  <c r="I316" s="1"/>
  <c r="H317"/>
  <c r="H316" s="1"/>
  <c r="I314"/>
  <c r="I313" s="1"/>
  <c r="H314"/>
  <c r="H313" s="1"/>
  <c r="I476" i="1"/>
  <c r="I475" s="1"/>
  <c r="H476"/>
  <c r="H475" s="1"/>
  <c r="G476"/>
  <c r="G475" s="1"/>
  <c r="I473"/>
  <c r="I472" s="1"/>
  <c r="H473"/>
  <c r="H472" s="1"/>
  <c r="G473"/>
  <c r="G472" s="1"/>
  <c r="G206" i="3" l="1"/>
  <c r="G1269" i="1"/>
  <c r="G188" i="3"/>
  <c r="G1251" i="1"/>
  <c r="G211" i="3" l="1"/>
  <c r="L210"/>
  <c r="I210"/>
  <c r="H210"/>
  <c r="G210"/>
  <c r="G1274" i="1"/>
  <c r="G1273" s="1"/>
  <c r="L1273"/>
  <c r="I1273"/>
  <c r="H1273"/>
  <c r="G183" i="3"/>
  <c r="G1246" i="1"/>
  <c r="G1254"/>
  <c r="G719" i="3"/>
  <c r="I660" i="1"/>
  <c r="I659" s="1"/>
  <c r="I658" s="1"/>
  <c r="H660"/>
  <c r="H659" s="1"/>
  <c r="H658" s="1"/>
  <c r="I370" i="3"/>
  <c r="H370"/>
  <c r="G370"/>
  <c r="I369"/>
  <c r="H369"/>
  <c r="G369"/>
  <c r="I488" i="1"/>
  <c r="H488"/>
  <c r="G488"/>
  <c r="I487"/>
  <c r="H487"/>
  <c r="G487"/>
  <c r="I367" i="3"/>
  <c r="H367"/>
  <c r="G367"/>
  <c r="I366"/>
  <c r="H366"/>
  <c r="G366"/>
  <c r="I485" i="1"/>
  <c r="H485"/>
  <c r="G485"/>
  <c r="I484"/>
  <c r="H484"/>
  <c r="G484"/>
  <c r="I479"/>
  <c r="H479"/>
  <c r="G479"/>
  <c r="G94" s="1"/>
  <c r="G93" s="1"/>
  <c r="G1300"/>
  <c r="I152" i="3"/>
  <c r="I151" s="1"/>
  <c r="H152"/>
  <c r="H151" s="1"/>
  <c r="G152"/>
  <c r="G151" s="1"/>
  <c r="I1039" i="1"/>
  <c r="I1038" s="1"/>
  <c r="H1039"/>
  <c r="H1038" s="1"/>
  <c r="G1039"/>
  <c r="G1038" s="1"/>
  <c r="G660" l="1"/>
  <c r="G659" s="1"/>
  <c r="G658" s="1"/>
  <c r="I564" i="3"/>
  <c r="I563" s="1"/>
  <c r="I562" s="1"/>
  <c r="H563"/>
  <c r="H562" s="1"/>
  <c r="G563"/>
  <c r="G562" s="1"/>
  <c r="I1539" i="1"/>
  <c r="I1538" s="1"/>
  <c r="I1537" s="1"/>
  <c r="G1538"/>
  <c r="G1537" s="1"/>
  <c r="H1538"/>
  <c r="H1537" s="1"/>
  <c r="G1018"/>
  <c r="I226" i="3"/>
  <c r="I225" s="1"/>
  <c r="H226"/>
  <c r="H225" s="1"/>
  <c r="G226"/>
  <c r="G225" s="1"/>
  <c r="G1283" i="1"/>
  <c r="G1282" s="1"/>
  <c r="I1283"/>
  <c r="I1282" s="1"/>
  <c r="H1283"/>
  <c r="H1282" s="1"/>
  <c r="I718" i="3"/>
  <c r="I717" s="1"/>
  <c r="H718"/>
  <c r="H717" s="1"/>
  <c r="G718"/>
  <c r="G717" s="1"/>
  <c r="G84" i="1"/>
  <c r="G83" s="1"/>
  <c r="G82" s="1"/>
  <c r="I84"/>
  <c r="I83" s="1"/>
  <c r="I82" s="1"/>
  <c r="H84"/>
  <c r="H83" s="1"/>
  <c r="H82" s="1"/>
  <c r="G296"/>
  <c r="I843" i="3"/>
  <c r="I842" s="1"/>
  <c r="H843"/>
  <c r="H842" s="1"/>
  <c r="G843"/>
  <c r="G842" s="1"/>
  <c r="I1363" i="1" l="1"/>
  <c r="I1362" s="1"/>
  <c r="H1363"/>
  <c r="H1362" s="1"/>
  <c r="G1363"/>
  <c r="G1362" s="1"/>
  <c r="J742" i="3"/>
  <c r="K742"/>
  <c r="L742"/>
  <c r="M742"/>
  <c r="N742"/>
  <c r="O742"/>
  <c r="H743"/>
  <c r="H742" s="1"/>
  <c r="H741" s="1"/>
  <c r="I743"/>
  <c r="I742" s="1"/>
  <c r="I741" s="1"/>
  <c r="H1017" i="1"/>
  <c r="I1017"/>
  <c r="H794" i="3"/>
  <c r="H793" s="1"/>
  <c r="I794"/>
  <c r="I793" s="1"/>
  <c r="J952" i="1"/>
  <c r="K952"/>
  <c r="L952"/>
  <c r="M952"/>
  <c r="N952"/>
  <c r="H954"/>
  <c r="H953" s="1"/>
  <c r="I954"/>
  <c r="I953" s="1"/>
  <c r="I1130" i="3"/>
  <c r="I1129" s="1"/>
  <c r="I1128" s="1"/>
  <c r="H1130"/>
  <c r="H1129" s="1"/>
  <c r="H1128" s="1"/>
  <c r="G1130"/>
  <c r="G1129" s="1"/>
  <c r="G1128" s="1"/>
  <c r="I932" i="1"/>
  <c r="I931" s="1"/>
  <c r="I930" s="1"/>
  <c r="H932"/>
  <c r="H931" s="1"/>
  <c r="H930" s="1"/>
  <c r="G932"/>
  <c r="G931" s="1"/>
  <c r="G930" s="1"/>
  <c r="H1016" l="1"/>
  <c r="I1016"/>
  <c r="H383" i="3"/>
  <c r="I383"/>
  <c r="G383"/>
  <c r="H349"/>
  <c r="I349"/>
  <c r="H341"/>
  <c r="I341"/>
  <c r="H324"/>
  <c r="I324"/>
  <c r="H302"/>
  <c r="I302"/>
  <c r="H296"/>
  <c r="I296"/>
  <c r="H293"/>
  <c r="I293"/>
  <c r="H277"/>
  <c r="I277"/>
  <c r="H401"/>
  <c r="I401"/>
  <c r="I382" l="1"/>
  <c r="I381" s="1"/>
  <c r="H382"/>
  <c r="H381" s="1"/>
  <c r="G382"/>
  <c r="G381" s="1"/>
  <c r="I754" i="1"/>
  <c r="I753" s="1"/>
  <c r="H754"/>
  <c r="H753" s="1"/>
  <c r="G754"/>
  <c r="G753" s="1"/>
  <c r="I388" i="3"/>
  <c r="I387" s="1"/>
  <c r="H388"/>
  <c r="H387" s="1"/>
  <c r="G388"/>
  <c r="G387" s="1"/>
  <c r="I512" i="1"/>
  <c r="I511" s="1"/>
  <c r="H512"/>
  <c r="H511" s="1"/>
  <c r="G512"/>
  <c r="G511" s="1"/>
  <c r="I334" i="3"/>
  <c r="I333" s="1"/>
  <c r="H334"/>
  <c r="H333" s="1"/>
  <c r="G334"/>
  <c r="G333" s="1"/>
  <c r="I506" i="1"/>
  <c r="I505" s="1"/>
  <c r="H506"/>
  <c r="H505" s="1"/>
  <c r="G506"/>
  <c r="G505" s="1"/>
  <c r="G255" i="3"/>
  <c r="H1062"/>
  <c r="I1062"/>
  <c r="H679"/>
  <c r="H678" s="1"/>
  <c r="I679"/>
  <c r="I678" s="1"/>
  <c r="H688"/>
  <c r="H687" s="1"/>
  <c r="I688"/>
  <c r="I687" s="1"/>
  <c r="K682"/>
  <c r="J682"/>
  <c r="I682"/>
  <c r="I681" s="1"/>
  <c r="H682"/>
  <c r="H681" s="1"/>
  <c r="G682"/>
  <c r="G681" s="1"/>
  <c r="K230" i="1"/>
  <c r="J230"/>
  <c r="I230"/>
  <c r="I229" s="1"/>
  <c r="H230"/>
  <c r="H229" s="1"/>
  <c r="G230"/>
  <c r="G229" s="1"/>
  <c r="H227"/>
  <c r="H226" s="1"/>
  <c r="I227"/>
  <c r="I226" s="1"/>
  <c r="H224"/>
  <c r="H223" s="1"/>
  <c r="I224"/>
  <c r="I223" s="1"/>
  <c r="K685" i="3"/>
  <c r="J685"/>
  <c r="I685"/>
  <c r="I684" s="1"/>
  <c r="H685"/>
  <c r="H684" s="1"/>
  <c r="G685"/>
  <c r="G684" s="1"/>
  <c r="H80" i="1"/>
  <c r="H79" s="1"/>
  <c r="I80"/>
  <c r="I79" s="1"/>
  <c r="K80"/>
  <c r="J80"/>
  <c r="G80"/>
  <c r="G79" s="1"/>
  <c r="G688" i="3"/>
  <c r="G687" s="1"/>
  <c r="G224" i="1"/>
  <c r="G223" s="1"/>
  <c r="K679" i="3"/>
  <c r="J679"/>
  <c r="G679"/>
  <c r="G678" s="1"/>
  <c r="K227" i="1"/>
  <c r="J227"/>
  <c r="G227"/>
  <c r="G226" s="1"/>
  <c r="K676" i="3"/>
  <c r="J676"/>
  <c r="G676"/>
  <c r="G675" s="1"/>
  <c r="G77" i="1"/>
  <c r="G76" s="1"/>
  <c r="K77"/>
  <c r="J77"/>
  <c r="I627"/>
  <c r="I361" i="3" s="1"/>
  <c r="H627" i="1"/>
  <c r="H361" i="3" s="1"/>
  <c r="I618" i="1"/>
  <c r="I290" i="3" s="1"/>
  <c r="H618" i="1"/>
  <c r="H290" i="3" s="1"/>
  <c r="G618" i="1"/>
  <c r="I609"/>
  <c r="H609"/>
  <c r="G609"/>
  <c r="G1444" l="1"/>
  <c r="I764" l="1"/>
  <c r="H764"/>
  <c r="G764"/>
  <c r="I978" i="3"/>
  <c r="I977" s="1"/>
  <c r="I976" s="1"/>
  <c r="H978"/>
  <c r="H977" s="1"/>
  <c r="H976" s="1"/>
  <c r="G978"/>
  <c r="G977" s="1"/>
  <c r="G976" s="1"/>
  <c r="I1147" i="1"/>
  <c r="I1146" s="1"/>
  <c r="I1145" s="1"/>
  <c r="H1147"/>
  <c r="H1146" s="1"/>
  <c r="H1145" s="1"/>
  <c r="G1147"/>
  <c r="G1146" s="1"/>
  <c r="G1145" s="1"/>
  <c r="I780"/>
  <c r="H780"/>
  <c r="I404" i="3"/>
  <c r="I403" s="1"/>
  <c r="H404"/>
  <c r="H403" s="1"/>
  <c r="G404"/>
  <c r="G403" s="1"/>
  <c r="G640" i="1"/>
  <c r="G639" s="1"/>
  <c r="I640"/>
  <c r="I639" s="1"/>
  <c r="H640"/>
  <c r="H639" s="1"/>
  <c r="G1316"/>
  <c r="I382"/>
  <c r="I283" i="3" s="1"/>
  <c r="H382" i="1"/>
  <c r="H283" i="3" s="1"/>
  <c r="I331"/>
  <c r="H331"/>
  <c r="G331"/>
  <c r="I478" i="1"/>
  <c r="H478"/>
  <c r="G478"/>
  <c r="J1163" i="3" l="1"/>
  <c r="K1163"/>
  <c r="M1163"/>
  <c r="N1163"/>
  <c r="O1163"/>
  <c r="H365" l="1"/>
  <c r="I365"/>
  <c r="H363"/>
  <c r="I363"/>
  <c r="H362"/>
  <c r="I362"/>
  <c r="G626" i="1"/>
  <c r="I924" l="1"/>
  <c r="K596" i="3" l="1"/>
  <c r="J596"/>
  <c r="I596"/>
  <c r="I595" s="1"/>
  <c r="H596"/>
  <c r="H595" s="1"/>
  <c r="G596"/>
  <c r="G595" s="1"/>
  <c r="K41" i="1"/>
  <c r="J41"/>
  <c r="I41"/>
  <c r="I40" s="1"/>
  <c r="H41"/>
  <c r="H40" s="1"/>
  <c r="G41"/>
  <c r="G40" s="1"/>
  <c r="G815" i="3" l="1"/>
  <c r="I167" l="1"/>
  <c r="I166" s="1"/>
  <c r="I1232" i="1"/>
  <c r="H238" i="3"/>
  <c r="J1229" i="1"/>
  <c r="K1229"/>
  <c r="M1229"/>
  <c r="N1229"/>
  <c r="H167" i="3"/>
  <c r="H166" s="1"/>
  <c r="G167"/>
  <c r="G166" s="1"/>
  <c r="I1231" i="1"/>
  <c r="H1232"/>
  <c r="H1231" s="1"/>
  <c r="G1232"/>
  <c r="G1231" s="1"/>
  <c r="I1295"/>
  <c r="G1296"/>
  <c r="G239" i="3" s="1"/>
  <c r="H1295" i="1" l="1"/>
  <c r="I238" i="3"/>
  <c r="H515"/>
  <c r="G512"/>
  <c r="H1370" i="1"/>
  <c r="I1370" s="1"/>
  <c r="I1504"/>
  <c r="I1513"/>
  <c r="G536" i="3"/>
  <c r="H1510" i="1"/>
  <c r="H526" i="3" s="1"/>
  <c r="G891"/>
  <c r="I891"/>
  <c r="H891"/>
  <c r="I1450" i="1"/>
  <c r="H1330"/>
  <c r="I1330" s="1"/>
  <c r="G252" i="3"/>
  <c r="H114" i="1"/>
  <c r="I393" i="3"/>
  <c r="H393"/>
  <c r="I395"/>
  <c r="H395"/>
  <c r="G395"/>
  <c r="I518" i="1"/>
  <c r="H518"/>
  <c r="G518"/>
  <c r="I758" i="3"/>
  <c r="I757" s="1"/>
  <c r="H758"/>
  <c r="H757" s="1"/>
  <c r="H366" i="1"/>
  <c r="I366"/>
  <c r="I733" i="3"/>
  <c r="I731"/>
  <c r="H733"/>
  <c r="G733"/>
  <c r="I1510" i="1" l="1"/>
  <c r="I526" i="3" s="1"/>
  <c r="I495" i="1"/>
  <c r="H495"/>
  <c r="I352" i="3"/>
  <c r="H352"/>
  <c r="G352"/>
  <c r="G495" i="1"/>
  <c r="I411" i="3"/>
  <c r="H411"/>
  <c r="I742" i="1"/>
  <c r="I271" i="3" s="1"/>
  <c r="H742" i="1"/>
  <c r="H271" i="3" s="1"/>
  <c r="G742" i="1"/>
  <c r="I720" l="1"/>
  <c r="H720"/>
  <c r="H351" i="3"/>
  <c r="H350" s="1"/>
  <c r="G351"/>
  <c r="G350" s="1"/>
  <c r="I351"/>
  <c r="I350" s="1"/>
  <c r="G341"/>
  <c r="I1204" i="1"/>
  <c r="H1204"/>
  <c r="G1196"/>
  <c r="H1196" s="1"/>
  <c r="I1196" s="1"/>
  <c r="I186" l="1"/>
  <c r="I116"/>
  <c r="H116"/>
  <c r="H113" s="1"/>
  <c r="G116"/>
  <c r="I502" i="3"/>
  <c r="H502"/>
  <c r="G502"/>
  <c r="I27" i="1"/>
  <c r="H27"/>
  <c r="G27"/>
  <c r="I259"/>
  <c r="I258" s="1"/>
  <c r="G594" i="3"/>
  <c r="I148" i="1"/>
  <c r="H148"/>
  <c r="G148"/>
  <c r="H259"/>
  <c r="H258" s="1"/>
  <c r="I304" l="1"/>
  <c r="H304"/>
  <c r="I642" i="3"/>
  <c r="I641" s="1"/>
  <c r="I640" s="1"/>
  <c r="H642"/>
  <c r="H641" s="1"/>
  <c r="H640" s="1"/>
  <c r="G642"/>
  <c r="G641" s="1"/>
  <c r="G640" s="1"/>
  <c r="I636"/>
  <c r="I635" s="1"/>
  <c r="I634" s="1"/>
  <c r="H636"/>
  <c r="H635" s="1"/>
  <c r="H634" s="1"/>
  <c r="I907" i="1"/>
  <c r="I906" s="1"/>
  <c r="H907"/>
  <c r="H906" s="1"/>
  <c r="G907"/>
  <c r="G906" s="1"/>
  <c r="G911"/>
  <c r="G910" s="1"/>
  <c r="H911"/>
  <c r="H910" s="1"/>
  <c r="I911"/>
  <c r="I910" s="1"/>
  <c r="G636" i="3"/>
  <c r="I35"/>
  <c r="H35"/>
  <c r="G52"/>
  <c r="I844" i="1"/>
  <c r="H844"/>
  <c r="I805"/>
  <c r="H805"/>
  <c r="G805"/>
  <c r="I84" i="3" l="1"/>
  <c r="H84"/>
  <c r="H763" i="1" l="1"/>
  <c r="I763"/>
  <c r="G763"/>
  <c r="G40" i="3"/>
  <c r="G888" i="1"/>
  <c r="H449"/>
  <c r="H63"/>
  <c r="G862"/>
  <c r="G630"/>
  <c r="G625" s="1"/>
  <c r="G191"/>
  <c r="G1000" i="3" l="1"/>
  <c r="H950"/>
  <c r="I950"/>
  <c r="H489"/>
  <c r="I489"/>
  <c r="G455"/>
  <c r="H327"/>
  <c r="I327"/>
  <c r="G1305" i="1" l="1"/>
  <c r="G1304" s="1"/>
  <c r="H1305"/>
  <c r="H1304" s="1"/>
  <c r="I1305"/>
  <c r="I1304" s="1"/>
  <c r="G1261"/>
  <c r="G1260" s="1"/>
  <c r="H935"/>
  <c r="I935"/>
  <c r="H897"/>
  <c r="I897"/>
  <c r="G897"/>
  <c r="G887"/>
  <c r="H845"/>
  <c r="I845"/>
  <c r="G845"/>
  <c r="J112"/>
  <c r="K112"/>
  <c r="L112"/>
  <c r="M112"/>
  <c r="G224" i="3" l="1"/>
  <c r="G223" s="1"/>
  <c r="G222" s="1"/>
  <c r="G1280" i="1"/>
  <c r="G1279" s="1"/>
  <c r="G194" i="3"/>
  <c r="G193" s="1"/>
  <c r="G192" s="1"/>
  <c r="G1256" i="1"/>
  <c r="G1255" s="1"/>
  <c r="G84" i="3" l="1"/>
  <c r="G1091" i="1"/>
  <c r="G291"/>
  <c r="G1144"/>
  <c r="I237" i="3"/>
  <c r="G672"/>
  <c r="G671" s="1"/>
  <c r="G674"/>
  <c r="G165" i="1"/>
  <c r="I443" l="1"/>
  <c r="I268" i="3" s="1"/>
  <c r="H443" i="1"/>
  <c r="H268" i="3" s="1"/>
  <c r="H380"/>
  <c r="I380"/>
  <c r="G661"/>
  <c r="G1107"/>
  <c r="G1096"/>
  <c r="G1006"/>
  <c r="I1006"/>
  <c r="H1006"/>
  <c r="G666"/>
  <c r="G669"/>
  <c r="G380" l="1"/>
  <c r="G379" s="1"/>
  <c r="G378" s="1"/>
  <c r="I379"/>
  <c r="I378" s="1"/>
  <c r="H379"/>
  <c r="H378" s="1"/>
  <c r="G997"/>
  <c r="G996" s="1"/>
  <c r="G1412" i="1"/>
  <c r="G1411" s="1"/>
  <c r="G1351"/>
  <c r="G1350" s="1"/>
  <c r="G142" i="3"/>
  <c r="G141" s="1"/>
  <c r="G1090" i="1"/>
  <c r="G999" i="3"/>
  <c r="G998" s="1"/>
  <c r="G974" i="1"/>
  <c r="G973" s="1"/>
  <c r="G441" i="3"/>
  <c r="G440" s="1"/>
  <c r="G439" s="1"/>
  <c r="G444"/>
  <c r="G443" s="1"/>
  <c r="G442" s="1"/>
  <c r="I443"/>
  <c r="H443"/>
  <c r="I441"/>
  <c r="H441"/>
  <c r="I439"/>
  <c r="H439"/>
  <c r="G680" i="1"/>
  <c r="G374" i="3"/>
  <c r="G373" s="1"/>
  <c r="G372" s="1"/>
  <c r="I373"/>
  <c r="I372" s="1"/>
  <c r="H373"/>
  <c r="H372" s="1"/>
  <c r="I623" i="1"/>
  <c r="I622" s="1"/>
  <c r="H623"/>
  <c r="H622" s="1"/>
  <c r="G623"/>
  <c r="G622" s="1"/>
  <c r="G393" i="3"/>
  <c r="G392" s="1"/>
  <c r="G391" s="1"/>
  <c r="I392"/>
  <c r="I391" s="1"/>
  <c r="H392"/>
  <c r="H391" s="1"/>
  <c r="H516" i="1"/>
  <c r="H515" s="1"/>
  <c r="H514" s="1"/>
  <c r="I516"/>
  <c r="I515" s="1"/>
  <c r="I514" s="1"/>
  <c r="G516"/>
  <c r="G515" s="1"/>
  <c r="G514" s="1"/>
  <c r="G268" i="3"/>
  <c r="G267" s="1"/>
  <c r="G266" s="1"/>
  <c r="L267"/>
  <c r="M267" s="1"/>
  <c r="I267"/>
  <c r="I266" s="1"/>
  <c r="H267"/>
  <c r="H266" s="1"/>
  <c r="I442" i="1"/>
  <c r="H442"/>
  <c r="G443"/>
  <c r="G442" s="1"/>
  <c r="G758" i="3"/>
  <c r="G757" s="1"/>
  <c r="G366" i="1"/>
  <c r="G995" i="3" l="1"/>
  <c r="I495"/>
  <c r="I494" s="1"/>
  <c r="H495"/>
  <c r="H494" s="1"/>
  <c r="G495"/>
  <c r="G494" s="1"/>
  <c r="I1453" i="1"/>
  <c r="I1452" s="1"/>
  <c r="H1453"/>
  <c r="H1452" s="1"/>
  <c r="G1453"/>
  <c r="G1452" s="1"/>
  <c r="G1456"/>
  <c r="G1455" s="1"/>
  <c r="H1456"/>
  <c r="H1455" s="1"/>
  <c r="I1456"/>
  <c r="I1455" s="1"/>
  <c r="I1451" l="1"/>
  <c r="G1451"/>
  <c r="H1451"/>
  <c r="G910" i="3"/>
  <c r="G909" s="1"/>
  <c r="G908" s="1"/>
  <c r="G1110"/>
  <c r="G1461" i="1" l="1"/>
  <c r="G1460" s="1"/>
  <c r="G138" i="3"/>
  <c r="G140"/>
  <c r="G139" s="1"/>
  <c r="I1088" i="1"/>
  <c r="H1088"/>
  <c r="G1088"/>
  <c r="I357"/>
  <c r="I356" s="1"/>
  <c r="I355" s="1"/>
  <c r="I354" s="1"/>
  <c r="I353" s="1"/>
  <c r="H357"/>
  <c r="H356" s="1"/>
  <c r="H355" s="1"/>
  <c r="H354" s="1"/>
  <c r="H353" s="1"/>
  <c r="G575"/>
  <c r="G574" s="1"/>
  <c r="G1105" i="3"/>
  <c r="G1104" s="1"/>
  <c r="G1103" s="1"/>
  <c r="I1104"/>
  <c r="I1103" s="1"/>
  <c r="H1104"/>
  <c r="H1103" s="1"/>
  <c r="G401" l="1"/>
  <c r="H634" i="1"/>
  <c r="H633" s="1"/>
  <c r="I634"/>
  <c r="I633" s="1"/>
  <c r="G634"/>
  <c r="G633" s="1"/>
  <c r="G1116" i="3" l="1"/>
  <c r="G1109" l="1"/>
  <c r="G1106" s="1"/>
  <c r="G358" i="1"/>
  <c r="G357" s="1"/>
  <c r="G356" s="1"/>
  <c r="G355" s="1"/>
  <c r="G792" i="3"/>
  <c r="G791" s="1"/>
  <c r="G790" s="1"/>
  <c r="G983" i="1"/>
  <c r="G986"/>
  <c r="G365" i="3"/>
  <c r="G363"/>
  <c r="G362"/>
  <c r="G423"/>
  <c r="G422" s="1"/>
  <c r="G421" s="1"/>
  <c r="I422"/>
  <c r="I421" s="1"/>
  <c r="H422"/>
  <c r="H421" s="1"/>
  <c r="I545" i="1"/>
  <c r="I544" s="1"/>
  <c r="H545"/>
  <c r="H544" s="1"/>
  <c r="G545"/>
  <c r="G544" s="1"/>
  <c r="G417" i="3"/>
  <c r="G416" s="1"/>
  <c r="G415" s="1"/>
  <c r="I539" i="1"/>
  <c r="I538" s="1"/>
  <c r="H539"/>
  <c r="H538" s="1"/>
  <c r="G539"/>
  <c r="G538" s="1"/>
  <c r="I416" i="3"/>
  <c r="I415" s="1"/>
  <c r="H416"/>
  <c r="H415" s="1"/>
  <c r="I413"/>
  <c r="I412" s="1"/>
  <c r="H413"/>
  <c r="H412" s="1"/>
  <c r="I533" i="1"/>
  <c r="I532" s="1"/>
  <c r="H533"/>
  <c r="H532" s="1"/>
  <c r="G533"/>
  <c r="G532" s="1"/>
  <c r="G290" i="3"/>
  <c r="G289" s="1"/>
  <c r="G288" s="1"/>
  <c r="I289"/>
  <c r="I288" s="1"/>
  <c r="H289"/>
  <c r="H288" s="1"/>
  <c r="I617" i="1"/>
  <c r="I616" s="1"/>
  <c r="H617"/>
  <c r="H616" s="1"/>
  <c r="G617"/>
  <c r="G616" s="1"/>
  <c r="G361" i="3"/>
  <c r="H285" i="1"/>
  <c r="I285"/>
  <c r="H626"/>
  <c r="I626"/>
  <c r="H630"/>
  <c r="I630"/>
  <c r="H360" i="3"/>
  <c r="I360"/>
  <c r="H364"/>
  <c r="I364"/>
  <c r="H359" l="1"/>
  <c r="I359"/>
  <c r="G414"/>
  <c r="G413" s="1"/>
  <c r="G412" s="1"/>
  <c r="I625" i="1"/>
  <c r="H625"/>
  <c r="G364" i="3"/>
  <c r="G360"/>
  <c r="G359" l="1"/>
  <c r="G508"/>
  <c r="G885"/>
  <c r="G520"/>
  <c r="I911"/>
  <c r="G914"/>
  <c r="I1472" i="1"/>
  <c r="G1475"/>
  <c r="G864" i="3"/>
  <c r="G863" s="1"/>
  <c r="G862" s="1"/>
  <c r="G1396" i="1"/>
  <c r="G882" i="3" s="1"/>
  <c r="I863"/>
  <c r="I862" s="1"/>
  <c r="H863"/>
  <c r="H862" s="1"/>
  <c r="I1404" i="1"/>
  <c r="I1403" s="1"/>
  <c r="H1404"/>
  <c r="H1403" s="1"/>
  <c r="G215" i="3"/>
  <c r="G1113" l="1"/>
  <c r="G935" i="1"/>
  <c r="G1404"/>
  <c r="G1403" s="1"/>
  <c r="H1092" i="3"/>
  <c r="I1092"/>
  <c r="G1092"/>
  <c r="I888"/>
  <c r="G888"/>
  <c r="G919"/>
  <c r="G918" s="1"/>
  <c r="G917" s="1"/>
  <c r="G916" s="1"/>
  <c r="H713"/>
  <c r="I713"/>
  <c r="G713"/>
  <c r="G574"/>
  <c r="G434"/>
  <c r="G346"/>
  <c r="I255"/>
  <c r="H255"/>
  <c r="I252"/>
  <c r="H252"/>
  <c r="G433" l="1"/>
  <c r="G432" s="1"/>
  <c r="G1112"/>
  <c r="G238"/>
  <c r="I236"/>
  <c r="I235" s="1"/>
  <c r="I228" s="1"/>
  <c r="H236"/>
  <c r="H235" s="1"/>
  <c r="H228" s="1"/>
  <c r="G237"/>
  <c r="G236" s="1"/>
  <c r="G233"/>
  <c r="G232" s="1"/>
  <c r="G230"/>
  <c r="G229" s="1"/>
  <c r="I644"/>
  <c r="I643" s="1"/>
  <c r="H644"/>
  <c r="H643" s="1"/>
  <c r="G644"/>
  <c r="G643" s="1"/>
  <c r="H53" i="1"/>
  <c r="H52" s="1"/>
  <c r="I52"/>
  <c r="G53"/>
  <c r="G52" s="1"/>
  <c r="I639" i="3"/>
  <c r="I638" s="1"/>
  <c r="I637" s="1"/>
  <c r="H638"/>
  <c r="H637" s="1"/>
  <c r="G638"/>
  <c r="G637" s="1"/>
  <c r="H47" i="1"/>
  <c r="H46" s="1"/>
  <c r="I47"/>
  <c r="I46" s="1"/>
  <c r="G47"/>
  <c r="G46" s="1"/>
  <c r="G235" i="3" l="1"/>
  <c r="G228" s="1"/>
  <c r="I1458" i="1"/>
  <c r="H45" i="2" s="1"/>
  <c r="G1478" i="1"/>
  <c r="G1477" s="1"/>
  <c r="I985"/>
  <c r="H985"/>
  <c r="G985"/>
  <c r="G982" s="1"/>
  <c r="G978"/>
  <c r="G977" s="1"/>
  <c r="G976" s="1"/>
  <c r="G712" i="3"/>
  <c r="G711" s="1"/>
  <c r="I712"/>
  <c r="I711" s="1"/>
  <c r="H712"/>
  <c r="H711" s="1"/>
  <c r="H348"/>
  <c r="H347" s="1"/>
  <c r="I348"/>
  <c r="I347" s="1"/>
  <c r="G349"/>
  <c r="I392" i="1"/>
  <c r="I391" s="1"/>
  <c r="H392"/>
  <c r="H391" s="1"/>
  <c r="G392"/>
  <c r="G391" s="1"/>
  <c r="H716" i="3"/>
  <c r="I716"/>
  <c r="G716"/>
  <c r="G715" s="1"/>
  <c r="G714" s="1"/>
  <c r="G283" i="1"/>
  <c r="G377" i="3"/>
  <c r="I376"/>
  <c r="I375" s="1"/>
  <c r="H376"/>
  <c r="H375" s="1"/>
  <c r="I500" i="1"/>
  <c r="I499" s="1"/>
  <c r="H500"/>
  <c r="H499" s="1"/>
  <c r="G500"/>
  <c r="G499" s="1"/>
  <c r="G1523"/>
  <c r="G969" i="3"/>
  <c r="G968" s="1"/>
  <c r="G967" s="1"/>
  <c r="I968"/>
  <c r="I967" s="1"/>
  <c r="H968"/>
  <c r="H967" s="1"/>
  <c r="I652" i="1"/>
  <c r="I651" s="1"/>
  <c r="I650" s="1"/>
  <c r="H652"/>
  <c r="H651" s="1"/>
  <c r="H650" s="1"/>
  <c r="G652"/>
  <c r="G651" s="1"/>
  <c r="G650" s="1"/>
  <c r="H1473"/>
  <c r="H1472" s="1"/>
  <c r="I261" i="3"/>
  <c r="G261"/>
  <c r="H261"/>
  <c r="H1388" i="1"/>
  <c r="H888" i="3" s="1"/>
  <c r="I913"/>
  <c r="G913"/>
  <c r="G912" s="1"/>
  <c r="G911" s="1"/>
  <c r="H1385" i="1"/>
  <c r="G1473"/>
  <c r="G1472" s="1"/>
  <c r="G1459" s="1"/>
  <c r="H651" i="3"/>
  <c r="I657"/>
  <c r="H657"/>
  <c r="H603"/>
  <c r="H602" s="1"/>
  <c r="H601" s="1"/>
  <c r="I602"/>
  <c r="I601" s="1"/>
  <c r="G602"/>
  <c r="G601" s="1"/>
  <c r="I144" i="1"/>
  <c r="I143" s="1"/>
  <c r="H144"/>
  <c r="H143" s="1"/>
  <c r="G144"/>
  <c r="G143" s="1"/>
  <c r="I110"/>
  <c r="I109" s="1"/>
  <c r="H110"/>
  <c r="H109" s="1"/>
  <c r="G110"/>
  <c r="G109" s="1"/>
  <c r="H295"/>
  <c r="H294" s="1"/>
  <c r="I295"/>
  <c r="I294" s="1"/>
  <c r="G295"/>
  <c r="G294" s="1"/>
  <c r="G220" i="3"/>
  <c r="G219" s="1"/>
  <c r="H438"/>
  <c r="I438"/>
  <c r="I107" i="1"/>
  <c r="I106" s="1"/>
  <c r="H107"/>
  <c r="H106" s="1"/>
  <c r="G107"/>
  <c r="G106" s="1"/>
  <c r="G438" i="3"/>
  <c r="G1290" i="1"/>
  <c r="G1289" s="1"/>
  <c r="I262"/>
  <c r="H262"/>
  <c r="G262"/>
  <c r="G635" i="3"/>
  <c r="G634" s="1"/>
  <c r="G633"/>
  <c r="G348" l="1"/>
  <c r="G347" s="1"/>
  <c r="H105" i="1"/>
  <c r="H1458"/>
  <c r="G45" i="2" s="1"/>
  <c r="H913" i="3"/>
  <c r="H912" s="1"/>
  <c r="H911" s="1"/>
  <c r="G376"/>
  <c r="G375" s="1"/>
  <c r="G105" i="1"/>
  <c r="G104" s="1"/>
  <c r="I105"/>
  <c r="H293"/>
  <c r="H292" s="1"/>
  <c r="G63" i="2" s="1"/>
  <c r="I293" i="1"/>
  <c r="I292" s="1"/>
  <c r="H63" i="2" s="1"/>
  <c r="G293" i="1"/>
  <c r="G292" s="1"/>
  <c r="F63" i="2" s="1"/>
  <c r="I104" i="1"/>
  <c r="H104"/>
  <c r="G561" i="3" l="1"/>
  <c r="G544"/>
  <c r="I890" i="1" l="1"/>
  <c r="H890"/>
  <c r="G38" i="3"/>
  <c r="G39"/>
  <c r="I514"/>
  <c r="I513" s="1"/>
  <c r="H514"/>
  <c r="H513" s="1"/>
  <c r="G514"/>
  <c r="G513" s="1"/>
  <c r="I1302" i="1"/>
  <c r="I1301" s="1"/>
  <c r="H1302"/>
  <c r="H1301" s="1"/>
  <c r="G1302"/>
  <c r="G1301" s="1"/>
  <c r="G573" i="3"/>
  <c r="G572"/>
  <c r="G50" i="1"/>
  <c r="G49"/>
  <c r="G217" i="3"/>
  <c r="G216" s="1"/>
  <c r="G1287" i="1"/>
  <c r="G1286" s="1"/>
  <c r="I410" i="3"/>
  <c r="I409" s="1"/>
  <c r="H410"/>
  <c r="H409" s="1"/>
  <c r="G410"/>
  <c r="G409" s="1"/>
  <c r="I536" i="1"/>
  <c r="I535" s="1"/>
  <c r="H536"/>
  <c r="H535" s="1"/>
  <c r="G536"/>
  <c r="G535" s="1"/>
  <c r="I343" i="3"/>
  <c r="I342" s="1"/>
  <c r="H343"/>
  <c r="H342" s="1"/>
  <c r="G343"/>
  <c r="G342" s="1"/>
  <c r="I751" i="1"/>
  <c r="I750" s="1"/>
  <c r="H751"/>
  <c r="H750" s="1"/>
  <c r="G751"/>
  <c r="G1465"/>
  <c r="I460" i="3"/>
  <c r="I459" s="1"/>
  <c r="H460"/>
  <c r="H459" s="1"/>
  <c r="G460"/>
  <c r="G459" s="1"/>
  <c r="G435" s="1"/>
  <c r="I690" i="1"/>
  <c r="I689" s="1"/>
  <c r="H690"/>
  <c r="H689" s="1"/>
  <c r="G690"/>
  <c r="G689" s="1"/>
  <c r="G938"/>
  <c r="G937" s="1"/>
  <c r="I242" i="3"/>
  <c r="I241" s="1"/>
  <c r="H242"/>
  <c r="H241" s="1"/>
  <c r="G242"/>
  <c r="G241" s="1"/>
  <c r="I63" i="1"/>
  <c r="I62" s="1"/>
  <c r="I61" s="1"/>
  <c r="H62"/>
  <c r="H61" s="1"/>
  <c r="G63"/>
  <c r="G62" s="1"/>
  <c r="I555" i="3"/>
  <c r="I554" s="1"/>
  <c r="H555"/>
  <c r="H554" s="1"/>
  <c r="G555"/>
  <c r="G554" s="1"/>
  <c r="I1532" i="1"/>
  <c r="I1531" s="1"/>
  <c r="H1532"/>
  <c r="H1531" s="1"/>
  <c r="G1532"/>
  <c r="G1531" s="1"/>
  <c r="G543" i="3"/>
  <c r="G1517" i="1"/>
  <c r="G542" i="3"/>
  <c r="I560"/>
  <c r="H560"/>
  <c r="G560"/>
  <c r="I1535" i="1"/>
  <c r="I1534" s="1"/>
  <c r="H1535"/>
  <c r="H1534" s="1"/>
  <c r="G1535"/>
  <c r="G1534" s="1"/>
  <c r="G553" i="3"/>
  <c r="G547"/>
  <c r="I260"/>
  <c r="I259" s="1"/>
  <c r="H260"/>
  <c r="H259" s="1"/>
  <c r="G260"/>
  <c r="G259" s="1"/>
  <c r="I1348" i="1"/>
  <c r="I1347" s="1"/>
  <c r="H1348"/>
  <c r="H1347" s="1"/>
  <c r="G1348"/>
  <c r="G1347" s="1"/>
  <c r="I83" i="3"/>
  <c r="I82" s="1"/>
  <c r="H83"/>
  <c r="H82" s="1"/>
  <c r="G83"/>
  <c r="G82" s="1"/>
  <c r="G340" i="1"/>
  <c r="G339" s="1"/>
  <c r="I340"/>
  <c r="I339" s="1"/>
  <c r="H340"/>
  <c r="H339" s="1"/>
  <c r="G663" i="3"/>
  <c r="G662" s="1"/>
  <c r="G156" i="1"/>
  <c r="I673" i="3"/>
  <c r="I670" s="1"/>
  <c r="H673"/>
  <c r="H670" s="1"/>
  <c r="G673"/>
  <c r="G670" s="1"/>
  <c r="I170" i="1"/>
  <c r="I164" s="1"/>
  <c r="H170"/>
  <c r="H164" s="1"/>
  <c r="G170"/>
  <c r="G164" s="1"/>
  <c r="I668" i="3"/>
  <c r="H668"/>
  <c r="G668"/>
  <c r="G667" s="1"/>
  <c r="I162" i="1"/>
  <c r="H162"/>
  <c r="G162"/>
  <c r="G161" s="1"/>
  <c r="I665" i="3"/>
  <c r="H665"/>
  <c r="G665"/>
  <c r="G664" s="1"/>
  <c r="I159" i="1"/>
  <c r="H159"/>
  <c r="G159"/>
  <c r="G158" s="1"/>
  <c r="I660" i="3"/>
  <c r="H660"/>
  <c r="G660"/>
  <c r="I658"/>
  <c r="H658"/>
  <c r="G154" i="1"/>
  <c r="H152"/>
  <c r="I152"/>
  <c r="H154"/>
  <c r="I154"/>
  <c r="H185"/>
  <c r="H184" s="1"/>
  <c r="I185"/>
  <c r="I184" s="1"/>
  <c r="G750" l="1"/>
  <c r="G428"/>
  <c r="G427" s="1"/>
  <c r="G61"/>
  <c r="G96"/>
  <c r="G95" s="1"/>
  <c r="G92" s="1"/>
  <c r="G91" s="1"/>
  <c r="G153"/>
  <c r="G152" s="1"/>
  <c r="G185"/>
  <c r="G184" s="1"/>
  <c r="G890"/>
  <c r="G1464"/>
  <c r="G1463" s="1"/>
  <c r="G659" i="3"/>
  <c r="G658" s="1"/>
  <c r="G1295" i="1"/>
  <c r="G1294"/>
  <c r="G246" l="1"/>
  <c r="G245" s="1"/>
  <c r="G241" s="1"/>
  <c r="G994" i="3"/>
  <c r="I80"/>
  <c r="H80"/>
  <c r="G80"/>
  <c r="G79" s="1"/>
  <c r="I337" i="1"/>
  <c r="H337"/>
  <c r="G337"/>
  <c r="G336" s="1"/>
  <c r="I77" i="3"/>
  <c r="H77"/>
  <c r="G77"/>
  <c r="G76" s="1"/>
  <c r="I334" i="1"/>
  <c r="H334"/>
  <c r="G334"/>
  <c r="G333" s="1"/>
  <c r="I74" i="3"/>
  <c r="H74"/>
  <c r="G74"/>
  <c r="G73" s="1"/>
  <c r="I331" i="1"/>
  <c r="H331"/>
  <c r="G331"/>
  <c r="G330" s="1"/>
  <c r="I346" i="3" l="1"/>
  <c r="H346"/>
  <c r="G327"/>
  <c r="G326" s="1"/>
  <c r="G325" s="1"/>
  <c r="I457"/>
  <c r="I456" s="1"/>
  <c r="H457"/>
  <c r="H456" s="1"/>
  <c r="G457"/>
  <c r="G456" s="1"/>
  <c r="G1095"/>
  <c r="G1100"/>
  <c r="G1099" s="1"/>
  <c r="H1100"/>
  <c r="H1099" s="1"/>
  <c r="I1100"/>
  <c r="I1099" s="1"/>
  <c r="I558"/>
  <c r="I557" s="1"/>
  <c r="H558"/>
  <c r="H557" s="1"/>
  <c r="G558"/>
  <c r="G557" s="1"/>
  <c r="G550"/>
  <c r="G549" s="1"/>
  <c r="G548" s="1"/>
  <c r="I546"/>
  <c r="I545" s="1"/>
  <c r="H546"/>
  <c r="H545" s="1"/>
  <c r="G546"/>
  <c r="G545" s="1"/>
  <c r="G539"/>
  <c r="I389" i="1"/>
  <c r="H389"/>
  <c r="G1089" i="3"/>
  <c r="I1520" i="1"/>
  <c r="I1519" s="1"/>
  <c r="H1520"/>
  <c r="H1519" s="1"/>
  <c r="G1520"/>
  <c r="G1519" s="1"/>
  <c r="G1522"/>
  <c r="I541" i="3"/>
  <c r="I540" s="1"/>
  <c r="H541"/>
  <c r="H540" s="1"/>
  <c r="G541"/>
  <c r="G540" s="1"/>
  <c r="I1515" i="1"/>
  <c r="I1514" s="1"/>
  <c r="H1515"/>
  <c r="H1514" s="1"/>
  <c r="G1515"/>
  <c r="G1514" s="1"/>
  <c r="I549" i="3"/>
  <c r="I548" s="1"/>
  <c r="H549"/>
  <c r="H548" s="1"/>
  <c r="G552"/>
  <c r="G551" s="1"/>
  <c r="H552"/>
  <c r="H551" s="1"/>
  <c r="I552"/>
  <c r="I551" s="1"/>
  <c r="I1526" i="1"/>
  <c r="I1525" s="1"/>
  <c r="H1526"/>
  <c r="H1525" s="1"/>
  <c r="G1526"/>
  <c r="G1525" s="1"/>
  <c r="I1529"/>
  <c r="I1528" s="1"/>
  <c r="H1529"/>
  <c r="H1528" s="1"/>
  <c r="G1529"/>
  <c r="G1528" s="1"/>
  <c r="I1522" l="1"/>
  <c r="H1522"/>
  <c r="G1093" i="3"/>
  <c r="I497" i="1"/>
  <c r="I496" s="1"/>
  <c r="H497"/>
  <c r="H496" s="1"/>
  <c r="G497"/>
  <c r="G496" s="1"/>
  <c r="I573"/>
  <c r="I572" s="1"/>
  <c r="H573"/>
  <c r="H572" s="1"/>
  <c r="G572"/>
  <c r="G571" s="1"/>
  <c r="G570" s="1"/>
  <c r="I345" i="3"/>
  <c r="H345"/>
  <c r="G345"/>
  <c r="G389" i="1"/>
  <c r="I432" i="3"/>
  <c r="H432"/>
  <c r="I418" i="1"/>
  <c r="H418"/>
  <c r="G314"/>
  <c r="G286"/>
  <c r="G285" s="1"/>
  <c r="G600" i="3"/>
  <c r="G598" s="1"/>
  <c r="G194" i="1"/>
  <c r="G193"/>
  <c r="G44"/>
  <c r="G43"/>
  <c r="G599" i="3" l="1"/>
  <c r="G198"/>
  <c r="G205"/>
  <c r="G209"/>
  <c r="G191"/>
  <c r="G179"/>
  <c r="G178" s="1"/>
  <c r="G177" s="1"/>
  <c r="G1241" i="1"/>
  <c r="G1240" s="1"/>
  <c r="G632" i="3"/>
  <c r="G631" s="1"/>
  <c r="G141" i="1"/>
  <c r="G140" s="1"/>
  <c r="G138"/>
  <c r="G137" s="1"/>
  <c r="L1259"/>
  <c r="L1258"/>
  <c r="L1229" s="1"/>
  <c r="H1293"/>
  <c r="H1292" s="1"/>
  <c r="H1285" s="1"/>
  <c r="G1293"/>
  <c r="G1292" s="1"/>
  <c r="G1285" s="1"/>
  <c r="G630" i="3" l="1"/>
  <c r="G629" s="1"/>
  <c r="G628" s="1"/>
  <c r="I1293" i="1"/>
  <c r="I1292" s="1"/>
  <c r="I1285" s="1"/>
  <c r="G894" i="3" l="1"/>
  <c r="G893" s="1"/>
  <c r="G892" s="1"/>
  <c r="G1401" i="1"/>
  <c r="G1400" s="1"/>
  <c r="G743" i="3"/>
  <c r="G742" s="1"/>
  <c r="G741" s="1"/>
  <c r="G794"/>
  <c r="G793" s="1"/>
  <c r="G197"/>
  <c r="J297" i="1"/>
  <c r="I137" i="3"/>
  <c r="I136" s="1"/>
  <c r="H137"/>
  <c r="H136" s="1"/>
  <c r="G137"/>
  <c r="G136" s="1"/>
  <c r="I1086" i="1"/>
  <c r="I1085" s="1"/>
  <c r="H1086"/>
  <c r="H1085" s="1"/>
  <c r="G1086"/>
  <c r="G1085" s="1"/>
  <c r="I648"/>
  <c r="H648"/>
  <c r="G648"/>
  <c r="G647" s="1"/>
  <c r="I875" i="3"/>
  <c r="I874" s="1"/>
  <c r="H875"/>
  <c r="H874" s="1"/>
  <c r="G875"/>
  <c r="G874" s="1"/>
  <c r="I1335" i="1"/>
  <c r="I1334" s="1"/>
  <c r="H1335"/>
  <c r="H1334" s="1"/>
  <c r="G1335"/>
  <c r="G1334" s="1"/>
  <c r="I890" i="3"/>
  <c r="I889" s="1"/>
  <c r="H890"/>
  <c r="H889" s="1"/>
  <c r="G890"/>
  <c r="G889" s="1"/>
  <c r="I1392" i="1"/>
  <c r="I1391" s="1"/>
  <c r="H1392"/>
  <c r="H1391" s="1"/>
  <c r="G1392"/>
  <c r="G1391" s="1"/>
  <c r="G519" i="3"/>
  <c r="G517" s="1"/>
  <c r="G1497" i="1"/>
  <c r="G1496" s="1"/>
  <c r="G1490" s="1"/>
  <c r="I687"/>
  <c r="I686" s="1"/>
  <c r="H687"/>
  <c r="H686" s="1"/>
  <c r="G687"/>
  <c r="G686" s="1"/>
  <c r="G1277"/>
  <c r="G1276" s="1"/>
  <c r="G214" i="3"/>
  <c r="G213" s="1"/>
  <c r="G181"/>
  <c r="G180" s="1"/>
  <c r="G1244" i="1"/>
  <c r="G1243" s="1"/>
  <c r="G1458" l="1"/>
  <c r="F45" i="2" s="1"/>
  <c r="G1017" i="1"/>
  <c r="G1016" s="1"/>
  <c r="G954"/>
  <c r="G953" s="1"/>
  <c r="G646"/>
  <c r="G190" i="3" l="1"/>
  <c r="G186"/>
  <c r="G1253" i="1"/>
  <c r="G1249"/>
  <c r="G208" i="3"/>
  <c r="G204"/>
  <c r="G1271" i="1"/>
  <c r="G1267"/>
  <c r="G1266" l="1"/>
  <c r="G1248"/>
  <c r="G203" i="3"/>
  <c r="G185"/>
  <c r="I254"/>
  <c r="I253" s="1"/>
  <c r="I251"/>
  <c r="I250" s="1"/>
  <c r="H254"/>
  <c r="H253" s="1"/>
  <c r="G254"/>
  <c r="G253" s="1"/>
  <c r="I1342" i="1"/>
  <c r="I1341" s="1"/>
  <c r="H1342"/>
  <c r="H1341" s="1"/>
  <c r="G1342"/>
  <c r="G1341" s="1"/>
  <c r="H251" i="3"/>
  <c r="H250" s="1"/>
  <c r="G251"/>
  <c r="G250" s="1"/>
  <c r="I1339" i="1"/>
  <c r="I1338" s="1"/>
  <c r="H1339"/>
  <c r="H1338" s="1"/>
  <c r="G1339"/>
  <c r="G1338" s="1"/>
  <c r="G1337" s="1"/>
  <c r="H1137" l="1"/>
  <c r="H117" i="3" s="1"/>
  <c r="H116" s="1"/>
  <c r="H115" s="1"/>
  <c r="I1137" i="1"/>
  <c r="I1136" s="1"/>
  <c r="H120" i="3"/>
  <c r="H119" s="1"/>
  <c r="H118" s="1"/>
  <c r="I120"/>
  <c r="I119" s="1"/>
  <c r="I118" s="1"/>
  <c r="G120"/>
  <c r="H1140" i="1"/>
  <c r="H1139" s="1"/>
  <c r="I1140"/>
  <c r="I1139" s="1"/>
  <c r="K656" i="3"/>
  <c r="J656"/>
  <c r="I656"/>
  <c r="I655" s="1"/>
  <c r="H656"/>
  <c r="H655" s="1"/>
  <c r="G656"/>
  <c r="G655" s="1"/>
  <c r="H654"/>
  <c r="K221" i="1"/>
  <c r="J221"/>
  <c r="I221"/>
  <c r="I220" s="1"/>
  <c r="H221"/>
  <c r="H220" s="1"/>
  <c r="G221"/>
  <c r="G220" s="1"/>
  <c r="I650" i="3"/>
  <c r="I649" s="1"/>
  <c r="H650"/>
  <c r="H649" s="1"/>
  <c r="G650"/>
  <c r="G649" s="1"/>
  <c r="H202" i="1"/>
  <c r="H201" s="1"/>
  <c r="I202"/>
  <c r="I201" s="1"/>
  <c r="G202"/>
  <c r="G201" s="1"/>
  <c r="I430" i="3"/>
  <c r="I429" s="1"/>
  <c r="H430"/>
  <c r="H429" s="1"/>
  <c r="G430"/>
  <c r="G429" s="1"/>
  <c r="I530" i="1"/>
  <c r="I529" s="1"/>
  <c r="H530"/>
  <c r="H529" s="1"/>
  <c r="G530"/>
  <c r="G529" s="1"/>
  <c r="H1136" l="1"/>
  <c r="I117" i="3"/>
  <c r="I116" s="1"/>
  <c r="I115" s="1"/>
  <c r="I647" i="1"/>
  <c r="I646" s="1"/>
  <c r="H647"/>
  <c r="H646" s="1"/>
  <c r="G730"/>
  <c r="G975" i="3" s="1"/>
  <c r="I1409" i="1" l="1"/>
  <c r="I1408" s="1"/>
  <c r="I1407" s="1"/>
  <c r="H1409"/>
  <c r="H1408" s="1"/>
  <c r="H1407" s="1"/>
  <c r="G1409"/>
  <c r="G1408" s="1"/>
  <c r="G1407" s="1"/>
  <c r="G1225"/>
  <c r="G1224" s="1"/>
  <c r="G1223" s="1"/>
  <c r="G1222" s="1"/>
  <c r="G1221" s="1"/>
  <c r="I1224"/>
  <c r="I1223" s="1"/>
  <c r="I1222" s="1"/>
  <c r="I1221" s="1"/>
  <c r="H1224"/>
  <c r="H1223" s="1"/>
  <c r="H1222" s="1"/>
  <c r="H1221" s="1"/>
  <c r="I1112" i="3"/>
  <c r="I1111" s="1"/>
  <c r="H1112"/>
  <c r="H1111" s="1"/>
  <c r="G119"/>
  <c r="G118" s="1"/>
  <c r="G1140" i="1"/>
  <c r="G1139" s="1"/>
  <c r="G1107"/>
  <c r="G1106" s="1"/>
  <c r="G1105" s="1"/>
  <c r="G1137"/>
  <c r="G117" i="3" s="1"/>
  <c r="G116" s="1"/>
  <c r="G115" s="1"/>
  <c r="G927" i="1"/>
  <c r="I490" i="3"/>
  <c r="H490"/>
  <c r="G490"/>
  <c r="G723" i="1"/>
  <c r="G1115" i="3"/>
  <c r="G1114" s="1"/>
  <c r="I437" i="1"/>
  <c r="I436" s="1"/>
  <c r="H437"/>
  <c r="H436" s="1"/>
  <c r="G437"/>
  <c r="G436" s="1"/>
  <c r="G435" s="1"/>
  <c r="I218"/>
  <c r="I217" s="1"/>
  <c r="I216" s="1"/>
  <c r="H218"/>
  <c r="H217" s="1"/>
  <c r="H216" s="1"/>
  <c r="G218"/>
  <c r="G217" s="1"/>
  <c r="G216" s="1"/>
  <c r="G648" i="3"/>
  <c r="G647" s="1"/>
  <c r="G646" s="1"/>
  <c r="G199" i="1"/>
  <c r="G198" s="1"/>
  <c r="G56"/>
  <c r="G55" s="1"/>
  <c r="I199" i="3"/>
  <c r="H199"/>
  <c r="G199"/>
  <c r="I1264" i="1"/>
  <c r="H1264"/>
  <c r="G1264"/>
  <c r="K653" i="3"/>
  <c r="J653"/>
  <c r="I653"/>
  <c r="I652" s="1"/>
  <c r="H653"/>
  <c r="H652" s="1"/>
  <c r="G653"/>
  <c r="G652" s="1"/>
  <c r="H59" i="1"/>
  <c r="H58" s="1"/>
  <c r="I59"/>
  <c r="I58" s="1"/>
  <c r="J59"/>
  <c r="K59"/>
  <c r="G59"/>
  <c r="G58" s="1"/>
  <c r="L1237" l="1"/>
  <c r="G1136"/>
  <c r="G1111" i="3"/>
  <c r="G1102" s="1"/>
  <c r="G354" i="1"/>
  <c r="G353" s="1"/>
  <c r="I511" i="3"/>
  <c r="I510" s="1"/>
  <c r="I509" s="1"/>
  <c r="H511"/>
  <c r="H510" s="1"/>
  <c r="H509" s="1"/>
  <c r="G511"/>
  <c r="G510" s="1"/>
  <c r="G509" s="1"/>
  <c r="I1299" i="1"/>
  <c r="I1298" s="1"/>
  <c r="I1297" s="1"/>
  <c r="H1299"/>
  <c r="H1298" s="1"/>
  <c r="H1297" s="1"/>
  <c r="G1299"/>
  <c r="G1298" s="1"/>
  <c r="G1297" s="1"/>
  <c r="G499" i="3"/>
  <c r="G498" s="1"/>
  <c r="G497" s="1"/>
  <c r="G493" s="1"/>
  <c r="G538"/>
  <c r="G537" s="1"/>
  <c r="H732"/>
  <c r="I732"/>
  <c r="G732"/>
  <c r="I712" i="1"/>
  <c r="I711" s="1"/>
  <c r="I710" s="1"/>
  <c r="H712"/>
  <c r="H711" s="1"/>
  <c r="H710" s="1"/>
  <c r="G712"/>
  <c r="G711" s="1"/>
  <c r="G710" s="1"/>
  <c r="I887" i="3"/>
  <c r="I886" s="1"/>
  <c r="H887"/>
  <c r="H886" s="1"/>
  <c r="G887"/>
  <c r="G886" s="1"/>
  <c r="I1387" i="1"/>
  <c r="I1386" s="1"/>
  <c r="H1387"/>
  <c r="H1386" s="1"/>
  <c r="G1387"/>
  <c r="G1386" s="1"/>
  <c r="G879" i="3"/>
  <c r="G878" s="1"/>
  <c r="G877" s="1"/>
  <c r="G290" i="1"/>
  <c r="G289" s="1"/>
  <c r="G288" s="1"/>
  <c r="I290"/>
  <c r="I289" s="1"/>
  <c r="I288" s="1"/>
  <c r="H290"/>
  <c r="H289" s="1"/>
  <c r="H288" s="1"/>
  <c r="I248" i="3"/>
  <c r="I247" s="1"/>
  <c r="H248"/>
  <c r="H247" s="1"/>
  <c r="G248"/>
  <c r="G247" s="1"/>
  <c r="I568" i="1"/>
  <c r="I567" s="1"/>
  <c r="H568"/>
  <c r="H567" s="1"/>
  <c r="G568"/>
  <c r="G567" s="1"/>
  <c r="I245" i="3"/>
  <c r="I244" s="1"/>
  <c r="H245"/>
  <c r="H244" s="1"/>
  <c r="G245"/>
  <c r="G244" s="1"/>
  <c r="I565" i="1"/>
  <c r="I564" s="1"/>
  <c r="I563" s="1"/>
  <c r="H565"/>
  <c r="H564" s="1"/>
  <c r="G565"/>
  <c r="G564" s="1"/>
  <c r="G123" i="3"/>
  <c r="G122" s="1"/>
  <c r="G121" s="1"/>
  <c r="G98" s="1"/>
  <c r="G921" i="1"/>
  <c r="I1406"/>
  <c r="H1406"/>
  <c r="G1406"/>
  <c r="I884" i="3"/>
  <c r="I883" s="1"/>
  <c r="H884"/>
  <c r="H883" s="1"/>
  <c r="G884"/>
  <c r="G883" s="1"/>
  <c r="H1398" i="1"/>
  <c r="H1397" s="1"/>
  <c r="I1398"/>
  <c r="I1397" s="1"/>
  <c r="G1398"/>
  <c r="G1397" s="1"/>
  <c r="I507" i="3"/>
  <c r="I506" s="1"/>
  <c r="H507"/>
  <c r="H506" s="1"/>
  <c r="G507"/>
  <c r="G506" s="1"/>
  <c r="H32" i="1"/>
  <c r="H31" s="1"/>
  <c r="I32"/>
  <c r="I31" s="1"/>
  <c r="G32"/>
  <c r="G31" s="1"/>
  <c r="H810" i="3"/>
  <c r="I810"/>
  <c r="G810"/>
  <c r="I814"/>
  <c r="I813" s="1"/>
  <c r="H814"/>
  <c r="H813" s="1"/>
  <c r="G814"/>
  <c r="G813" s="1"/>
  <c r="I811"/>
  <c r="H811"/>
  <c r="G811"/>
  <c r="H805"/>
  <c r="H804" s="1"/>
  <c r="I805"/>
  <c r="I804" s="1"/>
  <c r="H802"/>
  <c r="H801" s="1"/>
  <c r="I802"/>
  <c r="I801" s="1"/>
  <c r="G803"/>
  <c r="G802" s="1"/>
  <c r="G801" s="1"/>
  <c r="G806"/>
  <c r="G805" s="1"/>
  <c r="G804" s="1"/>
  <c r="H988" i="1"/>
  <c r="I988"/>
  <c r="H710" i="3"/>
  <c r="I710"/>
  <c r="G710"/>
  <c r="H281" i="1"/>
  <c r="H781" i="3"/>
  <c r="I781"/>
  <c r="G781"/>
  <c r="I814" i="1"/>
  <c r="I813" s="1"/>
  <c r="H814"/>
  <c r="H813" s="1"/>
  <c r="G814"/>
  <c r="G813" s="1"/>
  <c r="I46" i="3"/>
  <c r="H46"/>
  <c r="G46"/>
  <c r="G895" i="1"/>
  <c r="H150" i="3"/>
  <c r="I150"/>
  <c r="I594"/>
  <c r="H594"/>
  <c r="H1012"/>
  <c r="H1011" s="1"/>
  <c r="H1010" s="1"/>
  <c r="H1009" s="1"/>
  <c r="I1012"/>
  <c r="I1011" s="1"/>
  <c r="I1010" s="1"/>
  <c r="I1009" s="1"/>
  <c r="I882"/>
  <c r="I881" s="1"/>
  <c r="I880" s="1"/>
  <c r="H882"/>
  <c r="H881" s="1"/>
  <c r="H880" s="1"/>
  <c r="I879"/>
  <c r="I878" s="1"/>
  <c r="I877" s="1"/>
  <c r="H879"/>
  <c r="H878" s="1"/>
  <c r="H877" s="1"/>
  <c r="M852"/>
  <c r="J954"/>
  <c r="J965"/>
  <c r="H965"/>
  <c r="I965"/>
  <c r="H962"/>
  <c r="I962"/>
  <c r="H959"/>
  <c r="I959"/>
  <c r="H956"/>
  <c r="I956"/>
  <c r="H953"/>
  <c r="I953"/>
  <c r="H949"/>
  <c r="H948" s="1"/>
  <c r="I949"/>
  <c r="I948" s="1"/>
  <c r="J974"/>
  <c r="H1035"/>
  <c r="I1035"/>
  <c r="H1033"/>
  <c r="I1033"/>
  <c r="H1030"/>
  <c r="I1030"/>
  <c r="H1028"/>
  <c r="I1028"/>
  <c r="H1025"/>
  <c r="I1025"/>
  <c r="H1023"/>
  <c r="H1022" s="1"/>
  <c r="I1023"/>
  <c r="I1022" s="1"/>
  <c r="H1020"/>
  <c r="H1019" s="1"/>
  <c r="I1020"/>
  <c r="I1019" s="1"/>
  <c r="H1018"/>
  <c r="H1017" s="1"/>
  <c r="I1018"/>
  <c r="I1017" s="1"/>
  <c r="H1016"/>
  <c r="I1016"/>
  <c r="J1018"/>
  <c r="J1045"/>
  <c r="J1079"/>
  <c r="H771"/>
  <c r="I771"/>
  <c r="J769"/>
  <c r="J750"/>
  <c r="J706"/>
  <c r="J580"/>
  <c r="J526"/>
  <c r="J340"/>
  <c r="J157"/>
  <c r="J127"/>
  <c r="J59"/>
  <c r="J44"/>
  <c r="H873"/>
  <c r="H872" s="1"/>
  <c r="H871" s="1"/>
  <c r="H870"/>
  <c r="H869" s="1"/>
  <c r="H868" s="1"/>
  <c r="I870"/>
  <c r="I869" s="1"/>
  <c r="I868" s="1"/>
  <c r="H867"/>
  <c r="H866" s="1"/>
  <c r="H865" s="1"/>
  <c r="I867"/>
  <c r="I866" s="1"/>
  <c r="I865" s="1"/>
  <c r="H861"/>
  <c r="H860" s="1"/>
  <c r="H859" s="1"/>
  <c r="I861"/>
  <c r="I860" s="1"/>
  <c r="I859" s="1"/>
  <c r="H858"/>
  <c r="H857" s="1"/>
  <c r="H856" s="1"/>
  <c r="I858"/>
  <c r="I857" s="1"/>
  <c r="I856" s="1"/>
  <c r="H855"/>
  <c r="H854" s="1"/>
  <c r="H853" s="1"/>
  <c r="I855"/>
  <c r="I854" s="1"/>
  <c r="I853" s="1"/>
  <c r="H852"/>
  <c r="H851" s="1"/>
  <c r="I852"/>
  <c r="I851" s="1"/>
  <c r="H850"/>
  <c r="H849" s="1"/>
  <c r="I850"/>
  <c r="I849" s="1"/>
  <c r="H839"/>
  <c r="H838" s="1"/>
  <c r="H837" s="1"/>
  <c r="I839"/>
  <c r="I838" s="1"/>
  <c r="I837" s="1"/>
  <c r="H836"/>
  <c r="H835" s="1"/>
  <c r="H834" s="1"/>
  <c r="I836"/>
  <c r="I835" s="1"/>
  <c r="I834" s="1"/>
  <c r="H833"/>
  <c r="H832" s="1"/>
  <c r="I833"/>
  <c r="I832" s="1"/>
  <c r="H829"/>
  <c r="H828" s="1"/>
  <c r="I829"/>
  <c r="I828" s="1"/>
  <c r="H202"/>
  <c r="I202"/>
  <c r="H176"/>
  <c r="I176"/>
  <c r="H571"/>
  <c r="I571"/>
  <c r="H975"/>
  <c r="H974" s="1"/>
  <c r="H973" s="1"/>
  <c r="H966" s="1"/>
  <c r="I975"/>
  <c r="I974" s="1"/>
  <c r="I973" s="1"/>
  <c r="I966" s="1"/>
  <c r="G974"/>
  <c r="G973" s="1"/>
  <c r="G966" s="1"/>
  <c r="I729" i="1"/>
  <c r="I728" s="1"/>
  <c r="I727" s="1"/>
  <c r="I726" s="1"/>
  <c r="H729"/>
  <c r="H728" s="1"/>
  <c r="H727" s="1"/>
  <c r="H726" s="1"/>
  <c r="G729"/>
  <c r="G728" s="1"/>
  <c r="G727" s="1"/>
  <c r="G726" s="1"/>
  <c r="H627" i="3"/>
  <c r="I627"/>
  <c r="H625"/>
  <c r="H624" s="1"/>
  <c r="I625"/>
  <c r="I624" s="1"/>
  <c r="H623"/>
  <c r="I623"/>
  <c r="H621"/>
  <c r="I621"/>
  <c r="I583"/>
  <c r="H580"/>
  <c r="I580"/>
  <c r="H583"/>
  <c r="I586"/>
  <c r="H586"/>
  <c r="H707"/>
  <c r="I707"/>
  <c r="I750"/>
  <c r="H750"/>
  <c r="I539"/>
  <c r="I538" s="1"/>
  <c r="I537" s="1"/>
  <c r="H539"/>
  <c r="H538" s="1"/>
  <c r="H537" s="1"/>
  <c r="I533"/>
  <c r="H533"/>
  <c r="I536"/>
  <c r="I535" s="1"/>
  <c r="I534" s="1"/>
  <c r="H536"/>
  <c r="H535" s="1"/>
  <c r="H534" s="1"/>
  <c r="I788"/>
  <c r="H731"/>
  <c r="I727"/>
  <c r="H727"/>
  <c r="H788"/>
  <c r="H45"/>
  <c r="I45"/>
  <c r="H740"/>
  <c r="I740"/>
  <c r="H25"/>
  <c r="I25"/>
  <c r="H530"/>
  <c r="I530"/>
  <c r="I499"/>
  <c r="I498" s="1"/>
  <c r="I497" s="1"/>
  <c r="I493" s="1"/>
  <c r="H499"/>
  <c r="H498" s="1"/>
  <c r="H497" s="1"/>
  <c r="H493" s="1"/>
  <c r="H505"/>
  <c r="I505"/>
  <c r="G1030"/>
  <c r="G1028"/>
  <c r="G277"/>
  <c r="K1188" i="1"/>
  <c r="K1191" s="1"/>
  <c r="H831" i="3"/>
  <c r="H830" s="1"/>
  <c r="I831"/>
  <c r="I830" s="1"/>
  <c r="I873"/>
  <c r="I872" s="1"/>
  <c r="I871" s="1"/>
  <c r="G881"/>
  <c r="G880" s="1"/>
  <c r="I1395" i="1"/>
  <c r="I1394" s="1"/>
  <c r="H1395"/>
  <c r="H1394" s="1"/>
  <c r="G1395"/>
  <c r="G1394" s="1"/>
  <c r="I1384"/>
  <c r="I1383" s="1"/>
  <c r="H1384"/>
  <c r="H1383" s="1"/>
  <c r="G1384"/>
  <c r="G1383" s="1"/>
  <c r="G535" i="3"/>
  <c r="G534" s="1"/>
  <c r="H1512" i="1"/>
  <c r="H1511" s="1"/>
  <c r="I1512"/>
  <c r="I1511" s="1"/>
  <c r="G1512"/>
  <c r="G1511" s="1"/>
  <c r="I756" i="3"/>
  <c r="I753" s="1"/>
  <c r="H756"/>
  <c r="H753" s="1"/>
  <c r="H904" i="1"/>
  <c r="H903" s="1"/>
  <c r="H902" s="1"/>
  <c r="I904"/>
  <c r="I903" s="1"/>
  <c r="I902" s="1"/>
  <c r="G904"/>
  <c r="G903" s="1"/>
  <c r="G902" s="1"/>
  <c r="H1047"/>
  <c r="H1046" s="1"/>
  <c r="H1045" s="1"/>
  <c r="H1044" s="1"/>
  <c r="I1047"/>
  <c r="I1046" s="1"/>
  <c r="I1045" s="1"/>
  <c r="I1044" s="1"/>
  <c r="G1047"/>
  <c r="G1046" s="1"/>
  <c r="G1045" s="1"/>
  <c r="G1044" s="1"/>
  <c r="I145" i="3"/>
  <c r="I144" s="1"/>
  <c r="I143" s="1"/>
  <c r="H145"/>
  <c r="H144" s="1"/>
  <c r="H143" s="1"/>
  <c r="G144"/>
  <c r="G143" s="1"/>
  <c r="H1093" i="1"/>
  <c r="H1092" s="1"/>
  <c r="I1093"/>
  <c r="I1092" s="1"/>
  <c r="G1093"/>
  <c r="G1092" s="1"/>
  <c r="I123" i="3"/>
  <c r="I122" s="1"/>
  <c r="I121" s="1"/>
  <c r="I98" s="1"/>
  <c r="H123"/>
  <c r="H122" s="1"/>
  <c r="H121" s="1"/>
  <c r="H98" s="1"/>
  <c r="H1143" i="1"/>
  <c r="H1142" s="1"/>
  <c r="H1135" s="1"/>
  <c r="I1143"/>
  <c r="I1142" s="1"/>
  <c r="I1135" s="1"/>
  <c r="G1143"/>
  <c r="G1142" s="1"/>
  <c r="H962"/>
  <c r="H961" s="1"/>
  <c r="I962"/>
  <c r="I961" s="1"/>
  <c r="G962"/>
  <c r="G961" s="1"/>
  <c r="G952" s="1"/>
  <c r="I52" i="3"/>
  <c r="I51" s="1"/>
  <c r="I50" s="1"/>
  <c r="H52"/>
  <c r="H51" s="1"/>
  <c r="H50" s="1"/>
  <c r="G51"/>
  <c r="G50" s="1"/>
  <c r="I900" i="1"/>
  <c r="I899" s="1"/>
  <c r="H900"/>
  <c r="H899" s="1"/>
  <c r="G900"/>
  <c r="G899" s="1"/>
  <c r="I132" i="3"/>
  <c r="H132"/>
  <c r="I40"/>
  <c r="I39" s="1"/>
  <c r="I36" s="1"/>
  <c r="H40"/>
  <c r="H39" s="1"/>
  <c r="H36" s="1"/>
  <c r="I49"/>
  <c r="I48" s="1"/>
  <c r="H49"/>
  <c r="H48" s="1"/>
  <c r="I455"/>
  <c r="H455"/>
  <c r="I408"/>
  <c r="H408"/>
  <c r="I420"/>
  <c r="H420"/>
  <c r="I752"/>
  <c r="H752"/>
  <c r="H561" i="1"/>
  <c r="H560" s="1"/>
  <c r="H559" s="1"/>
  <c r="I561"/>
  <c r="I560" s="1"/>
  <c r="I559" s="1"/>
  <c r="I483" i="3"/>
  <c r="H483"/>
  <c r="I425"/>
  <c r="H425"/>
  <c r="G324"/>
  <c r="I387" i="1"/>
  <c r="I386" s="1"/>
  <c r="H387"/>
  <c r="H386" s="1"/>
  <c r="G387"/>
  <c r="G386" s="1"/>
  <c r="I280" i="3"/>
  <c r="H280"/>
  <c r="I487"/>
  <c r="H487"/>
  <c r="H516" l="1"/>
  <c r="H390"/>
  <c r="I516"/>
  <c r="G563" i="1"/>
  <c r="G244"/>
  <c r="G243" s="1"/>
  <c r="I390" i="3"/>
  <c r="H827"/>
  <c r="I827"/>
  <c r="G1135" i="1"/>
  <c r="H280"/>
  <c r="H278" s="1"/>
  <c r="H277" s="1"/>
  <c r="G62" i="2" s="1"/>
  <c r="H400" i="3"/>
  <c r="H399" s="1"/>
  <c r="I435"/>
  <c r="H435"/>
  <c r="G394"/>
  <c r="H394"/>
  <c r="I394"/>
  <c r="I281" i="1"/>
  <c r="I280" s="1"/>
  <c r="G97" i="3"/>
  <c r="G560" i="1"/>
  <c r="G559" s="1"/>
  <c r="H848" i="3"/>
  <c r="I848"/>
  <c r="I97"/>
  <c r="H97"/>
  <c r="H563" i="1"/>
  <c r="G281"/>
  <c r="J826" i="3"/>
  <c r="I1059"/>
  <c r="I1058" s="1"/>
  <c r="H1059"/>
  <c r="H1058" s="1"/>
  <c r="I1057"/>
  <c r="I1056" s="1"/>
  <c r="H1057"/>
  <c r="H1056" s="1"/>
  <c r="I1053"/>
  <c r="I1052" s="1"/>
  <c r="H1053"/>
  <c r="H1052" s="1"/>
  <c r="I1051"/>
  <c r="I1050" s="1"/>
  <c r="H1051"/>
  <c r="H1050" s="1"/>
  <c r="I1043"/>
  <c r="I1042" s="1"/>
  <c r="I1041" s="1"/>
  <c r="I1040" s="1"/>
  <c r="H1043"/>
  <c r="H1042" s="1"/>
  <c r="H1041" s="1"/>
  <c r="H1040" s="1"/>
  <c r="I1214" i="1"/>
  <c r="I785" i="3"/>
  <c r="I784" s="1"/>
  <c r="I783" s="1"/>
  <c r="H785"/>
  <c r="H784" s="1"/>
  <c r="H783" s="1"/>
  <c r="I767"/>
  <c r="I766" s="1"/>
  <c r="H767"/>
  <c r="H766" s="1"/>
  <c r="I765"/>
  <c r="I764" s="1"/>
  <c r="H765"/>
  <c r="H764" s="1"/>
  <c r="I763"/>
  <c r="I762" s="1"/>
  <c r="H763"/>
  <c r="H762" s="1"/>
  <c r="H770"/>
  <c r="H769" s="1"/>
  <c r="H768" s="1"/>
  <c r="I1110"/>
  <c r="H1110"/>
  <c r="I822"/>
  <c r="I821" s="1"/>
  <c r="I820" s="1"/>
  <c r="H822"/>
  <c r="H821" s="1"/>
  <c r="H820" s="1"/>
  <c r="I1081"/>
  <c r="I1080" s="1"/>
  <c r="H1081"/>
  <c r="H1080" s="1"/>
  <c r="I1084"/>
  <c r="H1084"/>
  <c r="J1188" i="1"/>
  <c r="J1191" s="1"/>
  <c r="I72" i="3"/>
  <c r="I71" s="1"/>
  <c r="I70" s="1"/>
  <c r="H72"/>
  <c r="H71" s="1"/>
  <c r="H70" s="1"/>
  <c r="I69"/>
  <c r="I68" s="1"/>
  <c r="I67" s="1"/>
  <c r="H69"/>
  <c r="H68" s="1"/>
  <c r="H67" s="1"/>
  <c r="I63"/>
  <c r="I62" s="1"/>
  <c r="I61" s="1"/>
  <c r="H63"/>
  <c r="H62" s="1"/>
  <c r="H61" s="1"/>
  <c r="I60"/>
  <c r="I59" s="1"/>
  <c r="H60"/>
  <c r="H59" s="1"/>
  <c r="I58"/>
  <c r="I57" s="1"/>
  <c r="H58"/>
  <c r="H57" s="1"/>
  <c r="I56"/>
  <c r="I55" s="1"/>
  <c r="H56"/>
  <c r="H55" s="1"/>
  <c r="I1038"/>
  <c r="I1037" s="1"/>
  <c r="I1036" s="1"/>
  <c r="H1038"/>
  <c r="H1037" s="1"/>
  <c r="H1036" s="1"/>
  <c r="I778"/>
  <c r="I777" s="1"/>
  <c r="I776" s="1"/>
  <c r="H778"/>
  <c r="H777" s="1"/>
  <c r="H776" s="1"/>
  <c r="G778"/>
  <c r="G777" s="1"/>
  <c r="G776" s="1"/>
  <c r="I775"/>
  <c r="I774" s="1"/>
  <c r="I773" s="1"/>
  <c r="H775"/>
  <c r="H774" s="1"/>
  <c r="H773" s="1"/>
  <c r="G775"/>
  <c r="G774" s="1"/>
  <c r="G773" s="1"/>
  <c r="G37"/>
  <c r="G36" s="1"/>
  <c r="I952"/>
  <c r="I951" s="1"/>
  <c r="I1138"/>
  <c r="I1135" s="1"/>
  <c r="H1138"/>
  <c r="H1137" s="1"/>
  <c r="H1136" s="1"/>
  <c r="I340"/>
  <c r="I339" s="1"/>
  <c r="H340"/>
  <c r="H339" s="1"/>
  <c r="G340"/>
  <c r="G339" s="1"/>
  <c r="H958"/>
  <c r="H957" s="1"/>
  <c r="I127"/>
  <c r="I126" s="1"/>
  <c r="I125" s="1"/>
  <c r="H127"/>
  <c r="H126" s="1"/>
  <c r="H125" s="1"/>
  <c r="I780"/>
  <c r="I779" s="1"/>
  <c r="I577"/>
  <c r="I576" s="1"/>
  <c r="I575" s="1"/>
  <c r="H577"/>
  <c r="H576" s="1"/>
  <c r="H575" s="1"/>
  <c r="I129"/>
  <c r="I128" s="1"/>
  <c r="H129"/>
  <c r="H128" s="1"/>
  <c r="H570"/>
  <c r="H569" s="1"/>
  <c r="G571"/>
  <c r="I37"/>
  <c r="H37"/>
  <c r="H888" i="1"/>
  <c r="H887" s="1"/>
  <c r="I888"/>
  <c r="I887" s="1"/>
  <c r="I1091" i="3"/>
  <c r="I1083"/>
  <c r="I1061"/>
  <c r="I1060" s="1"/>
  <c r="I1034"/>
  <c r="I1032"/>
  <c r="I1029"/>
  <c r="I1027"/>
  <c r="I1024"/>
  <c r="I1021" s="1"/>
  <c r="I1015"/>
  <c r="I964"/>
  <c r="I963" s="1"/>
  <c r="I961"/>
  <c r="I960" s="1"/>
  <c r="I958"/>
  <c r="I957" s="1"/>
  <c r="I955"/>
  <c r="I954" s="1"/>
  <c r="I799"/>
  <c r="I787"/>
  <c r="I786" s="1"/>
  <c r="I770"/>
  <c r="I769" s="1"/>
  <c r="I768" s="1"/>
  <c r="I755"/>
  <c r="I751"/>
  <c r="I749"/>
  <c r="I739"/>
  <c r="I738" s="1"/>
  <c r="I737" s="1"/>
  <c r="I730"/>
  <c r="I729" s="1"/>
  <c r="I728" s="1"/>
  <c r="I726"/>
  <c r="I725" s="1"/>
  <c r="I724" s="1"/>
  <c r="I723" s="1"/>
  <c r="I709"/>
  <c r="I708" s="1"/>
  <c r="I706"/>
  <c r="I705" s="1"/>
  <c r="I626"/>
  <c r="I622"/>
  <c r="I620"/>
  <c r="I593"/>
  <c r="I592" s="1"/>
  <c r="I585"/>
  <c r="I584" s="1"/>
  <c r="I582"/>
  <c r="I581" s="1"/>
  <c r="I579"/>
  <c r="I578" s="1"/>
  <c r="I570"/>
  <c r="I569" s="1"/>
  <c r="I532"/>
  <c r="I531" s="1"/>
  <c r="I529"/>
  <c r="I527" s="1"/>
  <c r="I504"/>
  <c r="I488"/>
  <c r="I486"/>
  <c r="I482"/>
  <c r="I481" s="1"/>
  <c r="I480" s="1"/>
  <c r="I454"/>
  <c r="I453"/>
  <c r="I452" s="1"/>
  <c r="I451"/>
  <c r="I450" s="1"/>
  <c r="I448"/>
  <c r="I447"/>
  <c r="I446" s="1"/>
  <c r="I437"/>
  <c r="I436" s="1"/>
  <c r="I424"/>
  <c r="I419"/>
  <c r="I418" s="1"/>
  <c r="I407"/>
  <c r="I406" s="1"/>
  <c r="I400"/>
  <c r="I399" s="1"/>
  <c r="I329"/>
  <c r="I328" s="1"/>
  <c r="I323"/>
  <c r="I322" s="1"/>
  <c r="I301"/>
  <c r="I300" s="1"/>
  <c r="I295"/>
  <c r="I294" s="1"/>
  <c r="I292"/>
  <c r="I291" s="1"/>
  <c r="I285"/>
  <c r="I284" s="1"/>
  <c r="I282"/>
  <c r="I281" s="1"/>
  <c r="I279"/>
  <c r="I276"/>
  <c r="I275" s="1"/>
  <c r="I201"/>
  <c r="I196" s="1"/>
  <c r="I195" s="1"/>
  <c r="I175"/>
  <c r="I172" s="1"/>
  <c r="I174"/>
  <c r="I173" s="1"/>
  <c r="I170"/>
  <c r="I169" s="1"/>
  <c r="I160"/>
  <c r="I159" s="1"/>
  <c r="I149"/>
  <c r="I148" s="1"/>
  <c r="I147" s="1"/>
  <c r="I131"/>
  <c r="I130" s="1"/>
  <c r="I44"/>
  <c r="I34"/>
  <c r="I33" s="1"/>
  <c r="I31"/>
  <c r="I30" s="1"/>
  <c r="I29" s="1"/>
  <c r="I24"/>
  <c r="I23" s="1"/>
  <c r="H1091"/>
  <c r="H1083"/>
  <c r="H1061"/>
  <c r="H1060" s="1"/>
  <c r="H1034"/>
  <c r="H1032"/>
  <c r="H1029"/>
  <c r="H1027"/>
  <c r="H1024"/>
  <c r="H1021" s="1"/>
  <c r="H1015"/>
  <c r="H964"/>
  <c r="H963" s="1"/>
  <c r="H961"/>
  <c r="H960" s="1"/>
  <c r="H955"/>
  <c r="H954" s="1"/>
  <c r="H952"/>
  <c r="H951" s="1"/>
  <c r="H799"/>
  <c r="H787"/>
  <c r="H786" s="1"/>
  <c r="H780"/>
  <c r="H779" s="1"/>
  <c r="H755"/>
  <c r="H751"/>
  <c r="H749"/>
  <c r="H739"/>
  <c r="H738" s="1"/>
  <c r="H737" s="1"/>
  <c r="H730"/>
  <c r="H729" s="1"/>
  <c r="H728" s="1"/>
  <c r="H726"/>
  <c r="H725" s="1"/>
  <c r="H724" s="1"/>
  <c r="H723" s="1"/>
  <c r="H709"/>
  <c r="H708" s="1"/>
  <c r="H706"/>
  <c r="H705" s="1"/>
  <c r="H626"/>
  <c r="H622"/>
  <c r="H620"/>
  <c r="H593"/>
  <c r="H592" s="1"/>
  <c r="H585"/>
  <c r="H584" s="1"/>
  <c r="H582"/>
  <c r="H581" s="1"/>
  <c r="H579"/>
  <c r="H578" s="1"/>
  <c r="H532"/>
  <c r="H531" s="1"/>
  <c r="H529"/>
  <c r="H527" s="1"/>
  <c r="H525"/>
  <c r="H504"/>
  <c r="H488"/>
  <c r="H486"/>
  <c r="H482"/>
  <c r="H481" s="1"/>
  <c r="H480" s="1"/>
  <c r="H454"/>
  <c r="H453"/>
  <c r="H452" s="1"/>
  <c r="H451"/>
  <c r="H450" s="1"/>
  <c r="H448"/>
  <c r="H447"/>
  <c r="H446" s="1"/>
  <c r="H437"/>
  <c r="H436" s="1"/>
  <c r="H424"/>
  <c r="H419"/>
  <c r="H418" s="1"/>
  <c r="H407"/>
  <c r="H406" s="1"/>
  <c r="H329"/>
  <c r="H328" s="1"/>
  <c r="H323"/>
  <c r="H322" s="1"/>
  <c r="H301"/>
  <c r="H300" s="1"/>
  <c r="H295"/>
  <c r="H294" s="1"/>
  <c r="H292"/>
  <c r="H291" s="1"/>
  <c r="H285"/>
  <c r="H284" s="1"/>
  <c r="H282"/>
  <c r="H281" s="1"/>
  <c r="H279"/>
  <c r="H276"/>
  <c r="H275" s="1"/>
  <c r="H201"/>
  <c r="H196" s="1"/>
  <c r="H195" s="1"/>
  <c r="H175"/>
  <c r="H172" s="1"/>
  <c r="H174"/>
  <c r="H173" s="1"/>
  <c r="H170"/>
  <c r="H169" s="1"/>
  <c r="H160"/>
  <c r="H159" s="1"/>
  <c r="H149"/>
  <c r="H148" s="1"/>
  <c r="H147" s="1"/>
  <c r="H131"/>
  <c r="H130" s="1"/>
  <c r="H44"/>
  <c r="H34"/>
  <c r="H33" s="1"/>
  <c r="H31"/>
  <c r="H30" s="1"/>
  <c r="H29" s="1"/>
  <c r="H24"/>
  <c r="H23" s="1"/>
  <c r="G1036" i="1"/>
  <c r="H1036"/>
  <c r="I1036"/>
  <c r="I1509"/>
  <c r="I1508"/>
  <c r="I1506"/>
  <c r="I1505" s="1"/>
  <c r="I1503"/>
  <c r="I1502" s="1"/>
  <c r="I1449"/>
  <c r="I1448" s="1"/>
  <c r="I1446"/>
  <c r="I1445" s="1"/>
  <c r="I1443"/>
  <c r="I1441"/>
  <c r="I1438"/>
  <c r="I1437" s="1"/>
  <c r="I1369"/>
  <c r="I1368"/>
  <c r="I1358"/>
  <c r="I1357" s="1"/>
  <c r="I1332"/>
  <c r="I1331" s="1"/>
  <c r="I1329"/>
  <c r="I1328" s="1"/>
  <c r="I1326"/>
  <c r="I1325" s="1"/>
  <c r="I1320"/>
  <c r="I1316"/>
  <c r="I1262"/>
  <c r="I1259" s="1"/>
  <c r="I1258" s="1"/>
  <c r="I1238"/>
  <c r="I1237" s="1"/>
  <c r="I1235"/>
  <c r="I1234" s="1"/>
  <c r="I1217"/>
  <c r="I1216" s="1"/>
  <c r="I1212"/>
  <c r="I1205"/>
  <c r="I1203"/>
  <c r="I1199"/>
  <c r="I1198" s="1"/>
  <c r="I1197" s="1"/>
  <c r="I1195"/>
  <c r="I1194" s="1"/>
  <c r="I1193" s="1"/>
  <c r="I1186"/>
  <c r="I1185" s="1"/>
  <c r="I1184" s="1"/>
  <c r="I1183" s="1"/>
  <c r="I1182" s="1"/>
  <c r="I1181" s="1"/>
  <c r="I1179"/>
  <c r="I1178" s="1"/>
  <c r="I1176"/>
  <c r="I1175" s="1"/>
  <c r="I1173"/>
  <c r="I1172" s="1"/>
  <c r="I1162"/>
  <c r="I1161"/>
  <c r="I1160" s="1"/>
  <c r="I1158"/>
  <c r="I1157" s="1"/>
  <c r="I1155"/>
  <c r="I1154" s="1"/>
  <c r="I1151"/>
  <c r="I1150" s="1"/>
  <c r="I1149" s="1"/>
  <c r="I1132"/>
  <c r="I1131" s="1"/>
  <c r="I1130" s="1"/>
  <c r="I1129" s="1"/>
  <c r="I1103"/>
  <c r="I1102" s="1"/>
  <c r="I1101" s="1"/>
  <c r="I1100" s="1"/>
  <c r="I1097"/>
  <c r="I1096" s="1"/>
  <c r="I1083"/>
  <c r="I1080"/>
  <c r="I1079" s="1"/>
  <c r="I1024"/>
  <c r="I1023" s="1"/>
  <c r="I1022" s="1"/>
  <c r="I1014"/>
  <c r="I987"/>
  <c r="I981" s="1"/>
  <c r="I934"/>
  <c r="I925"/>
  <c r="I923"/>
  <c r="I914"/>
  <c r="I913" s="1"/>
  <c r="I909" s="1"/>
  <c r="I893"/>
  <c r="I892" s="1"/>
  <c r="I885"/>
  <c r="I884" s="1"/>
  <c r="I880"/>
  <c r="I879" s="1"/>
  <c r="I878" s="1"/>
  <c r="I877" s="1"/>
  <c r="H28" i="2" s="1"/>
  <c r="I870" i="1"/>
  <c r="I869" s="1"/>
  <c r="I868" s="1"/>
  <c r="I867" s="1"/>
  <c r="H25" i="2" s="1"/>
  <c r="I865" i="1"/>
  <c r="I864" s="1"/>
  <c r="I862"/>
  <c r="I860"/>
  <c r="I857"/>
  <c r="I853"/>
  <c r="I850"/>
  <c r="I848"/>
  <c r="I843"/>
  <c r="I841"/>
  <c r="I836"/>
  <c r="I835" s="1"/>
  <c r="I834"/>
  <c r="I831"/>
  <c r="I830" s="1"/>
  <c r="I829" s="1"/>
  <c r="I828" s="1"/>
  <c r="I827" s="1"/>
  <c r="I820"/>
  <c r="I819" s="1"/>
  <c r="I818" s="1"/>
  <c r="I811"/>
  <c r="I810" s="1"/>
  <c r="I809" s="1"/>
  <c r="I808" s="1"/>
  <c r="I804"/>
  <c r="I803" s="1"/>
  <c r="I802" s="1"/>
  <c r="I801" s="1"/>
  <c r="I800" s="1"/>
  <c r="I786"/>
  <c r="I785" s="1"/>
  <c r="I784" s="1"/>
  <c r="I779"/>
  <c r="I778" s="1"/>
  <c r="I777" s="1"/>
  <c r="I776" s="1"/>
  <c r="I774"/>
  <c r="I772"/>
  <c r="I770"/>
  <c r="I747"/>
  <c r="I746" s="1"/>
  <c r="I741"/>
  <c r="I740" s="1"/>
  <c r="I735"/>
  <c r="I723"/>
  <c r="I721"/>
  <c r="I719"/>
  <c r="I677"/>
  <c r="I676" s="1"/>
  <c r="I683"/>
  <c r="I681"/>
  <c r="I679"/>
  <c r="I674"/>
  <c r="I672"/>
  <c r="I644"/>
  <c r="I643" s="1"/>
  <c r="I642" s="1"/>
  <c r="I637"/>
  <c r="I636" s="1"/>
  <c r="I632" s="1"/>
  <c r="I621"/>
  <c r="I620" s="1"/>
  <c r="I619" s="1"/>
  <c r="I611"/>
  <c r="I610" s="1"/>
  <c r="I608"/>
  <c r="I607" s="1"/>
  <c r="I605"/>
  <c r="I604" s="1"/>
  <c r="I553"/>
  <c r="I552" s="1"/>
  <c r="I551" s="1"/>
  <c r="I549"/>
  <c r="I548" s="1"/>
  <c r="I547" s="1"/>
  <c r="I527"/>
  <c r="I526" s="1"/>
  <c r="I524"/>
  <c r="I523" s="1"/>
  <c r="I542"/>
  <c r="I541" s="1"/>
  <c r="I494"/>
  <c r="I493" s="1"/>
  <c r="I457"/>
  <c r="I454" s="1"/>
  <c r="I452"/>
  <c r="I451" s="1"/>
  <c r="I449"/>
  <c r="I448" s="1"/>
  <c r="I446"/>
  <c r="I445" s="1"/>
  <c r="I423"/>
  <c r="I422" s="1"/>
  <c r="I421" s="1"/>
  <c r="I410"/>
  <c r="I409" s="1"/>
  <c r="I407"/>
  <c r="I405"/>
  <c r="I404" s="1"/>
  <c r="I402"/>
  <c r="I401" s="1"/>
  <c r="I399"/>
  <c r="I398" s="1"/>
  <c r="I384"/>
  <c r="I383" s="1"/>
  <c r="I381"/>
  <c r="I380" s="1"/>
  <c r="I378"/>
  <c r="I377" s="1"/>
  <c r="I364"/>
  <c r="I328"/>
  <c r="I327" s="1"/>
  <c r="I325"/>
  <c r="I324" s="1"/>
  <c r="I312"/>
  <c r="I311" s="1"/>
  <c r="I310" s="1"/>
  <c r="I307"/>
  <c r="I305"/>
  <c r="I303"/>
  <c r="I274"/>
  <c r="I273" s="1"/>
  <c r="I268"/>
  <c r="I267" s="1"/>
  <c r="I260"/>
  <c r="I257" s="1"/>
  <c r="I256" s="1"/>
  <c r="I255" s="1"/>
  <c r="I214"/>
  <c r="I213" s="1"/>
  <c r="I210"/>
  <c r="I209" s="1"/>
  <c r="I207"/>
  <c r="I205"/>
  <c r="I204" s="1"/>
  <c r="I196"/>
  <c r="I191"/>
  <c r="I190" s="1"/>
  <c r="I150"/>
  <c r="I149" s="1"/>
  <c r="I147"/>
  <c r="I146" s="1"/>
  <c r="I114"/>
  <c r="I89"/>
  <c r="I88" s="1"/>
  <c r="I38"/>
  <c r="I37" s="1"/>
  <c r="I36" s="1"/>
  <c r="I29"/>
  <c r="H1509"/>
  <c r="H1508"/>
  <c r="H1506"/>
  <c r="H1505" s="1"/>
  <c r="H1503"/>
  <c r="H1502" s="1"/>
  <c r="H1449"/>
  <c r="H1448" s="1"/>
  <c r="H1446"/>
  <c r="H1445" s="1"/>
  <c r="H1443"/>
  <c r="H1441"/>
  <c r="H1438"/>
  <c r="H1437" s="1"/>
  <c r="H1369"/>
  <c r="H1358"/>
  <c r="H1357" s="1"/>
  <c r="H1332"/>
  <c r="H1331" s="1"/>
  <c r="H1329"/>
  <c r="H1328" s="1"/>
  <c r="H1326"/>
  <c r="H1325" s="1"/>
  <c r="H1320"/>
  <c r="H1316"/>
  <c r="H1262"/>
  <c r="H1259" s="1"/>
  <c r="H1258" s="1"/>
  <c r="H1238"/>
  <c r="H1237" s="1"/>
  <c r="H1235"/>
  <c r="H1234" s="1"/>
  <c r="H1217"/>
  <c r="H1216" s="1"/>
  <c r="H1214"/>
  <c r="H1212"/>
  <c r="H1205"/>
  <c r="H1203"/>
  <c r="H1199"/>
  <c r="H1198" s="1"/>
  <c r="H1197" s="1"/>
  <c r="H1195"/>
  <c r="H1194" s="1"/>
  <c r="H1193" s="1"/>
  <c r="H1186"/>
  <c r="H1185" s="1"/>
  <c r="H1184" s="1"/>
  <c r="H1183" s="1"/>
  <c r="H1182" s="1"/>
  <c r="H1181" s="1"/>
  <c r="H1179"/>
  <c r="H1178" s="1"/>
  <c r="H1176"/>
  <c r="H1175" s="1"/>
  <c r="H1173"/>
  <c r="H1172" s="1"/>
  <c r="H1162"/>
  <c r="H1161"/>
  <c r="H1160" s="1"/>
  <c r="H1158"/>
  <c r="H1157" s="1"/>
  <c r="H1155"/>
  <c r="H1154" s="1"/>
  <c r="H1151"/>
  <c r="H1150" s="1"/>
  <c r="H1149" s="1"/>
  <c r="H1131"/>
  <c r="H1130" s="1"/>
  <c r="H1129" s="1"/>
  <c r="H1103"/>
  <c r="H1102" s="1"/>
  <c r="H1101" s="1"/>
  <c r="H1100" s="1"/>
  <c r="H1097"/>
  <c r="H1096" s="1"/>
  <c r="H1083"/>
  <c r="H1080"/>
  <c r="H1079" s="1"/>
  <c r="H1024"/>
  <c r="H1023" s="1"/>
  <c r="H1022" s="1"/>
  <c r="H1014"/>
  <c r="H987"/>
  <c r="H981" s="1"/>
  <c r="H980" s="1"/>
  <c r="H934"/>
  <c r="H925"/>
  <c r="H923"/>
  <c r="H914"/>
  <c r="H913" s="1"/>
  <c r="H909" s="1"/>
  <c r="H893"/>
  <c r="H892" s="1"/>
  <c r="H885"/>
  <c r="H884" s="1"/>
  <c r="H880"/>
  <c r="H879" s="1"/>
  <c r="H878" s="1"/>
  <c r="H877" s="1"/>
  <c r="G28" i="2" s="1"/>
  <c r="H870" i="1"/>
  <c r="H869" s="1"/>
  <c r="H868" s="1"/>
  <c r="H867" s="1"/>
  <c r="G25" i="2" s="1"/>
  <c r="H865" i="1"/>
  <c r="H864" s="1"/>
  <c r="H862"/>
  <c r="H860"/>
  <c r="H857"/>
  <c r="H853"/>
  <c r="H850"/>
  <c r="H848"/>
  <c r="H843"/>
  <c r="H841"/>
  <c r="H836"/>
  <c r="H835" s="1"/>
  <c r="H834"/>
  <c r="H831"/>
  <c r="H830" s="1"/>
  <c r="H829" s="1"/>
  <c r="H828" s="1"/>
  <c r="H827" s="1"/>
  <c r="H820"/>
  <c r="H819" s="1"/>
  <c r="H818" s="1"/>
  <c r="H811"/>
  <c r="H810" s="1"/>
  <c r="H809" s="1"/>
  <c r="H808" s="1"/>
  <c r="H804"/>
  <c r="H803" s="1"/>
  <c r="H802" s="1"/>
  <c r="H801" s="1"/>
  <c r="H800" s="1"/>
  <c r="H786"/>
  <c r="H785" s="1"/>
  <c r="H784" s="1"/>
  <c r="H779"/>
  <c r="H778" s="1"/>
  <c r="H777" s="1"/>
  <c r="H776" s="1"/>
  <c r="H774"/>
  <c r="H772"/>
  <c r="H770"/>
  <c r="H747"/>
  <c r="H746" s="1"/>
  <c r="H741"/>
  <c r="H740" s="1"/>
  <c r="H735"/>
  <c r="H723"/>
  <c r="H721"/>
  <c r="H719"/>
  <c r="H677"/>
  <c r="H676" s="1"/>
  <c r="H683"/>
  <c r="H681"/>
  <c r="H679"/>
  <c r="H674"/>
  <c r="H672"/>
  <c r="H644"/>
  <c r="H643" s="1"/>
  <c r="H642" s="1"/>
  <c r="H637"/>
  <c r="H636" s="1"/>
  <c r="H632" s="1"/>
  <c r="H621"/>
  <c r="H620" s="1"/>
  <c r="H619" s="1"/>
  <c r="H611"/>
  <c r="H610" s="1"/>
  <c r="H608"/>
  <c r="H607" s="1"/>
  <c r="H605"/>
  <c r="H604" s="1"/>
  <c r="H553"/>
  <c r="H552" s="1"/>
  <c r="H551" s="1"/>
  <c r="H549"/>
  <c r="H548" s="1"/>
  <c r="H547" s="1"/>
  <c r="H527"/>
  <c r="H526" s="1"/>
  <c r="H524"/>
  <c r="H523" s="1"/>
  <c r="H542"/>
  <c r="H541" s="1"/>
  <c r="H494"/>
  <c r="H493" s="1"/>
  <c r="H457"/>
  <c r="H454" s="1"/>
  <c r="H452"/>
  <c r="H451" s="1"/>
  <c r="H448"/>
  <c r="H446"/>
  <c r="H445" s="1"/>
  <c r="H423"/>
  <c r="H422" s="1"/>
  <c r="H421" s="1"/>
  <c r="H410"/>
  <c r="H409" s="1"/>
  <c r="H407"/>
  <c r="H405"/>
  <c r="H404" s="1"/>
  <c r="H402"/>
  <c r="H401" s="1"/>
  <c r="H399"/>
  <c r="H398" s="1"/>
  <c r="H384"/>
  <c r="H383" s="1"/>
  <c r="H381"/>
  <c r="H380" s="1"/>
  <c r="H378"/>
  <c r="H377" s="1"/>
  <c r="H364"/>
  <c r="H328"/>
  <c r="H327" s="1"/>
  <c r="H325"/>
  <c r="H324" s="1"/>
  <c r="H312"/>
  <c r="H307"/>
  <c r="H305"/>
  <c r="H303"/>
  <c r="H274"/>
  <c r="H273" s="1"/>
  <c r="H268"/>
  <c r="H267" s="1"/>
  <c r="H260"/>
  <c r="H257" s="1"/>
  <c r="H256" s="1"/>
  <c r="H255" s="1"/>
  <c r="H214"/>
  <c r="H213" s="1"/>
  <c r="H210"/>
  <c r="H209" s="1"/>
  <c r="H207"/>
  <c r="H205"/>
  <c r="H204" s="1"/>
  <c r="H196"/>
  <c r="H191"/>
  <c r="H190" s="1"/>
  <c r="H150"/>
  <c r="H149" s="1"/>
  <c r="H147"/>
  <c r="H146" s="1"/>
  <c r="H112"/>
  <c r="H103" s="1"/>
  <c r="H89"/>
  <c r="H88" s="1"/>
  <c r="H38"/>
  <c r="H37" s="1"/>
  <c r="H36" s="1"/>
  <c r="H29"/>
  <c r="G424" i="3"/>
  <c r="L443" i="1"/>
  <c r="M443" s="1"/>
  <c r="G1438"/>
  <c r="G1437" s="1"/>
  <c r="G873" i="3"/>
  <c r="G1083"/>
  <c r="G1212" i="1"/>
  <c r="G420" i="3"/>
  <c r="G407" i="1"/>
  <c r="G505" i="3"/>
  <c r="G29" i="1"/>
  <c r="G858" i="3"/>
  <c r="G1449" i="1"/>
  <c r="G1448" s="1"/>
  <c r="G25" i="3"/>
  <c r="I826" l="1"/>
  <c r="I1211" i="1"/>
  <c r="H826" i="3"/>
  <c r="M853" s="1"/>
  <c r="I1356" i="1"/>
  <c r="I883"/>
  <c r="H883"/>
  <c r="H311"/>
  <c r="H310" s="1"/>
  <c r="H309" s="1"/>
  <c r="H22" i="2"/>
  <c r="G22"/>
  <c r="I980" i="1"/>
  <c r="H34" i="2" s="1"/>
  <c r="I1035" i="1"/>
  <c r="I1034" s="1"/>
  <c r="H1035"/>
  <c r="H1034" s="1"/>
  <c r="L1057" s="1"/>
  <c r="H1495"/>
  <c r="I1495"/>
  <c r="I739"/>
  <c r="I738" s="1"/>
  <c r="I737" s="1"/>
  <c r="H1013"/>
  <c r="I1013"/>
  <c r="I1012" s="1"/>
  <c r="I1011" s="1"/>
  <c r="I136"/>
  <c r="I123" s="1"/>
  <c r="H136"/>
  <c r="H123" s="1"/>
  <c r="I323"/>
  <c r="I441"/>
  <c r="I440" s="1"/>
  <c r="I439" s="1"/>
  <c r="H441"/>
  <c r="H440" s="1"/>
  <c r="H439" s="1"/>
  <c r="H323"/>
  <c r="I1230"/>
  <c r="I1229" s="1"/>
  <c r="I1228" s="1"/>
  <c r="H739"/>
  <c r="H738" s="1"/>
  <c r="H737" s="1"/>
  <c r="I603"/>
  <c r="I602" s="1"/>
  <c r="I601" s="1"/>
  <c r="H603"/>
  <c r="H602" s="1"/>
  <c r="H601" s="1"/>
  <c r="H1230"/>
  <c r="H1229" s="1"/>
  <c r="H1228" s="1"/>
  <c r="I165" i="3"/>
  <c r="I146" s="1"/>
  <c r="I157" s="1"/>
  <c r="H165"/>
  <c r="H146" s="1"/>
  <c r="H157" s="1"/>
  <c r="I113" i="1"/>
  <c r="I112" s="1"/>
  <c r="I103" s="1"/>
  <c r="I26"/>
  <c r="I25" s="1"/>
  <c r="I24" s="1"/>
  <c r="H26"/>
  <c r="H25" s="1"/>
  <c r="H24" s="1"/>
  <c r="G26"/>
  <c r="G25" s="1"/>
  <c r="G24" s="1"/>
  <c r="H501" i="3"/>
  <c r="H500" s="1"/>
  <c r="I501"/>
  <c r="I500" s="1"/>
  <c r="H54"/>
  <c r="H53" s="1"/>
  <c r="I54"/>
  <c r="I53" s="1"/>
  <c r="I1055"/>
  <c r="I1054" s="1"/>
  <c r="H1055"/>
  <c r="H1054" s="1"/>
  <c r="H772"/>
  <c r="I772"/>
  <c r="I761"/>
  <c r="I760" s="1"/>
  <c r="H761"/>
  <c r="H760" s="1"/>
  <c r="H704"/>
  <c r="I704"/>
  <c r="I485"/>
  <c r="I484" s="1"/>
  <c r="H485"/>
  <c r="H484" s="1"/>
  <c r="I278"/>
  <c r="H278"/>
  <c r="I1355" i="1"/>
  <c r="H43" i="2" s="1"/>
  <c r="H1324" i="1"/>
  <c r="H1323" s="1"/>
  <c r="G42" i="2" s="1"/>
  <c r="I1324" i="1"/>
  <c r="I1323" s="1"/>
  <c r="H42" i="2" s="1"/>
  <c r="I1315" i="1"/>
  <c r="I1314" s="1"/>
  <c r="I1313" s="1"/>
  <c r="H1315"/>
  <c r="H1314" s="1"/>
  <c r="I1202"/>
  <c r="I1201" s="1"/>
  <c r="I1192" s="1"/>
  <c r="I1191" s="1"/>
  <c r="H23" i="2" s="1"/>
  <c r="H1211" i="1"/>
  <c r="H1210" s="1"/>
  <c r="H1209" s="1"/>
  <c r="H1208" s="1"/>
  <c r="H1207" s="1"/>
  <c r="H1202"/>
  <c r="H1201" s="1"/>
  <c r="H1192" s="1"/>
  <c r="H1191" s="1"/>
  <c r="G23" i="2" s="1"/>
  <c r="H1171" i="1"/>
  <c r="H1170" s="1"/>
  <c r="I1171"/>
  <c r="I1170" s="1"/>
  <c r="H1082"/>
  <c r="H1078" s="1"/>
  <c r="I1082"/>
  <c r="I1078" s="1"/>
  <c r="H1079" i="3"/>
  <c r="H1078" s="1"/>
  <c r="H921" i="1"/>
  <c r="I1079" i="3"/>
  <c r="I1078" s="1"/>
  <c r="I921" i="1"/>
  <c r="I840"/>
  <c r="H840"/>
  <c r="H769"/>
  <c r="H768" s="1"/>
  <c r="H767" s="1"/>
  <c r="H761" s="1"/>
  <c r="I769"/>
  <c r="I768" s="1"/>
  <c r="I767" s="1"/>
  <c r="I761" s="1"/>
  <c r="G280"/>
  <c r="G278" s="1"/>
  <c r="G277" s="1"/>
  <c r="F62" i="2" s="1"/>
  <c r="H363" i="1"/>
  <c r="H362" s="1"/>
  <c r="H361" s="1"/>
  <c r="H360" s="1"/>
  <c r="I754" i="3"/>
  <c r="I363" i="1"/>
  <c r="I362" s="1"/>
  <c r="I361" s="1"/>
  <c r="I360" s="1"/>
  <c r="H754" i="3"/>
  <c r="I124"/>
  <c r="H124"/>
  <c r="I1049"/>
  <c r="I1048" s="1"/>
  <c r="H1049"/>
  <c r="H1048" s="1"/>
  <c r="H1014"/>
  <c r="I1014"/>
  <c r="I1109"/>
  <c r="I1106" s="1"/>
  <c r="I1102" s="1"/>
  <c r="H1109"/>
  <c r="H1106" s="1"/>
  <c r="H1102" s="1"/>
  <c r="I927" i="1"/>
  <c r="H376"/>
  <c r="H375" s="1"/>
  <c r="H374" s="1"/>
  <c r="I376"/>
  <c r="I375" s="1"/>
  <c r="I374" s="1"/>
  <c r="I278"/>
  <c r="I277" s="1"/>
  <c r="H62" i="2" s="1"/>
  <c r="H619" i="3"/>
  <c r="H568" s="1"/>
  <c r="I619"/>
  <c r="I568" s="1"/>
  <c r="I22"/>
  <c r="H22"/>
  <c r="H266" i="1"/>
  <c r="H265" s="1"/>
  <c r="I266"/>
  <c r="I265" s="1"/>
  <c r="H326" i="3"/>
  <c r="I326"/>
  <c r="H270"/>
  <c r="H269" s="1"/>
  <c r="I270"/>
  <c r="I269" s="1"/>
  <c r="I43"/>
  <c r="I32" s="1"/>
  <c r="H952" i="1"/>
  <c r="H951" s="1"/>
  <c r="H927"/>
  <c r="I952"/>
  <c r="I951" s="1"/>
  <c r="H43" i="3"/>
  <c r="H32" s="1"/>
  <c r="G34" i="2"/>
  <c r="H799" i="1"/>
  <c r="G65" i="2"/>
  <c r="G64" s="1"/>
  <c r="I799" i="1"/>
  <c r="H65" i="2"/>
  <c r="H64" s="1"/>
  <c r="I1137" i="3"/>
  <c r="I1136" s="1"/>
  <c r="H796"/>
  <c r="I796"/>
  <c r="H817" i="1"/>
  <c r="H816" s="1"/>
  <c r="G68" i="2" s="1"/>
  <c r="I817" i="1"/>
  <c r="I816" s="1"/>
  <c r="H68" i="2" s="1"/>
  <c r="I1026" i="3"/>
  <c r="H734" i="1"/>
  <c r="H733" s="1"/>
  <c r="H732" s="1"/>
  <c r="G58" i="2" s="1"/>
  <c r="I734" i="1"/>
  <c r="I733" s="1"/>
  <c r="I732" s="1"/>
  <c r="H58" i="2" s="1"/>
  <c r="I819" i="3"/>
  <c r="I1047"/>
  <c r="I1046" s="1"/>
  <c r="I1045" s="1"/>
  <c r="I1044" s="1"/>
  <c r="H212" i="1"/>
  <c r="H819" i="3"/>
  <c r="H1047"/>
  <c r="H1046" s="1"/>
  <c r="H1045" s="1"/>
  <c r="H1044" s="1"/>
  <c r="I1082"/>
  <c r="I1095" i="1"/>
  <c r="I1099"/>
  <c r="I445" i="3"/>
  <c r="H1150"/>
  <c r="H1153" s="1"/>
  <c r="I1150"/>
  <c r="I1153" s="1"/>
  <c r="I671" i="1"/>
  <c r="I670" s="1"/>
  <c r="H847"/>
  <c r="I302"/>
  <c r="I301" s="1"/>
  <c r="I300" s="1"/>
  <c r="I718"/>
  <c r="I717" s="1"/>
  <c r="H748" i="3"/>
  <c r="H747" s="1"/>
  <c r="I748"/>
  <c r="I747" s="1"/>
  <c r="H1082"/>
  <c r="I947"/>
  <c r="H524"/>
  <c r="I1210" i="1"/>
  <c r="I1209" s="1"/>
  <c r="I1208" s="1"/>
  <c r="I1207" s="1"/>
  <c r="H302"/>
  <c r="H301" s="1"/>
  <c r="H300" s="1"/>
  <c r="H1095"/>
  <c r="H1440"/>
  <c r="H1436" s="1"/>
  <c r="H1435" s="1"/>
  <c r="H1031" i="3"/>
  <c r="I524"/>
  <c r="H947"/>
  <c r="I1031"/>
  <c r="H1026"/>
  <c r="H445"/>
  <c r="H1135"/>
  <c r="H1153" i="1"/>
  <c r="H1134" s="1"/>
  <c r="G59" i="2" s="1"/>
  <c r="I1153" i="1"/>
  <c r="I1134" s="1"/>
  <c r="H59" i="2" s="1"/>
  <c r="H35"/>
  <c r="H859" i="1"/>
  <c r="I859"/>
  <c r="H852"/>
  <c r="I212"/>
  <c r="H783"/>
  <c r="H782" s="1"/>
  <c r="H671"/>
  <c r="H670" s="1"/>
  <c r="H718"/>
  <c r="H717" s="1"/>
  <c r="H1099"/>
  <c r="I847"/>
  <c r="H1368"/>
  <c r="H1356" s="1"/>
  <c r="I309"/>
  <c r="I852"/>
  <c r="I1440"/>
  <c r="I1436" s="1"/>
  <c r="I1435" s="1"/>
  <c r="I86"/>
  <c r="I35" s="1"/>
  <c r="I87"/>
  <c r="I783"/>
  <c r="I782" s="1"/>
  <c r="H86"/>
  <c r="H35" s="1"/>
  <c r="H87"/>
  <c r="G857" i="3"/>
  <c r="G856" s="1"/>
  <c r="G1029"/>
  <c r="G1027"/>
  <c r="G857" i="1"/>
  <c r="G853"/>
  <c r="G621"/>
  <c r="G31" i="3"/>
  <c r="G30" s="1"/>
  <c r="G29" s="1"/>
  <c r="G364" i="1"/>
  <c r="G419" i="3"/>
  <c r="G418" s="1"/>
  <c r="G542" i="1"/>
  <c r="G541" s="1"/>
  <c r="G447" i="3"/>
  <c r="G24"/>
  <c r="G23" s="1"/>
  <c r="G268" i="1"/>
  <c r="G267" s="1"/>
  <c r="G214"/>
  <c r="G212" s="1"/>
  <c r="G570" i="3"/>
  <c r="G569" s="1"/>
  <c r="G205" i="1"/>
  <c r="G204" s="1"/>
  <c r="G925"/>
  <c r="H299" l="1"/>
  <c r="G22" i="3"/>
  <c r="H1313" i="1"/>
  <c r="H1227" s="1"/>
  <c r="H1012"/>
  <c r="H1011" s="1"/>
  <c r="G35" i="2" s="1"/>
  <c r="H1033" i="1"/>
  <c r="H1032"/>
  <c r="G38" i="2" s="1"/>
  <c r="I1033" i="1"/>
  <c r="I1032"/>
  <c r="H122"/>
  <c r="I122"/>
  <c r="G60" i="2"/>
  <c r="H60"/>
  <c r="I34" i="1"/>
  <c r="J802" i="3"/>
  <c r="I525"/>
  <c r="I760" i="1"/>
  <c r="I759" s="1"/>
  <c r="H760"/>
  <c r="H759" s="1"/>
  <c r="I766"/>
  <c r="H26" i="2" s="1"/>
  <c r="H766" i="1"/>
  <c r="G26" i="2" s="1"/>
  <c r="I325" i="3"/>
  <c r="I265" s="1"/>
  <c r="I264" s="1"/>
  <c r="H325"/>
  <c r="H265" s="1"/>
  <c r="H264" s="1"/>
  <c r="I1494" i="1"/>
  <c r="I1493" s="1"/>
  <c r="H1355"/>
  <c r="G43" i="2" s="1"/>
  <c r="H1128" i="1"/>
  <c r="I1128"/>
  <c r="I1077"/>
  <c r="H1077"/>
  <c r="I1077" i="3"/>
  <c r="I1076" s="1"/>
  <c r="H1077"/>
  <c r="H1076" s="1"/>
  <c r="I839" i="1"/>
  <c r="I838" s="1"/>
  <c r="I833" s="1"/>
  <c r="H839"/>
  <c r="H838" s="1"/>
  <c r="H833" s="1"/>
  <c r="I806"/>
  <c r="H806"/>
  <c r="H716"/>
  <c r="H714" s="1"/>
  <c r="G53" i="2" s="1"/>
  <c r="I716" i="1"/>
  <c r="I714" s="1"/>
  <c r="H53" i="2" s="1"/>
  <c r="H50"/>
  <c r="G50"/>
  <c r="H920" i="1"/>
  <c r="H919" s="1"/>
  <c r="H882" s="1"/>
  <c r="I920"/>
  <c r="I919" s="1"/>
  <c r="I882" s="1"/>
  <c r="G363"/>
  <c r="G362" s="1"/>
  <c r="G361" s="1"/>
  <c r="G360" s="1"/>
  <c r="H1013" i="3"/>
  <c r="H1008" s="1"/>
  <c r="I1013"/>
  <c r="I1008" s="1"/>
  <c r="G51" i="2"/>
  <c r="H1090" i="3"/>
  <c r="H1089" s="1"/>
  <c r="H1086" s="1"/>
  <c r="H1085" s="1"/>
  <c r="I1090"/>
  <c r="I1089" s="1"/>
  <c r="I1086" s="1"/>
  <c r="I1085" s="1"/>
  <c r="G33" i="2"/>
  <c r="I299" i="1"/>
  <c r="I669"/>
  <c r="I668" s="1"/>
  <c r="H1095" i="3"/>
  <c r="I1095"/>
  <c r="G56" i="2"/>
  <c r="G49"/>
  <c r="H56"/>
  <c r="H322" i="1"/>
  <c r="H316" s="1"/>
  <c r="G44" i="2"/>
  <c r="I950" i="1"/>
  <c r="H818" i="3"/>
  <c r="H817" s="1"/>
  <c r="H816" s="1"/>
  <c r="I818"/>
  <c r="I817" s="1"/>
  <c r="I816" s="1"/>
  <c r="H1039"/>
  <c r="I731" i="1"/>
  <c r="I781"/>
  <c r="H31" i="2"/>
  <c r="H30" s="1"/>
  <c r="H264" i="1"/>
  <c r="H731"/>
  <c r="I264"/>
  <c r="H781"/>
  <c r="G31" i="2"/>
  <c r="G30" s="1"/>
  <c r="H23" i="1"/>
  <c r="I23"/>
  <c r="H1494"/>
  <c r="H1493" s="1"/>
  <c r="H33" i="2"/>
  <c r="H32" s="1"/>
  <c r="H669" i="1"/>
  <c r="H668" s="1"/>
  <c r="H44" i="2"/>
  <c r="H49"/>
  <c r="I1039" i="3"/>
  <c r="I322" i="1"/>
  <c r="H759" i="3"/>
  <c r="H158"/>
  <c r="I759"/>
  <c r="I1190" i="1"/>
  <c r="I1219" s="1"/>
  <c r="I807"/>
  <c r="H67" i="2" s="1"/>
  <c r="H66" s="1"/>
  <c r="H1190" i="1"/>
  <c r="H1219" s="1"/>
  <c r="H807"/>
  <c r="G67" i="2" s="1"/>
  <c r="G66" s="1"/>
  <c r="G274" i="1"/>
  <c r="G273" s="1"/>
  <c r="G266" s="1"/>
  <c r="G454" i="3"/>
  <c r="G756"/>
  <c r="G1026"/>
  <c r="G677" i="1"/>
  <c r="G676" s="1"/>
  <c r="G852"/>
  <c r="G213"/>
  <c r="G767" i="3"/>
  <c r="G766" s="1"/>
  <c r="G774" i="1"/>
  <c r="G1080"/>
  <c r="G1079" s="1"/>
  <c r="G620"/>
  <c r="G619" s="1"/>
  <c r="H38" i="2" l="1"/>
  <c r="L1058" i="1"/>
  <c r="H980" i="3"/>
  <c r="I980"/>
  <c r="I826" i="1"/>
  <c r="H826"/>
  <c r="H1026"/>
  <c r="I1026"/>
  <c r="G32" i="2"/>
  <c r="J770" i="3"/>
  <c r="I20"/>
  <c r="H20"/>
  <c r="H758" i="1"/>
  <c r="H824" s="1"/>
  <c r="I758"/>
  <c r="I824" s="1"/>
  <c r="H39" i="2"/>
  <c r="G39"/>
  <c r="H55"/>
  <c r="H54" s="1"/>
  <c r="G55"/>
  <c r="G54" s="1"/>
  <c r="G40"/>
  <c r="H950" i="1"/>
  <c r="H40" i="2"/>
  <c r="H41"/>
  <c r="I1322" i="1"/>
  <c r="G41" i="2"/>
  <c r="H1322" i="1"/>
  <c r="H276"/>
  <c r="G61" i="2"/>
  <c r="I276" i="1"/>
  <c r="H61" i="2"/>
  <c r="H52"/>
  <c r="H351" i="1"/>
  <c r="G52" i="2"/>
  <c r="G57"/>
  <c r="I158" i="3"/>
  <c r="G47" i="2"/>
  <c r="G46" s="1"/>
  <c r="H47"/>
  <c r="H46" s="1"/>
  <c r="H57"/>
  <c r="H51"/>
  <c r="I316" i="1"/>
  <c r="I351" s="1"/>
  <c r="H34"/>
  <c r="G400" i="3"/>
  <c r="G399" s="1"/>
  <c r="H1188" i="1" l="1"/>
  <c r="I1188"/>
  <c r="H1143" i="3"/>
  <c r="I1143"/>
  <c r="G36" i="2"/>
  <c r="H36"/>
  <c r="H24"/>
  <c r="G24"/>
  <c r="G29"/>
  <c r="H29"/>
  <c r="I373" i="1"/>
  <c r="I756" s="1"/>
  <c r="I121"/>
  <c r="H121"/>
  <c r="H297" s="1"/>
  <c r="H48" i="2"/>
  <c r="H1543" i="1"/>
  <c r="H373"/>
  <c r="H756" s="1"/>
  <c r="G48" i="2"/>
  <c r="H1561" i="1" l="1"/>
  <c r="H1580" s="1"/>
  <c r="I1178" i="3"/>
  <c r="H1178"/>
  <c r="G21" i="2"/>
  <c r="G69" s="1"/>
  <c r="H21"/>
  <c r="H69" s="1"/>
  <c r="I1168" i="3"/>
  <c r="H1168"/>
  <c r="I1163"/>
  <c r="H1163"/>
  <c r="H1569" i="1"/>
  <c r="I1569"/>
  <c r="I297"/>
  <c r="I1227"/>
  <c r="I1543" s="1"/>
  <c r="I1148" i="3"/>
  <c r="H1148"/>
  <c r="G160"/>
  <c r="G159" s="1"/>
  <c r="G89" i="1"/>
  <c r="G88" s="1"/>
  <c r="G129" i="3"/>
  <c r="G128" s="1"/>
  <c r="G627"/>
  <c r="G626" s="1"/>
  <c r="G196" i="1"/>
  <c r="G852" i="3"/>
  <c r="G836"/>
  <c r="G1443" i="1"/>
  <c r="G1368"/>
  <c r="G1369"/>
  <c r="I1561" l="1"/>
  <c r="I1580" s="1"/>
  <c r="H1173" i="3"/>
  <c r="H1156"/>
  <c r="G81" i="2"/>
  <c r="G86"/>
  <c r="H81"/>
  <c r="H86"/>
  <c r="I1158" i="3"/>
  <c r="G73" i="2"/>
  <c r="H1158" i="3"/>
  <c r="H71" i="2"/>
  <c r="H1565" i="1"/>
  <c r="H1575"/>
  <c r="I1567"/>
  <c r="G71" i="2"/>
  <c r="H1567" i="1"/>
  <c r="H1152" i="3"/>
  <c r="G87" i="1"/>
  <c r="G86"/>
  <c r="H73" i="2" l="1"/>
  <c r="I1173" i="3"/>
  <c r="J85" i="1"/>
  <c r="I1565"/>
  <c r="I1156" i="3"/>
  <c r="I1152"/>
  <c r="I1575" i="1"/>
  <c r="G752" i="3"/>
  <c r="G553" i="1"/>
  <c r="G552" s="1"/>
  <c r="G551" s="1"/>
  <c r="G1025" i="3" l="1"/>
  <c r="G1024" s="1"/>
  <c r="G1023"/>
  <c r="G1022" s="1"/>
  <c r="G1035"/>
  <c r="G1034" s="1"/>
  <c r="G1033"/>
  <c r="G1032" s="1"/>
  <c r="G860" i="1"/>
  <c r="G859" s="1"/>
  <c r="G329" i="3"/>
  <c r="G328" s="1"/>
  <c r="G494" i="1"/>
  <c r="G49" i="3"/>
  <c r="G48" s="1"/>
  <c r="G45"/>
  <c r="G44" s="1"/>
  <c r="G893" i="1"/>
  <c r="G892" s="1"/>
  <c r="G850"/>
  <c r="G848"/>
  <c r="G210"/>
  <c r="G209" s="1"/>
  <c r="G208" s="1"/>
  <c r="G1084" i="3"/>
  <c r="G1082" s="1"/>
  <c r="G43" l="1"/>
  <c r="G493" i="1"/>
  <c r="G1031" i="3"/>
  <c r="G1021"/>
  <c r="G847" i="1"/>
  <c r="G779"/>
  <c r="G778" s="1"/>
  <c r="G777" s="1"/>
  <c r="G776" s="1"/>
  <c r="G399"/>
  <c r="G398" s="1"/>
  <c r="G410"/>
  <c r="G409" s="1"/>
  <c r="G408" i="3"/>
  <c r="G390" s="1"/>
  <c r="G637" i="1"/>
  <c r="G636" s="1"/>
  <c r="G632" s="1"/>
  <c r="G35" i="3"/>
  <c r="G34" s="1"/>
  <c r="G33" s="1"/>
  <c r="G32" l="1"/>
  <c r="G885" i="1"/>
  <c r="G884" s="1"/>
  <c r="G883" s="1"/>
  <c r="G872" i="3" l="1"/>
  <c r="G871" s="1"/>
  <c r="G1103" i="1"/>
  <c r="G1102" s="1"/>
  <c r="G1101" s="1"/>
  <c r="G1100" s="1"/>
  <c r="G530" i="3"/>
  <c r="G529" s="1"/>
  <c r="G527" s="1"/>
  <c r="G533"/>
  <c r="G532" s="1"/>
  <c r="G531" s="1"/>
  <c r="G1506" i="1"/>
  <c r="G1505" s="1"/>
  <c r="G1503"/>
  <c r="G1502" s="1"/>
  <c r="G190" l="1"/>
  <c r="G38"/>
  <c r="G37" s="1"/>
  <c r="G36" s="1"/>
  <c r="G35" s="1"/>
  <c r="G709" i="3"/>
  <c r="G708" s="1"/>
  <c r="G293"/>
  <c r="G487"/>
  <c r="G763"/>
  <c r="G762" s="1"/>
  <c r="G174"/>
  <c r="G173" s="1"/>
  <c r="G202"/>
  <c r="G201" s="1"/>
  <c r="G196" s="1"/>
  <c r="G195" s="1"/>
  <c r="G1012"/>
  <c r="G1011" s="1"/>
  <c r="G1010" s="1"/>
  <c r="G1009" s="1"/>
  <c r="G1016"/>
  <c r="G1015" s="1"/>
  <c r="G1018"/>
  <c r="G1017" s="1"/>
  <c r="G1020"/>
  <c r="G1019" s="1"/>
  <c r="G1038"/>
  <c r="G1037" s="1"/>
  <c r="G1036" s="1"/>
  <c r="G1043"/>
  <c r="G1042" s="1"/>
  <c r="G1041" s="1"/>
  <c r="G1040" s="1"/>
  <c r="G1047"/>
  <c r="G1046" s="1"/>
  <c r="G1045" s="1"/>
  <c r="G1044" s="1"/>
  <c r="G1051"/>
  <c r="G1050" s="1"/>
  <c r="G1053"/>
  <c r="G1052" s="1"/>
  <c r="G1057"/>
  <c r="G1056" s="1"/>
  <c r="G1059"/>
  <c r="G1058" s="1"/>
  <c r="G1062"/>
  <c r="G1061" s="1"/>
  <c r="G1060" s="1"/>
  <c r="G1079"/>
  <c r="G1078" s="1"/>
  <c r="G1081"/>
  <c r="G1080" s="1"/>
  <c r="G1091"/>
  <c r="G1138"/>
  <c r="G1135" s="1"/>
  <c r="G176"/>
  <c r="G150"/>
  <c r="G56"/>
  <c r="G55" s="1"/>
  <c r="G58"/>
  <c r="G57" s="1"/>
  <c r="G60"/>
  <c r="G59" s="1"/>
  <c r="G63"/>
  <c r="G62" s="1"/>
  <c r="G61" s="1"/>
  <c r="G69"/>
  <c r="G68" s="1"/>
  <c r="G67" s="1"/>
  <c r="G72"/>
  <c r="G71" s="1"/>
  <c r="G70" s="1"/>
  <c r="G127"/>
  <c r="G126" s="1"/>
  <c r="G125" s="1"/>
  <c r="G132"/>
  <c r="G271"/>
  <c r="G280"/>
  <c r="G296"/>
  <c r="G302"/>
  <c r="G323"/>
  <c r="G322" s="1"/>
  <c r="G407"/>
  <c r="G406" s="1"/>
  <c r="G644" i="1"/>
  <c r="G643" s="1"/>
  <c r="G642" s="1"/>
  <c r="G489" i="3"/>
  <c r="G488" s="1"/>
  <c r="G437"/>
  <c r="G436" s="1"/>
  <c r="G446"/>
  <c r="G453"/>
  <c r="G452" s="1"/>
  <c r="G448"/>
  <c r="G504"/>
  <c r="G577"/>
  <c r="G576" s="1"/>
  <c r="G575" s="1"/>
  <c r="G580"/>
  <c r="G579" s="1"/>
  <c r="G578" s="1"/>
  <c r="G583"/>
  <c r="G582" s="1"/>
  <c r="G581" s="1"/>
  <c r="G586"/>
  <c r="G585" s="1"/>
  <c r="G584" s="1"/>
  <c r="G593"/>
  <c r="G592" s="1"/>
  <c r="G621"/>
  <c r="G620" s="1"/>
  <c r="G625"/>
  <c r="G624" s="1"/>
  <c r="G260" i="1"/>
  <c r="G257" s="1"/>
  <c r="G256" s="1"/>
  <c r="G255" s="1"/>
  <c r="G251" s="1"/>
  <c r="G707" i="3"/>
  <c r="G706" s="1"/>
  <c r="G705" s="1"/>
  <c r="G727"/>
  <c r="G726" s="1"/>
  <c r="G731"/>
  <c r="G730" s="1"/>
  <c r="G729" s="1"/>
  <c r="G728" s="1"/>
  <c r="G740"/>
  <c r="G750"/>
  <c r="G749" s="1"/>
  <c r="G751"/>
  <c r="G765"/>
  <c r="G764" s="1"/>
  <c r="G1186" i="1"/>
  <c r="G1185" s="1"/>
  <c r="G1184" s="1"/>
  <c r="G1183" s="1"/>
  <c r="G1182" s="1"/>
  <c r="G1181" s="1"/>
  <c r="G785" i="3"/>
  <c r="G788"/>
  <c r="G787" s="1"/>
  <c r="G786" s="1"/>
  <c r="G799"/>
  <c r="G839"/>
  <c r="G838" s="1"/>
  <c r="G837" s="1"/>
  <c r="G850"/>
  <c r="G849" s="1"/>
  <c r="G851"/>
  <c r="G861"/>
  <c r="G860" s="1"/>
  <c r="G859" s="1"/>
  <c r="G867"/>
  <c r="G866" s="1"/>
  <c r="G865" s="1"/>
  <c r="G870"/>
  <c r="G869" s="1"/>
  <c r="G868" s="1"/>
  <c r="G829"/>
  <c r="G828" s="1"/>
  <c r="G831"/>
  <c r="G830" s="1"/>
  <c r="G833"/>
  <c r="G832" s="1"/>
  <c r="G855"/>
  <c r="G854" s="1"/>
  <c r="G853" s="1"/>
  <c r="G835"/>
  <c r="G834" s="1"/>
  <c r="G949"/>
  <c r="G948" s="1"/>
  <c r="G953"/>
  <c r="G952" s="1"/>
  <c r="G951" s="1"/>
  <c r="G956"/>
  <c r="G955" s="1"/>
  <c r="G954" s="1"/>
  <c r="G959"/>
  <c r="G965"/>
  <c r="G964" s="1"/>
  <c r="G963" s="1"/>
  <c r="G962"/>
  <c r="G961" s="1"/>
  <c r="G960" s="1"/>
  <c r="G526"/>
  <c r="G516" s="1"/>
  <c r="G819"/>
  <c r="G822"/>
  <c r="G821" s="1"/>
  <c r="G820" s="1"/>
  <c r="G608" i="1"/>
  <c r="G607" s="1"/>
  <c r="G605"/>
  <c r="G604" s="1"/>
  <c r="G147"/>
  <c r="G146" s="1"/>
  <c r="G150"/>
  <c r="G149" s="1"/>
  <c r="G452"/>
  <c r="G451" s="1"/>
  <c r="G457"/>
  <c r="G454" s="1"/>
  <c r="G441" s="1"/>
  <c r="G549"/>
  <c r="G548" s="1"/>
  <c r="G547" s="1"/>
  <c r="G524"/>
  <c r="G523" s="1"/>
  <c r="G527"/>
  <c r="G378"/>
  <c r="G377" s="1"/>
  <c r="G381"/>
  <c r="G380" s="1"/>
  <c r="G402"/>
  <c r="G401" s="1"/>
  <c r="G405"/>
  <c r="G404" s="1"/>
  <c r="G923"/>
  <c r="G590" s="1"/>
  <c r="G589" s="1"/>
  <c r="G1320"/>
  <c r="G1083"/>
  <c r="G1097"/>
  <c r="G1096" s="1"/>
  <c r="G325"/>
  <c r="G324" s="1"/>
  <c r="G328"/>
  <c r="G327" s="1"/>
  <c r="G1014"/>
  <c r="G1013" s="1"/>
  <c r="G1012" s="1"/>
  <c r="G1024"/>
  <c r="G1023" s="1"/>
  <c r="G1022" s="1"/>
  <c r="G841"/>
  <c r="G843"/>
  <c r="G770"/>
  <c r="G772"/>
  <c r="G786"/>
  <c r="G785" s="1"/>
  <c r="G804"/>
  <c r="G803" s="1"/>
  <c r="G802" s="1"/>
  <c r="G801" s="1"/>
  <c r="G800" s="1"/>
  <c r="G799" s="1"/>
  <c r="G811"/>
  <c r="G810" s="1"/>
  <c r="G809" s="1"/>
  <c r="G808" s="1"/>
  <c r="G820"/>
  <c r="G819" s="1"/>
  <c r="G870"/>
  <c r="G869" s="1"/>
  <c r="G868" s="1"/>
  <c r="G867" s="1"/>
  <c r="F25" i="2" s="1"/>
  <c r="G1235" i="1"/>
  <c r="G1234" s="1"/>
  <c r="G1238"/>
  <c r="G1237" s="1"/>
  <c r="G1358"/>
  <c r="G1326"/>
  <c r="G1325" s="1"/>
  <c r="G1329"/>
  <c r="G1328" s="1"/>
  <c r="G1332"/>
  <c r="G1331" s="1"/>
  <c r="G1441"/>
  <c r="G1446"/>
  <c r="G1445" s="1"/>
  <c r="G1508"/>
  <c r="G1495" s="1"/>
  <c r="G1158"/>
  <c r="G1157" s="1"/>
  <c r="G1151"/>
  <c r="G1150" s="1"/>
  <c r="G1149" s="1"/>
  <c r="G1161"/>
  <c r="G1160" s="1"/>
  <c r="G1179"/>
  <c r="G1178" s="1"/>
  <c r="G831"/>
  <c r="G830" s="1"/>
  <c r="G829" s="1"/>
  <c r="G828" s="1"/>
  <c r="G827" s="1"/>
  <c r="F22" i="2" s="1"/>
  <c r="G865" i="1"/>
  <c r="G864" s="1"/>
  <c r="G834"/>
  <c r="G880"/>
  <c r="G879" s="1"/>
  <c r="G878" s="1"/>
  <c r="G877" s="1"/>
  <c r="F28" i="2" s="1"/>
  <c r="G934" i="1"/>
  <c r="G914"/>
  <c r="G913" s="1"/>
  <c r="G909" s="1"/>
  <c r="G1035"/>
  <c r="G1034" s="1"/>
  <c r="G303"/>
  <c r="G305"/>
  <c r="G312"/>
  <c r="G311" s="1"/>
  <c r="G310" s="1"/>
  <c r="G309" s="1"/>
  <c r="G423"/>
  <c r="G422" s="1"/>
  <c r="G421" s="1"/>
  <c r="G672"/>
  <c r="G674"/>
  <c r="G679"/>
  <c r="G683"/>
  <c r="G682" s="1"/>
  <c r="G451" i="3" s="1"/>
  <c r="G450" s="1"/>
  <c r="G719" i="1"/>
  <c r="G721"/>
  <c r="G735"/>
  <c r="G734" s="1"/>
  <c r="G733" s="1"/>
  <c r="G732" s="1"/>
  <c r="G747"/>
  <c r="G746" s="1"/>
  <c r="G741"/>
  <c r="G740" s="1"/>
  <c r="G1195"/>
  <c r="G1194" s="1"/>
  <c r="G1193" s="1"/>
  <c r="G1199"/>
  <c r="G1198" s="1"/>
  <c r="G1197" s="1"/>
  <c r="G1203"/>
  <c r="G1205"/>
  <c r="G1214"/>
  <c r="G1211" s="1"/>
  <c r="G1318"/>
  <c r="G1173"/>
  <c r="G1172" s="1"/>
  <c r="G285" i="3"/>
  <c r="G284" s="1"/>
  <c r="G1162" i="1"/>
  <c r="G1509"/>
  <c r="G307"/>
  <c r="G836"/>
  <c r="G835" s="1"/>
  <c r="G771" i="3"/>
  <c r="G623"/>
  <c r="G622" s="1"/>
  <c r="G1155" i="1"/>
  <c r="G1154" s="1"/>
  <c r="G1132"/>
  <c r="G1131" s="1"/>
  <c r="G1130" s="1"/>
  <c r="G1129" s="1"/>
  <c r="G446"/>
  <c r="G445" s="1"/>
  <c r="G611"/>
  <c r="G610" s="1"/>
  <c r="G301" i="3" l="1"/>
  <c r="G300" s="1"/>
  <c r="G323" i="1"/>
  <c r="G131" i="3"/>
  <c r="G130" s="1"/>
  <c r="G124" s="1"/>
  <c r="G136" i="1"/>
  <c r="G122" s="1"/>
  <c r="G1086" i="3"/>
  <c r="G1085" s="1"/>
  <c r="F58" i="2"/>
  <c r="G704" i="3"/>
  <c r="G725"/>
  <c r="G724" s="1"/>
  <c r="G723" s="1"/>
  <c r="J719" s="1"/>
  <c r="J722"/>
  <c r="G580" i="1"/>
  <c r="G579" s="1"/>
  <c r="G1357"/>
  <c r="G1356" s="1"/>
  <c r="G526"/>
  <c r="G582"/>
  <c r="G581" s="1"/>
  <c r="G603"/>
  <c r="G1033"/>
  <c r="G738"/>
  <c r="G737" s="1"/>
  <c r="G1230"/>
  <c r="G769"/>
  <c r="G768" s="1"/>
  <c r="G767" s="1"/>
  <c r="G501" i="3"/>
  <c r="G500" s="1"/>
  <c r="G770"/>
  <c r="G769" s="1"/>
  <c r="G768" s="1"/>
  <c r="G1055"/>
  <c r="G1054" s="1"/>
  <c r="G827"/>
  <c r="G772"/>
  <c r="G761"/>
  <c r="G760" s="1"/>
  <c r="G1315" i="1"/>
  <c r="G1314" s="1"/>
  <c r="G1313" s="1"/>
  <c r="G1324"/>
  <c r="G1202"/>
  <c r="G1201" s="1"/>
  <c r="G1192" s="1"/>
  <c r="G1191" s="1"/>
  <c r="F23" i="2" s="1"/>
  <c r="G1082" i="1"/>
  <c r="G1078" s="1"/>
  <c r="G840"/>
  <c r="G839" s="1"/>
  <c r="G818"/>
  <c r="G817" s="1"/>
  <c r="G816" s="1"/>
  <c r="G1049" i="3"/>
  <c r="G1048" s="1"/>
  <c r="G1077"/>
  <c r="G1014"/>
  <c r="G1013" s="1"/>
  <c r="G295"/>
  <c r="G294" s="1"/>
  <c r="L136" i="1"/>
  <c r="L122" s="1"/>
  <c r="G619" i="3"/>
  <c r="G568" s="1"/>
  <c r="G1494" i="1"/>
  <c r="G1493" s="1"/>
  <c r="G270" i="3"/>
  <c r="G269" s="1"/>
  <c r="G524"/>
  <c r="I64" i="2"/>
  <c r="G175" i="3"/>
  <c r="G172" s="1"/>
  <c r="L165"/>
  <c r="G718" i="1"/>
  <c r="G717" s="1"/>
  <c r="G818" i="3"/>
  <c r="G817" s="1"/>
  <c r="G816" s="1"/>
  <c r="G797"/>
  <c r="G796" s="1"/>
  <c r="G789" s="1"/>
  <c r="G783" i="1"/>
  <c r="G782" s="1"/>
  <c r="G781" s="1"/>
  <c r="G784"/>
  <c r="G784" i="3"/>
  <c r="G783" s="1"/>
  <c r="G149"/>
  <c r="G148" s="1"/>
  <c r="G147" s="1"/>
  <c r="G170"/>
  <c r="G169" s="1"/>
  <c r="G780"/>
  <c r="G779" s="1"/>
  <c r="G1095" i="1"/>
  <c r="G445" i="3"/>
  <c r="G748"/>
  <c r="G747" s="1"/>
  <c r="G486"/>
  <c r="G485" s="1"/>
  <c r="G484" s="1"/>
  <c r="G1137"/>
  <c r="G1136" s="1"/>
  <c r="G279"/>
  <c r="G1150"/>
  <c r="G1153" s="1"/>
  <c r="G1153" i="1"/>
  <c r="F65" i="2"/>
  <c r="F64" s="1"/>
  <c r="G755" i="3"/>
  <c r="G292"/>
  <c r="G291" s="1"/>
  <c r="G525"/>
  <c r="G958"/>
  <c r="G957" s="1"/>
  <c r="G947" s="1"/>
  <c r="G1099" i="1"/>
  <c r="G1011"/>
  <c r="G671"/>
  <c r="G670" s="1"/>
  <c r="G283" i="3"/>
  <c r="G848"/>
  <c r="G276"/>
  <c r="G275" s="1"/>
  <c r="G1440" i="1"/>
  <c r="G1436" s="1"/>
  <c r="G1435" s="1"/>
  <c r="F44" i="2" s="1"/>
  <c r="G483" i="3"/>
  <c r="G482" s="1"/>
  <c r="G481" s="1"/>
  <c r="G480" s="1"/>
  <c r="G739"/>
  <c r="G738" s="1"/>
  <c r="G737" s="1"/>
  <c r="G1217" i="1"/>
  <c r="G1216" s="1"/>
  <c r="G302"/>
  <c r="G301" s="1"/>
  <c r="G300" s="1"/>
  <c r="G449"/>
  <c r="G448" s="1"/>
  <c r="G1262"/>
  <c r="G1259" s="1"/>
  <c r="G1258" s="1"/>
  <c r="G384"/>
  <c r="G383" s="1"/>
  <c r="G376" s="1"/>
  <c r="G375" s="1"/>
  <c r="G374" s="1"/>
  <c r="G54" i="3"/>
  <c r="G53" s="1"/>
  <c r="G1176" i="1"/>
  <c r="G1175" s="1"/>
  <c r="G1171" s="1"/>
  <c r="G114"/>
  <c r="G988"/>
  <c r="G987" s="1"/>
  <c r="G951"/>
  <c r="G920"/>
  <c r="G919" s="1"/>
  <c r="G265" i="3" l="1"/>
  <c r="G264" s="1"/>
  <c r="G826"/>
  <c r="L123" i="1"/>
  <c r="G1076" i="3"/>
  <c r="L1143"/>
  <c r="G602" i="1"/>
  <c r="G601" s="1"/>
  <c r="G1425"/>
  <c r="G1134"/>
  <c r="F59" i="2" s="1"/>
  <c r="G882" i="1"/>
  <c r="G669"/>
  <c r="G668" s="1"/>
  <c r="J661" s="1"/>
  <c r="J664"/>
  <c r="G1032"/>
  <c r="G1077"/>
  <c r="G1323"/>
  <c r="F42" i="2" s="1"/>
  <c r="G165" i="3"/>
  <c r="G146" s="1"/>
  <c r="G113" i="1"/>
  <c r="G282" i="3"/>
  <c r="G281" s="1"/>
  <c r="G278" s="1"/>
  <c r="K569"/>
  <c r="G759"/>
  <c r="G766" i="1"/>
  <c r="G761"/>
  <c r="G760" s="1"/>
  <c r="G1170"/>
  <c r="F68" i="2"/>
  <c r="G806" i="1"/>
  <c r="I66" i="2" s="1"/>
  <c r="G716" i="1"/>
  <c r="G714" s="1"/>
  <c r="F53" i="2" s="1"/>
  <c r="F35"/>
  <c r="G754" i="3"/>
  <c r="L446" i="1"/>
  <c r="M446" s="1"/>
  <c r="G440"/>
  <c r="G439" s="1"/>
  <c r="G981"/>
  <c r="G980" s="1"/>
  <c r="F49" i="2"/>
  <c r="G299" i="1"/>
  <c r="L121"/>
  <c r="L53" i="3"/>
  <c r="G322" i="1"/>
  <c r="G316" s="1"/>
  <c r="I46" i="2"/>
  <c r="F31"/>
  <c r="F30" s="1"/>
  <c r="F47"/>
  <c r="F46" s="1"/>
  <c r="G838" i="1"/>
  <c r="G833" s="1"/>
  <c r="G1008" i="3"/>
  <c r="G265" i="1"/>
  <c r="G276"/>
  <c r="G1039" i="3"/>
  <c r="G807" i="1"/>
  <c r="F67" i="2" s="1"/>
  <c r="G1210" i="1"/>
  <c r="G1209" s="1"/>
  <c r="G1208" s="1"/>
  <c r="G731"/>
  <c r="G980" i="3" l="1"/>
  <c r="G157"/>
  <c r="L981"/>
  <c r="G1418" i="1"/>
  <c r="G1417" s="1"/>
  <c r="G1355" s="1"/>
  <c r="F43" i="2" s="1"/>
  <c r="F41" s="1"/>
  <c r="G826" i="1"/>
  <c r="G112"/>
  <c r="G103" s="1"/>
  <c r="G34" s="1"/>
  <c r="G1128"/>
  <c r="F38" i="2"/>
  <c r="G1026" i="1"/>
  <c r="G950"/>
  <c r="I32" i="2" s="1"/>
  <c r="G264" i="1"/>
  <c r="F60" i="2"/>
  <c r="G1229" i="1"/>
  <c r="G1228" s="1"/>
  <c r="G759"/>
  <c r="F66" i="2"/>
  <c r="F29"/>
  <c r="G753" i="3"/>
  <c r="G20" s="1"/>
  <c r="G373" i="1"/>
  <c r="G756" s="1"/>
  <c r="F40" i="2"/>
  <c r="G158" i="3"/>
  <c r="F50" i="2"/>
  <c r="L1163" i="3"/>
  <c r="I61" i="2"/>
  <c r="F56"/>
  <c r="G121" i="1"/>
  <c r="I54" i="2" s="1"/>
  <c r="F55"/>
  <c r="G351" i="1"/>
  <c r="F61" i="2"/>
  <c r="F51"/>
  <c r="F33"/>
  <c r="G1207" i="1"/>
  <c r="F26" i="2" s="1"/>
  <c r="G1190" i="1"/>
  <c r="G1219" s="1"/>
  <c r="G1188" l="1"/>
  <c r="G1143" i="3"/>
  <c r="G1322" i="1"/>
  <c r="I41" i="2" s="1"/>
  <c r="I57"/>
  <c r="F34"/>
  <c r="F32" s="1"/>
  <c r="F57"/>
  <c r="G758" i="1"/>
  <c r="G824" s="1"/>
  <c r="F24" i="2"/>
  <c r="F21" s="1"/>
  <c r="F52"/>
  <c r="F48" s="1"/>
  <c r="F54"/>
  <c r="G23" i="1"/>
  <c r="G297" s="1"/>
  <c r="G1178" i="3" l="1"/>
  <c r="F39" i="2"/>
  <c r="F36" s="1"/>
  <c r="G1163" i="3"/>
  <c r="G1569" i="1"/>
  <c r="J296"/>
  <c r="I48" i="2"/>
  <c r="I21"/>
  <c r="G1227" i="1"/>
  <c r="G1543" s="1"/>
  <c r="G1561" s="1"/>
  <c r="G1575" l="1"/>
  <c r="G1580"/>
  <c r="F69" i="2"/>
  <c r="I36"/>
  <c r="G1148" i="3"/>
  <c r="G1577" i="1" l="1"/>
  <c r="G1173" i="3"/>
  <c r="G1567" i="1"/>
  <c r="F71" i="2"/>
  <c r="F78"/>
  <c r="G1158" i="3"/>
  <c r="F73" i="2"/>
  <c r="G1565" i="1"/>
  <c r="G1156" i="3"/>
  <c r="G1152"/>
</calcChain>
</file>

<file path=xl/sharedStrings.xml><?xml version="1.0" encoding="utf-8"?>
<sst xmlns="http://schemas.openxmlformats.org/spreadsheetml/2006/main" count="12564" uniqueCount="915">
  <si>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</si>
  <si>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</si>
  <si>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</si>
  <si>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</si>
  <si>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</si>
  <si>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</si>
  <si>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</si>
  <si>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</si>
  <si>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</si>
  <si>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</si>
  <si>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</si>
  <si>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</si>
  <si>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</si>
  <si>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</si>
  <si>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</si>
  <si>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</si>
  <si>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</si>
  <si>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</si>
  <si>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</si>
  <si>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</si>
  <si>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</si>
  <si>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</si>
  <si>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</si>
  <si>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</si>
  <si>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</si>
  <si>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</si>
  <si>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</si>
  <si>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</si>
  <si>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</si>
  <si>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</si>
  <si>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</si>
  <si>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</si>
  <si>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</si>
  <si>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</si>
  <si>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</si>
  <si>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</si>
  <si>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</si>
  <si>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</si>
  <si>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</si>
  <si>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</si>
  <si>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</si>
  <si>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</si>
  <si>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</si>
  <si>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</si>
  <si>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</si>
  <si>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</si>
  <si>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</si>
  <si>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</si>
  <si>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</si>
  <si>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</si>
  <si>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</si>
  <si>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</si>
  <si>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</si>
  <si>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</si>
  <si>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</si>
  <si>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</si>
  <si>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</si>
  <si>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</si>
  <si>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</si>
  <si>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</si>
  <si>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</si>
  <si>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</si>
  <si>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</si>
  <si>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</si>
  <si>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</si>
  <si>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</si>
  <si>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</si>
  <si>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</si>
  <si>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</si>
  <si>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</si>
  <si>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</si>
  <si>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</si>
  <si>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</si>
  <si>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</si>
  <si>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</si>
  <si>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</si>
  <si>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</si>
  <si>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</si>
  <si>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</si>
  <si>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</si>
  <si>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</si>
  <si>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</si>
  <si>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</si>
  <si>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</si>
  <si>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</si>
  <si>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</si>
  <si>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</si>
  <si>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</si>
  <si>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</si>
  <si>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</si>
  <si>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</si>
  <si>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</si>
  <si>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</si>
  <si>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</si>
  <si>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</si>
  <si>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</si>
  <si>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</si>
  <si>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</si>
  <si>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</si>
  <si>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</si>
  <si>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</si>
  <si>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</si>
  <si>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</si>
  <si>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</si>
  <si>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</si>
  <si>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</si>
  <si>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</si>
  <si>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</si>
  <si>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</si>
  <si>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</si>
  <si>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</si>
  <si>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</si>
  <si>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</si>
  <si>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</si>
  <si>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</si>
  <si>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</si>
  <si>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</si>
  <si>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</si>
  <si>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</si>
  <si>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</si>
  <si>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</si>
  <si>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</si>
  <si>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</si>
  <si>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</si>
  <si>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</si>
  <si>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</si>
  <si>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</si>
  <si>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</si>
  <si>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</si>
  <si>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</si>
  <si>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</si>
  <si>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</si>
  <si>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</si>
  <si>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</si>
  <si>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</si>
  <si>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</si>
  <si>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</si>
  <si>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</si>
  <si>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</si>
  <si>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</si>
  <si>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08 4 01 78390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</si>
  <si>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</si>
  <si>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</si>
  <si>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</si>
  <si>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</si>
  <si>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</si>
  <si>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</si>
  <si>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</si>
  <si>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</si>
  <si>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</si>
  <si>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</si>
  <si>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</si>
  <si>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</si>
  <si>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</si>
  <si>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</si>
  <si>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</si>
  <si>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</si>
  <si>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</si>
  <si>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</si>
  <si>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</si>
  <si>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</si>
  <si>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</si>
  <si>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</si>
  <si>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</si>
  <si>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</si>
  <si>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</si>
  <si>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</si>
  <si>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</si>
  <si>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</si>
  <si>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</si>
  <si>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</si>
  <si>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</si>
  <si>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</si>
  <si>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</si>
  <si>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</si>
  <si>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</si>
  <si>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</si>
  <si>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</si>
  <si>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</si>
  <si>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</si>
  <si>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</si>
  <si>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</si>
  <si>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</si>
  <si>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</si>
  <si>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</si>
  <si>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</si>
  <si>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</si>
  <si>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</si>
  <si>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</si>
  <si>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</si>
  <si>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</si>
  <si>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</si>
  <si>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</si>
  <si>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</si>
  <si>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</si>
  <si>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</si>
  <si>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</si>
  <si>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</si>
  <si>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</si>
  <si>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</si>
  <si>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</si>
  <si>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</si>
  <si>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</si>
  <si>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</si>
  <si>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</si>
  <si>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</si>
  <si>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</si>
  <si>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</si>
  <si>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</si>
  <si>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</si>
  <si>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</si>
  <si>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</si>
  <si>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</si>
  <si>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</si>
  <si>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</si>
  <si>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</si>
  <si>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</si>
  <si>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</si>
  <si>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</si>
  <si>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</si>
  <si>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</si>
  <si>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</si>
  <si>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</si>
  <si>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</si>
  <si>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</si>
  <si>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</si>
  <si>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</si>
  <si>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</si>
  <si>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</si>
  <si>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</si>
  <si>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</si>
  <si>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</si>
  <si>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</si>
  <si>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</si>
  <si>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</si>
  <si>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</si>
  <si>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</si>
  <si>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</si>
  <si>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</si>
  <si>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</si>
  <si>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</si>
  <si>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</si>
  <si>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</si>
  <si>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</si>
  <si>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</si>
  <si>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</si>
  <si>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</si>
  <si>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</si>
  <si>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</si>
  <si>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</si>
  <si>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</si>
  <si>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</si>
  <si>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</si>
  <si>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</si>
  <si>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</si>
  <si>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</si>
  <si>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</si>
  <si>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</si>
  <si>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</si>
  <si>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</si>
  <si>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</si>
  <si>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</si>
  <si>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</si>
  <si>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</si>
  <si>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</si>
  <si>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</si>
  <si>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</si>
  <si>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</si>
  <si>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</si>
  <si>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</si>
  <si>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</si>
  <si>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</si>
  <si>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</si>
  <si>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</si>
  <si>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</si>
  <si>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</si>
  <si>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</si>
  <si>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</si>
  <si>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</si>
  <si>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</si>
  <si>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</si>
  <si>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</si>
  <si>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</si>
  <si>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</si>
  <si>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</si>
  <si>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</si>
  <si>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</si>
  <si>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</si>
  <si>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</si>
  <si>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</si>
  <si>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</si>
  <si>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</si>
  <si>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</si>
  <si>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</si>
  <si>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</si>
  <si>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</si>
  <si>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</si>
  <si>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</si>
  <si>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</si>
  <si>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</si>
  <si>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</si>
  <si>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</si>
  <si>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</si>
  <si>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</si>
  <si>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</si>
  <si>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</si>
  <si>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</si>
  <si>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</si>
  <si>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</si>
  <si>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</si>
  <si>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</si>
  <si>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</si>
  <si>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</si>
  <si>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</si>
  <si>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</si>
  <si>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</si>
  <si>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</si>
  <si>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</si>
  <si>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</si>
  <si>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</si>
  <si>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</si>
  <si>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</si>
  <si>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</si>
  <si>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</si>
  <si>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</si>
  <si>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</si>
  <si>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</si>
  <si>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</si>
  <si>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</si>
  <si>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</si>
  <si>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</si>
  <si>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</si>
  <si>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</si>
  <si>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</si>
  <si>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</si>
  <si>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</si>
  <si>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</si>
  <si>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</si>
  <si>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</si>
  <si>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</si>
  <si>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</si>
  <si>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</si>
  <si>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</si>
  <si>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</si>
  <si>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</si>
  <si>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</si>
  <si>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</si>
  <si>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</si>
  <si>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</si>
  <si>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</si>
  <si>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</si>
  <si>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</si>
  <si>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</si>
  <si>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</si>
  <si>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</si>
  <si>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</si>
  <si>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</si>
  <si>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</si>
  <si>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</si>
  <si>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</si>
  <si>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</si>
  <si>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</si>
  <si>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</si>
  <si>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</si>
  <si>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</si>
  <si>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</si>
  <si>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</si>
  <si>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</si>
  <si>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</si>
  <si>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</si>
  <si>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</si>
  <si>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</si>
  <si>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</si>
  <si>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</si>
  <si>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</si>
  <si>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</si>
  <si>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</si>
  <si>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</si>
  <si>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</si>
  <si>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</si>
  <si>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</si>
  <si>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</si>
  <si>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</si>
  <si>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</si>
  <si>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</si>
  <si>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</si>
  <si>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</si>
  <si>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</si>
  <si>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</si>
  <si>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</si>
  <si>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</si>
  <si>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</si>
  <si>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</si>
  <si>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</si>
  <si>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</si>
  <si>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</si>
  <si>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</si>
  <si>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</si>
  <si>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</si>
  <si>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</si>
  <si>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</si>
  <si>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</si>
  <si>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</si>
  <si>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</si>
  <si>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</si>
  <si>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</si>
  <si>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</si>
  <si>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</si>
  <si>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</si>
  <si>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</si>
  <si>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</si>
  <si>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</si>
  <si>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</si>
  <si>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</si>
  <si>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</si>
  <si>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</si>
  <si>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</si>
  <si>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</si>
  <si>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</si>
  <si>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</si>
  <si>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</si>
  <si>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</si>
  <si>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</si>
  <si>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</si>
  <si>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</si>
  <si>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</si>
  <si>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</si>
  <si>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</si>
  <si>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</si>
  <si>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</si>
  <si>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</si>
  <si>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</si>
  <si>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</si>
  <si>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</si>
  <si>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</si>
  <si>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</si>
  <si>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</si>
  <si>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</si>
  <si>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</si>
  <si>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</si>
  <si>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</si>
  <si>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</si>
  <si>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</si>
  <si>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</si>
  <si>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</si>
  <si>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</si>
  <si>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</si>
  <si>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</si>
  <si>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2021 год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</si>
  <si>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</si>
  <si>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</si>
  <si>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</si>
  <si>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</si>
  <si>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</si>
  <si>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</si>
  <si>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</si>
  <si>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</si>
  <si>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</si>
  <si>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</si>
  <si>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</si>
  <si>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</si>
  <si>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</si>
  <si>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</si>
  <si>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</si>
  <si>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</si>
  <si>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</si>
  <si>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</si>
  <si>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</si>
  <si>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</si>
  <si>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</si>
  <si>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</si>
  <si>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</si>
  <si>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</si>
  <si>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</si>
  <si>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</si>
  <si>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</si>
  <si>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</si>
  <si>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</si>
  <si>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</si>
  <si>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</si>
  <si>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</si>
  <si>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</si>
  <si>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</si>
  <si>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</si>
  <si>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</si>
  <si>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</si>
  <si>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</si>
  <si>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</si>
  <si>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</si>
  <si>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</si>
  <si>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</si>
  <si>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</si>
  <si>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</si>
  <si>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</si>
  <si>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</si>
  <si>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</si>
  <si>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</si>
  <si>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</si>
  <si>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</si>
  <si>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</si>
  <si>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</si>
  <si>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</si>
  <si>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</si>
  <si>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</si>
  <si>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</si>
  <si>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</si>
  <si>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</si>
  <si>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</si>
  <si>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</si>
  <si>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</si>
  <si>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</si>
  <si>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</si>
  <si>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</si>
  <si>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</si>
  <si>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</si>
  <si>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</si>
  <si>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</si>
  <si>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</si>
  <si>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</si>
  <si>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</si>
  <si>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</si>
  <si>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</si>
  <si>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</si>
  <si>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</si>
  <si>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</si>
  <si>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</si>
  <si>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</si>
  <si>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</si>
  <si>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</si>
  <si>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</si>
  <si>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</si>
  <si>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</si>
  <si>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</si>
  <si>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</si>
  <si>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</si>
  <si>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улучшение жилищных условий граждан, проживающих на сельских территориях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</si>
  <si>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</si>
  <si>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</si>
  <si>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</si>
  <si>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</si>
  <si>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</si>
  <si>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</si>
  <si>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</si>
  <si>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</si>
  <si>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</si>
  <si>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</si>
  <si>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</si>
  <si>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</si>
  <si>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</si>
  <si>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</si>
  <si>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</si>
  <si>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</si>
  <si>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</si>
  <si>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</si>
  <si>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</si>
  <si>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</si>
  <si>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</si>
  <si>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</si>
  <si>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</si>
  <si>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</si>
  <si>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</si>
  <si>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</si>
  <si>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</si>
  <si>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</si>
  <si>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</si>
  <si>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</si>
  <si>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</si>
  <si>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</si>
  <si>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</si>
  <si>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</si>
  <si>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</si>
  <si>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</si>
  <si>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</si>
  <si>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</si>
  <si>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</si>
  <si>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</si>
  <si>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</si>
  <si>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</si>
  <si>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</si>
  <si>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</si>
  <si>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</si>
  <si>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</si>
  <si>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</si>
  <si>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</si>
  <si>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</si>
  <si>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</si>
  <si>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</si>
  <si>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</si>
  <si>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</si>
  <si>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</si>
  <si>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</si>
  <si>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</si>
  <si>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</si>
  <si>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</si>
  <si>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</si>
  <si>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</si>
  <si>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</si>
  <si>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</si>
  <si>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</si>
  <si>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</si>
  <si>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</si>
  <si>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</si>
  <si>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</si>
  <si>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</si>
  <si>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</si>
  <si>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</si>
  <si>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</si>
  <si>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</si>
  <si>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</si>
  <si>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</si>
  <si>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</si>
  <si>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</si>
  <si>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</si>
  <si>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</si>
  <si>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</si>
  <si>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</si>
  <si>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</si>
  <si>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</si>
  <si>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</si>
  <si>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</si>
  <si>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</si>
  <si>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</si>
  <si>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</si>
  <si>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</si>
  <si>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</si>
  <si>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</si>
  <si>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</si>
  <si>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</si>
  <si>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</si>
  <si>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</si>
  <si>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</si>
  <si>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</si>
  <si>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</si>
  <si>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</si>
  <si>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</si>
  <si>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</si>
  <si>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</si>
  <si>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</si>
  <si>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</si>
  <si>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</si>
  <si>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</si>
  <si>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</si>
  <si>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</si>
  <si>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</si>
  <si>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</si>
  <si>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</si>
  <si>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</si>
  <si>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</si>
  <si>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</si>
  <si>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</si>
  <si>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</si>
  <si>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</si>
  <si>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</si>
  <si>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</si>
  <si>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</si>
  <si>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</si>
  <si>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</si>
  <si>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</si>
  <si>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</si>
  <si>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</si>
  <si>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</si>
  <si>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</si>
  <si>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</si>
  <si>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</si>
  <si>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</si>
  <si>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</si>
  <si>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</si>
  <si>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</si>
  <si>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</si>
  <si>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</si>
  <si>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08 2 00 80130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</si>
  <si>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</si>
  <si>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</si>
  <si>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</si>
  <si>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</si>
  <si>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</si>
  <si>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</si>
  <si>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</si>
  <si>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</si>
  <si>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</si>
  <si>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</si>
  <si>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</si>
  <si>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Распределение бюджетных ассигнований на 2021 год и на плановый период 2022 и 2023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</si>
  <si>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2021 год и на плановый период 2022 и 2023 годов </t>
  </si>
  <si>
    <t>2023 год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</si>
  <si>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2021 год и плановый период 2022 и 2023 годов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</si>
  <si>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</si>
  <si>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</si>
  <si>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</si>
  <si>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</si>
  <si>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</si>
  <si>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</si>
  <si>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</si>
  <si>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</si>
  <si>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</si>
  <si>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</si>
  <si>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</si>
  <si>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</si>
  <si>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</si>
  <si>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</si>
  <si>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</si>
  <si>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</si>
  <si>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</si>
  <si>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</si>
  <si>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</si>
  <si>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</si>
  <si>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</si>
  <si>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</si>
  <si>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</si>
  <si>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</si>
  <si>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</si>
  <si>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</si>
  <si>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</si>
  <si>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55192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</si>
  <si>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</si>
  <si>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</si>
  <si>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</si>
  <si>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</si>
  <si>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</si>
  <si>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</si>
  <si>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</si>
  <si>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</si>
  <si>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</si>
  <si>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</si>
  <si>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</si>
  <si>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</si>
  <si>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</si>
  <si>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</si>
  <si>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</si>
  <si>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</si>
  <si>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</si>
  <si>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</si>
  <si>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</si>
  <si>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</si>
  <si>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</si>
  <si>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</si>
  <si>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</si>
  <si>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</si>
  <si>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</si>
  <si>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</si>
  <si>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</si>
  <si>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</si>
  <si>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Приложение №4</t>
  </si>
  <si>
    <t>к  решению сессии шестого созыва Собрания депутатов №     от                   2021 года</t>
  </si>
  <si>
    <t>Приложение № 6</t>
  </si>
  <si>
    <t xml:space="preserve">Приложение №5 </t>
  </si>
  <si>
    <t>к  решению сессии шестого созыва Собрания депутатов № 314 от 19 февраля 2021 года</t>
  </si>
  <si>
    <t>к  решению сессии шестого созыва Собрания депутатов                                  № 314 от 19 февраля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</si>
  <si>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</si>
  <si>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</si>
  <si>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</si>
  <si>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</si>
  <si>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</si>
  <si>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</si>
  <si>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</si>
  <si>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</si>
  <si>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</si>
  <si>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</si>
  <si>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</si>
  <si>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</si>
  <si>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</si>
  <si>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</si>
  <si>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</si>
  <si>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</si>
  <si>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</si>
  <si>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</si>
  <si>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08 2 00 83190</t>
  </si>
  <si>
    <t>05 0 00 16690</t>
  </si>
  <si>
    <t xml:space="preserve">Мероприятия по проведению кадастровых работ и мониторинга земель сельскохозяйственного назначения 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</si>
  <si>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</si>
  <si>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</si>
  <si>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</si>
  <si>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</si>
  <si>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</si>
  <si>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</si>
  <si>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</si>
  <si>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</si>
  <si>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</si>
  <si>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</si>
  <si>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</si>
  <si>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</si>
  <si>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</si>
  <si>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Субсидии на разработку и проведение государственной экспертизы проектно-сметной документации на капитальный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</si>
  <si>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</si>
  <si>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</si>
  <si>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</si>
  <si>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</si>
  <si>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</si>
  <si>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</si>
  <si>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</si>
  <si>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>12 0 00 88869</t>
  </si>
  <si>
    <t>Приложение № 5</t>
  </si>
  <si>
    <t>Приложение № 7</t>
  </si>
  <si>
    <t>11 0 00 16610</t>
  </si>
  <si>
    <t>мероприятия на обустройство объектов размещения твердых коммунальных отходов</t>
  </si>
  <si>
    <t>08 1 00 80142</t>
  </si>
  <si>
    <t>Мероприятия по созданию и функционированию в ОО центров образования естественно-научной и технологической направленности в рамках нац.проекта "Образование-точка роста"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</si>
  <si>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</si>
  <si>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</si>
  <si>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</si>
  <si>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</si>
  <si>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</si>
  <si>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</si>
  <si>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</si>
  <si>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</si>
  <si>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</si>
  <si>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</si>
  <si>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к  решению сессии шестого созыва Собрания депутатов № 335 от 23 апреля 2021 года</t>
  </si>
  <si>
    <t>к  решению сессии шестого созыва Собрания депутатов                                           № 335 от 23 апреля 2021 года</t>
  </si>
  <si>
    <t>к  решению сессии шестого созыва Собрания депутатов                                  № 335 от 23 апреля 2021 года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</si>
  <si>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</si>
  <si>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</si>
  <si>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</si>
  <si>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</si>
  <si>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</si>
  <si>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</si>
  <si>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</si>
  <si>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</si>
  <si>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</si>
  <si>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</si>
  <si>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</si>
  <si>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</si>
  <si>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</si>
  <si>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</si>
  <si>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</si>
  <si>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</si>
  <si>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</si>
  <si>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</si>
  <si>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</si>
  <si>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</si>
  <si>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</si>
  <si>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Приложение № 4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</si>
  <si>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</si>
  <si>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</si>
  <si>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</si>
  <si>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</si>
  <si>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</si>
  <si>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</si>
  <si>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</si>
  <si>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</si>
  <si>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</si>
  <si>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</si>
  <si>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</si>
  <si>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</si>
  <si>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</si>
  <si>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</si>
  <si>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</si>
  <si>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</si>
  <si>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</si>
  <si>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</si>
  <si>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</si>
  <si>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</si>
  <si>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</si>
  <si>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</si>
  <si>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</si>
  <si>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</si>
  <si>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</si>
  <si>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</si>
  <si>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</si>
  <si>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</si>
  <si>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</si>
  <si>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</si>
  <si>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</si>
  <si>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</si>
  <si>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</si>
  <si>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</si>
  <si>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</si>
  <si>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к  решению сессии шестого созыва Собрания депутатов № 379 от 24 сентября 2021 года</t>
  </si>
  <si>
    <t>к  решению сессии шестого созыва Собрания депутатов № 348 от 25 июня 2021 года</t>
  </si>
  <si>
    <t>к  решению сессии шестого созыва Собрания депутатов                                           № 379 от 24 сентября 2021 года</t>
  </si>
  <si>
    <t>к  решению сессии шестого созыва Собрания депутатов                                           № 348 от 25 июня 2021 года</t>
  </si>
  <si>
    <t>к  решению сессии шестого созыва Собрания депутатов                                           № 314 от 19 февраля  2021 года</t>
  </si>
  <si>
    <t>к  решению сессии шестого созыва Собрания депутатов                                  № 379 от 24 сентября 2021 года</t>
  </si>
  <si>
    <t>к  решению сессии шестого созыва Собрания депутатов                                  № 348 от 25 июня 2021 года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</si>
  <si>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</si>
  <si>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</si>
  <si>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</si>
  <si>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</si>
  <si>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</si>
  <si>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</si>
  <si>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04 0 09 00000</t>
  </si>
  <si>
    <t>Резервный фонд правительства Российской Федерации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</si>
  <si>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</si>
  <si>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</si>
  <si>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Приложение № 3</t>
  </si>
  <si>
    <t>96 3 00 81110</t>
  </si>
  <si>
    <t>Возмещение расходов по исполнительному листу (пени, неустойки)</t>
  </si>
  <si>
    <t>план на 01.11.2021г.</t>
  </si>
  <si>
    <t>к  решению сессии шестого созыва Собрания депутатов № 394  от 22 октября 2021 года</t>
  </si>
  <si>
    <t>к  решению сессии шестого созыва Собрания депутатов                                           №  394  от 22 октября 2021 года</t>
  </si>
  <si>
    <t>к  решению сессии шестого созыва Собрания депутатов                                  №  394 от  22 октября 2021 года</t>
  </si>
  <si>
    <t>Контрольно счетная комиссия Устьянского муниципального района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</si>
  <si>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</si>
  <si>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</si>
  <si>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</si>
  <si>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83 0 00 94050</t>
  </si>
  <si>
    <t>22 0 00 88341</t>
  </si>
  <si>
    <t>Содержание, ремонт, капитальный ремонт систем водоснабжения и водоотведения</t>
  </si>
  <si>
    <t>22 0 00 86642</t>
  </si>
  <si>
    <t>Разработка проектной и рабочей документации по объекту: "Строительство и подключение блочно-модульных станций очистки воды, строительство водопроводных сетей п.Кизема"</t>
  </si>
  <si>
    <t>к  решению сессии шестого созыва Собрания депутатов № 413 от 26 ноября 2021 года</t>
  </si>
  <si>
    <t>к  решению сессии шестого созыва Собрания депутатов                                           № 413 от  26  ноября 2021 года</t>
  </si>
  <si>
    <t>к  решению сессии шестого созыва Собрания депутатов                                  № 413 от 26 ноября 2021 года</t>
  </si>
  <si>
    <t>22 0 00 86643</t>
  </si>
  <si>
    <t>Взыскания задолженности за дополнительные работы выполненные при исполнении мун. контракта на выполнение работ по строительству, реконструкции (модернизации) питьевого водоснабжения</t>
  </si>
  <si>
    <t>08 1 00 80193</t>
  </si>
  <si>
    <t>Питание в интернате за счет средств местного бюджета</t>
  </si>
  <si>
    <t>08 1 00 80151</t>
  </si>
  <si>
    <t>Субсидия на участие в мероприятиях направленных на повышение престижа профессии педагог</t>
  </si>
  <si>
    <t>Мероприятия по подготовке к отопительному периоду ,ремонт объектов коммунальной инфраструктуры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</si>
  <si>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</si>
  <si>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07 0 F3 6748S</t>
  </si>
  <si>
    <t>к  решению сессии шестого созыва Собрания депутатов № 432 от 24 декабря 2021 года</t>
  </si>
  <si>
    <t>к  решению сессии шестого созыва Собрания депутатов                                           №  432  от 24  декабря 2021 года</t>
  </si>
  <si>
    <t>к  решению сессии шестого созыва Собрания депутатов                                  № 432 от 24 декабря 2021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</si>
</sst>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3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8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12" fillId="3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24" fillId="0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29" fillId="4" borderId="1" xfId="0" applyFont="1" applyFill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" fontId="29" fillId="4" borderId="1" xfId="0" applyNumberFormat="1" applyFont="1" applyFill="1" applyBorder="1" applyAlignment="1">
      <alignment horizontal="center" vertical="center"/>
    </xf>
    <xf numFmtId="0" fontId="18" fillId="4" borderId="0" xfId="0" applyFont="1" applyFill="1"/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7" fillId="6" borderId="1" xfId="0" applyNumberFormat="1" applyFont="1" applyFill="1" applyBorder="1" applyAlignment="1">
      <alignment horizontal="center"/>
    </xf>
    <xf numFmtId="0" fontId="12" fillId="6" borderId="1" xfId="0" applyFont="1" applyFill="1" applyBorder="1" applyAlignment="1">
      <alignment horizontal="left"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9" fontId="30" fillId="0" borderId="0" xfId="0" applyNumberFormat="1" applyFont="1" applyFill="1"/>
    <xf numFmtId="4" fontId="30" fillId="3" borderId="0" xfId="0" applyNumberFormat="1" applyFont="1" applyFill="1"/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 textRotation="90" wrapText="1"/>
    </xf>
    <xf numFmtId="4" fontId="19" fillId="7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2" fontId="3" fillId="0" borderId="0" xfId="0" applyNumberFormat="1" applyFont="1" applyFill="1"/>
    <xf numFmtId="2" fontId="0" fillId="0" borderId="0" xfId="0" applyNumberForma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" fontId="10" fillId="2" borderId="0" xfId="0" applyNumberFormat="1" applyFont="1" applyFill="1"/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0" fillId="0" borderId="0" xfId="0" applyNumberFormat="1" applyFill="1" applyAlignment="1">
      <alignment horizontal="center"/>
    </xf>
    <xf numFmtId="4" fontId="1" fillId="9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9"/>
  <sheetViews>
    <sheetView workbookViewId="0">
      <selection activeCell="D7" sqref="D7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0.5" customHeight="1">
      <c r="B1" s="63"/>
      <c r="C1" s="66"/>
      <c r="D1" s="66"/>
      <c r="E1" s="66"/>
      <c r="F1" s="260" t="s">
        <v>831</v>
      </c>
      <c r="G1" s="260"/>
      <c r="H1" s="260"/>
      <c r="I1" s="260"/>
      <c r="J1" s="260"/>
      <c r="K1" s="260"/>
    </row>
    <row r="2" spans="2:11" customFormat="1" ht="38.25" customHeight="1">
      <c r="B2" s="63"/>
      <c r="C2" s="255"/>
      <c r="D2" s="66"/>
      <c r="E2" s="66"/>
      <c r="F2" s="260" t="s">
        <v>912</v>
      </c>
      <c r="G2" s="260"/>
      <c r="H2" s="112"/>
      <c r="I2" s="112"/>
      <c r="J2" s="114"/>
    </row>
    <row r="3" spans="2:11" customFormat="1" ht="10.5" customHeight="1">
      <c r="B3" s="63"/>
      <c r="C3" s="66"/>
      <c r="D3" s="66"/>
      <c r="E3" s="66"/>
      <c r="F3" s="260" t="s">
        <v>791</v>
      </c>
      <c r="G3" s="260"/>
      <c r="H3" s="260"/>
      <c r="I3" s="260"/>
      <c r="J3" s="260"/>
      <c r="K3" s="260"/>
    </row>
    <row r="4" spans="2:11" customFormat="1" ht="38.25" customHeight="1">
      <c r="B4" s="63"/>
      <c r="C4" s="254"/>
      <c r="D4" s="66"/>
      <c r="E4" s="66"/>
      <c r="F4" s="260" t="s">
        <v>900</v>
      </c>
      <c r="G4" s="260"/>
      <c r="H4" s="112"/>
      <c r="I4" s="112"/>
      <c r="J4" s="114"/>
    </row>
    <row r="5" spans="2:11" customFormat="1" ht="10.5" customHeight="1">
      <c r="B5" s="63"/>
      <c r="C5" s="66"/>
      <c r="D5" s="66"/>
      <c r="E5" s="66"/>
      <c r="F5" s="260" t="s">
        <v>884</v>
      </c>
      <c r="G5" s="260"/>
      <c r="H5" s="260"/>
      <c r="I5" s="260"/>
      <c r="J5" s="260"/>
      <c r="K5" s="260"/>
    </row>
    <row r="6" spans="2:11" customFormat="1" ht="38.25" customHeight="1">
      <c r="B6" s="63"/>
      <c r="C6" s="252"/>
      <c r="D6" s="66"/>
      <c r="E6" s="66"/>
      <c r="F6" s="260" t="s">
        <v>888</v>
      </c>
      <c r="G6" s="260"/>
      <c r="H6" s="112"/>
      <c r="I6" s="112"/>
      <c r="J6" s="114"/>
    </row>
    <row r="7" spans="2:11" customFormat="1" ht="12.75" customHeight="1">
      <c r="B7" s="63"/>
      <c r="C7" s="66"/>
      <c r="D7" s="66"/>
      <c r="E7" s="66"/>
      <c r="F7" s="260" t="s">
        <v>791</v>
      </c>
      <c r="G7" s="260"/>
      <c r="H7" s="260"/>
      <c r="I7" s="260"/>
      <c r="J7" s="260"/>
      <c r="K7" s="260"/>
    </row>
    <row r="8" spans="2:11" customFormat="1" ht="38.25" customHeight="1">
      <c r="B8" s="63"/>
      <c r="C8" s="251"/>
      <c r="D8" s="66"/>
      <c r="E8" s="66"/>
      <c r="F8" s="260" t="s">
        <v>867</v>
      </c>
      <c r="G8" s="260"/>
      <c r="H8" s="112"/>
      <c r="I8" s="112"/>
      <c r="J8" s="114"/>
    </row>
    <row r="9" spans="2:11" customFormat="1" ht="12.75" customHeight="1">
      <c r="B9" s="63"/>
      <c r="C9" s="66"/>
      <c r="D9" s="66"/>
      <c r="E9" s="66"/>
      <c r="F9" s="260" t="s">
        <v>831</v>
      </c>
      <c r="G9" s="260"/>
      <c r="H9" s="260"/>
      <c r="I9" s="260"/>
      <c r="J9" s="260"/>
      <c r="K9" s="260"/>
    </row>
    <row r="10" spans="2:11" customFormat="1" ht="38.25" customHeight="1">
      <c r="B10" s="63"/>
      <c r="C10" s="245"/>
      <c r="D10" s="66"/>
      <c r="E10" s="66"/>
      <c r="F10" s="260" t="s">
        <v>868</v>
      </c>
      <c r="G10" s="260"/>
      <c r="H10" s="112"/>
      <c r="I10" s="112"/>
      <c r="J10" s="114"/>
    </row>
    <row r="11" spans="2:11" customFormat="1" ht="12.75" customHeight="1">
      <c r="B11" s="63"/>
      <c r="C11" s="66"/>
      <c r="D11" s="66"/>
      <c r="E11" s="66"/>
      <c r="F11" s="260" t="s">
        <v>791</v>
      </c>
      <c r="G11" s="260"/>
      <c r="H11" s="260"/>
      <c r="I11" s="260"/>
      <c r="J11" s="260"/>
      <c r="K11" s="260"/>
    </row>
    <row r="12" spans="2:11" customFormat="1" ht="38.25" customHeight="1">
      <c r="B12" s="63"/>
      <c r="C12" s="236"/>
      <c r="D12" s="66"/>
      <c r="E12" s="66"/>
      <c r="F12" s="260" t="s">
        <v>807</v>
      </c>
      <c r="G12" s="260"/>
      <c r="H12" s="112"/>
      <c r="I12" s="112"/>
      <c r="J12" s="114"/>
    </row>
    <row r="13" spans="2:11" customFormat="1" ht="12.75" customHeight="1">
      <c r="B13" s="63"/>
      <c r="C13" s="66"/>
      <c r="D13" s="66"/>
      <c r="E13" s="66"/>
      <c r="F13" s="260" t="s">
        <v>742</v>
      </c>
      <c r="G13" s="260"/>
      <c r="H13" s="260"/>
      <c r="I13" s="260"/>
      <c r="J13" s="260"/>
      <c r="K13" s="260"/>
    </row>
    <row r="14" spans="2:11" customFormat="1" ht="38.25" customHeight="1">
      <c r="B14" s="63"/>
      <c r="C14" s="165"/>
      <c r="D14" s="66"/>
      <c r="E14" s="66"/>
      <c r="F14" s="260" t="s">
        <v>746</v>
      </c>
      <c r="G14" s="260"/>
      <c r="H14" s="112"/>
      <c r="I14" s="112"/>
      <c r="J14" s="114"/>
    </row>
    <row r="15" spans="2:11" s="62" customFormat="1" ht="51" customHeight="1">
      <c r="B15" s="261" t="s">
        <v>682</v>
      </c>
      <c r="C15" s="261"/>
      <c r="D15" s="261"/>
      <c r="E15" s="261"/>
      <c r="F15" s="261"/>
      <c r="G15" s="262"/>
      <c r="H15" s="262"/>
    </row>
    <row r="16" spans="2:11" s="62" customFormat="1" ht="16.5" customHeight="1">
      <c r="B16" s="258" t="s">
        <v>12</v>
      </c>
      <c r="C16" s="113"/>
      <c r="D16" s="263" t="s">
        <v>14</v>
      </c>
      <c r="E16" s="263" t="s">
        <v>15</v>
      </c>
      <c r="F16" s="265" t="s">
        <v>382</v>
      </c>
      <c r="G16" s="258"/>
      <c r="H16" s="258"/>
    </row>
    <row r="17" spans="2:10" s="3" customFormat="1" ht="12.75" customHeight="1">
      <c r="B17" s="259"/>
      <c r="C17" s="263" t="s">
        <v>13</v>
      </c>
      <c r="D17" s="259"/>
      <c r="E17" s="259"/>
      <c r="F17" s="264" t="s">
        <v>448</v>
      </c>
      <c r="G17" s="264" t="s">
        <v>449</v>
      </c>
      <c r="H17" s="264" t="s">
        <v>684</v>
      </c>
      <c r="I17" s="63"/>
      <c r="J17" s="63"/>
    </row>
    <row r="18" spans="2:10" s="3" customFormat="1" ht="35.25" customHeight="1">
      <c r="B18" s="259"/>
      <c r="C18" s="263"/>
      <c r="D18" s="259"/>
      <c r="E18" s="259"/>
      <c r="F18" s="264"/>
      <c r="G18" s="264"/>
      <c r="H18" s="264"/>
      <c r="I18" s="63"/>
      <c r="J18" s="63"/>
    </row>
    <row r="19" spans="2:10" s="3" customFormat="1">
      <c r="B19" s="115">
        <v>1</v>
      </c>
      <c r="C19" s="115">
        <v>2</v>
      </c>
      <c r="D19" s="115">
        <v>2</v>
      </c>
      <c r="E19" s="115">
        <v>3</v>
      </c>
      <c r="F19" s="116">
        <v>4</v>
      </c>
      <c r="G19" s="116">
        <v>5</v>
      </c>
      <c r="H19" s="116">
        <v>6</v>
      </c>
      <c r="I19" s="63"/>
      <c r="J19" s="63"/>
    </row>
    <row r="20" spans="2:10" ht="16.5">
      <c r="B20" s="72"/>
      <c r="C20" s="72"/>
      <c r="D20" s="72"/>
      <c r="E20" s="72"/>
      <c r="F20" s="72"/>
      <c r="G20" s="72"/>
      <c r="H20" s="72"/>
    </row>
    <row r="21" spans="2:10" s="3" customFormat="1">
      <c r="B21" s="5" t="s">
        <v>18</v>
      </c>
      <c r="C21" s="45">
        <v>793</v>
      </c>
      <c r="D21" s="7" t="s">
        <v>19</v>
      </c>
      <c r="E21" s="7"/>
      <c r="F21" s="38">
        <f>F22+F23+F24+F26+F28+F29+F25+F27</f>
        <v>95398294.570000008</v>
      </c>
      <c r="G21" s="38">
        <f t="shared" ref="G21:H21" si="0">G22+G23+G24+G26+G28+G29+G25+G27</f>
        <v>86146511.850000009</v>
      </c>
      <c r="H21" s="38">
        <f t="shared" si="0"/>
        <v>91673925.378449991</v>
      </c>
      <c r="I21" s="64">
        <f>'прил 5'!G299+'прил 5'!G758+'прил 5'!G826+'прил 5'!G1190</f>
        <v>94836671.939999998</v>
      </c>
      <c r="J21" s="63"/>
    </row>
    <row r="22" spans="2:10" s="3" customFormat="1" ht="25.5">
      <c r="B22" s="53" t="s">
        <v>327</v>
      </c>
      <c r="C22" s="83">
        <v>793</v>
      </c>
      <c r="D22" s="10" t="s">
        <v>19</v>
      </c>
      <c r="E22" s="10" t="s">
        <v>28</v>
      </c>
      <c r="F22" s="27">
        <f>'прил 5'!G827</f>
        <v>2732750.06</v>
      </c>
      <c r="G22" s="27">
        <f>'прил 5'!H827</f>
        <v>1867841</v>
      </c>
      <c r="H22" s="27">
        <f>'прил 5'!I827</f>
        <v>1868013</v>
      </c>
      <c r="I22" s="63"/>
      <c r="J22" s="63"/>
    </row>
    <row r="23" spans="2:10" s="3" customFormat="1" ht="38.25">
      <c r="B23" s="51" t="s">
        <v>372</v>
      </c>
      <c r="C23" s="83">
        <v>794</v>
      </c>
      <c r="D23" s="52" t="s">
        <v>19</v>
      </c>
      <c r="E23" s="52" t="s">
        <v>71</v>
      </c>
      <c r="F23" s="27">
        <f>'прил 5'!G1191</f>
        <v>3186768</v>
      </c>
      <c r="G23" s="27">
        <f>'прил 5'!H1191</f>
        <v>3229735.95</v>
      </c>
      <c r="H23" s="27">
        <f>'прил 5'!I1191</f>
        <v>3249822.7984499997</v>
      </c>
      <c r="I23" s="63"/>
      <c r="J23" s="63"/>
    </row>
    <row r="24" spans="2:10" s="3" customFormat="1" ht="38.25">
      <c r="B24" s="53" t="s">
        <v>77</v>
      </c>
      <c r="C24" s="83">
        <v>793</v>
      </c>
      <c r="D24" s="10" t="s">
        <v>19</v>
      </c>
      <c r="E24" s="10" t="s">
        <v>55</v>
      </c>
      <c r="F24" s="27">
        <f>'прил 5'!G300+'прил 5'!G759+'прил 5'!G833</f>
        <v>42536613.120000005</v>
      </c>
      <c r="G24" s="27">
        <f>'прил 5'!H300+'прил 5'!H759+'прил 5'!H833</f>
        <v>42632436.660000004</v>
      </c>
      <c r="H24" s="27">
        <f>'прил 5'!I300+'прил 5'!I759+'прил 5'!I833</f>
        <v>42869805.739999995</v>
      </c>
      <c r="I24" s="63"/>
      <c r="J24" s="63"/>
    </row>
    <row r="25" spans="2:10" s="3" customFormat="1">
      <c r="B25" s="16" t="s">
        <v>286</v>
      </c>
      <c r="C25" s="83"/>
      <c r="D25" s="10" t="s">
        <v>19</v>
      </c>
      <c r="E25" s="10" t="s">
        <v>180</v>
      </c>
      <c r="F25" s="25">
        <f>'прил 5'!G867</f>
        <v>9704.2199999999993</v>
      </c>
      <c r="G25" s="25">
        <f>'прил 5'!H867</f>
        <v>108967.95</v>
      </c>
      <c r="H25" s="25">
        <f>'прил 5'!I867</f>
        <v>4005.55</v>
      </c>
      <c r="I25" s="63"/>
      <c r="J25" s="63"/>
    </row>
    <row r="26" spans="2:10" s="3" customFormat="1" ht="25.5">
      <c r="B26" s="53" t="s">
        <v>167</v>
      </c>
      <c r="C26" s="45">
        <v>792</v>
      </c>
      <c r="D26" s="10" t="s">
        <v>19</v>
      </c>
      <c r="E26" s="10" t="s">
        <v>168</v>
      </c>
      <c r="F26" s="25">
        <f>'прил 5'!G766+'прил 5'!G1207+'прил 5'!G1545</f>
        <v>15219002.200000001</v>
      </c>
      <c r="G26" s="25">
        <f>'прил 5'!H766+'прил 5'!H1207+'прил 5'!H1545</f>
        <v>15369511</v>
      </c>
      <c r="H26" s="25">
        <f>'прил 5'!I766+'прил 5'!I1207+'прил 5'!I1545</f>
        <v>15391615</v>
      </c>
      <c r="I26" s="63"/>
      <c r="J26" s="63"/>
    </row>
    <row r="27" spans="2:10" s="3" customFormat="1">
      <c r="B27" s="53" t="s">
        <v>850</v>
      </c>
      <c r="C27" s="45"/>
      <c r="D27" s="10" t="s">
        <v>19</v>
      </c>
      <c r="E27" s="10" t="s">
        <v>26</v>
      </c>
      <c r="F27" s="25">
        <f>'прил 5'!G872</f>
        <v>423976.33</v>
      </c>
      <c r="G27" s="25">
        <f>'прил 5'!H872</f>
        <v>0</v>
      </c>
      <c r="H27" s="25">
        <f>'прил 5'!I872</f>
        <v>0</v>
      </c>
      <c r="I27" s="63"/>
      <c r="J27" s="63"/>
    </row>
    <row r="28" spans="2:10" s="3" customFormat="1">
      <c r="B28" s="51" t="s">
        <v>342</v>
      </c>
      <c r="C28" s="83">
        <v>793</v>
      </c>
      <c r="D28" s="52" t="s">
        <v>19</v>
      </c>
      <c r="E28" s="52" t="s">
        <v>73</v>
      </c>
      <c r="F28" s="27">
        <f>'прил 5'!G877</f>
        <v>508647.8</v>
      </c>
      <c r="G28" s="27">
        <f>'прил 5'!H877</f>
        <v>1000000</v>
      </c>
      <c r="H28" s="27">
        <f>'прил 5'!I877</f>
        <v>1000000</v>
      </c>
      <c r="I28" s="63"/>
      <c r="J28" s="63"/>
    </row>
    <row r="29" spans="2:10" s="3" customFormat="1">
      <c r="B29" s="9" t="s">
        <v>22</v>
      </c>
      <c r="C29" s="83">
        <v>793</v>
      </c>
      <c r="D29" s="10" t="s">
        <v>19</v>
      </c>
      <c r="E29" s="10" t="s">
        <v>23</v>
      </c>
      <c r="F29" s="27">
        <f>'прил 5'!G882+'прил 5'!G309+'прил 5'!G776+'прил 5'!G354+'прил 5'!G1226</f>
        <v>30780832.84</v>
      </c>
      <c r="G29" s="27">
        <f>'прил 5'!H882+'прил 5'!H309+'прил 5'!H776</f>
        <v>21938019.289999999</v>
      </c>
      <c r="H29" s="27">
        <f>'прил 5'!I882+'прил 5'!I309+'прил 5'!I776</f>
        <v>27290663.289999999</v>
      </c>
      <c r="I29" s="63"/>
      <c r="J29" s="63"/>
    </row>
    <row r="30" spans="2:10" s="3" customFormat="1">
      <c r="B30" s="47" t="s">
        <v>172</v>
      </c>
      <c r="C30" s="45">
        <v>792</v>
      </c>
      <c r="D30" s="20" t="s">
        <v>28</v>
      </c>
      <c r="E30" s="20"/>
      <c r="F30" s="12">
        <f>F31</f>
        <v>3343489.7</v>
      </c>
      <c r="G30" s="12">
        <f t="shared" ref="G30:H30" si="1">G31</f>
        <v>3378621</v>
      </c>
      <c r="H30" s="12">
        <f t="shared" si="1"/>
        <v>3514692</v>
      </c>
      <c r="I30" s="63"/>
      <c r="J30" s="63"/>
    </row>
    <row r="31" spans="2:10" s="3" customFormat="1">
      <c r="B31" s="9" t="s">
        <v>173</v>
      </c>
      <c r="C31" s="45">
        <v>792</v>
      </c>
      <c r="D31" s="10" t="s">
        <v>28</v>
      </c>
      <c r="E31" s="10" t="s">
        <v>71</v>
      </c>
      <c r="F31" s="25">
        <f>'прил 5'!G782</f>
        <v>3343489.7</v>
      </c>
      <c r="G31" s="25">
        <f>'прил 5'!H782</f>
        <v>3378621</v>
      </c>
      <c r="H31" s="25">
        <f>'прил 5'!I782</f>
        <v>3514692</v>
      </c>
      <c r="I31" s="63"/>
      <c r="J31" s="63"/>
    </row>
    <row r="32" spans="2:10" s="3" customFormat="1" ht="25.5">
      <c r="B32" s="11" t="s">
        <v>175</v>
      </c>
      <c r="C32" s="6">
        <v>793</v>
      </c>
      <c r="D32" s="7" t="s">
        <v>71</v>
      </c>
      <c r="E32" s="7"/>
      <c r="F32" s="38">
        <f>F33+F35+F34</f>
        <v>5233428.3600000003</v>
      </c>
      <c r="G32" s="38">
        <f t="shared" ref="G32:H32" si="2">G33+G35+G34</f>
        <v>760000</v>
      </c>
      <c r="H32" s="38">
        <f t="shared" si="2"/>
        <v>210000</v>
      </c>
      <c r="I32" s="64">
        <f>'прил 5'!G360+'прил 5'!G950</f>
        <v>5233428.3600000003</v>
      </c>
      <c r="J32" s="63"/>
    </row>
    <row r="33" spans="2:11" s="3" customFormat="1">
      <c r="B33" s="48" t="s">
        <v>835</v>
      </c>
      <c r="C33" s="45">
        <v>793</v>
      </c>
      <c r="D33" s="52" t="s">
        <v>71</v>
      </c>
      <c r="E33" s="52" t="s">
        <v>127</v>
      </c>
      <c r="F33" s="27">
        <f>'прил 5'!G951</f>
        <v>133850</v>
      </c>
      <c r="G33" s="27">
        <f>'прил 5'!H951</f>
        <v>67500</v>
      </c>
      <c r="H33" s="27">
        <f>'прил 5'!I951</f>
        <v>0</v>
      </c>
      <c r="I33" s="63"/>
      <c r="J33" s="63"/>
    </row>
    <row r="34" spans="2:11" s="3" customFormat="1" ht="45.75" customHeight="1">
      <c r="B34" s="48" t="s">
        <v>836</v>
      </c>
      <c r="C34" s="45"/>
      <c r="D34" s="52" t="s">
        <v>71</v>
      </c>
      <c r="E34" s="52" t="s">
        <v>70</v>
      </c>
      <c r="F34" s="27">
        <f>'прил 5'!G980</f>
        <v>4835478.3600000003</v>
      </c>
      <c r="G34" s="27">
        <f>'прил 5'!H980</f>
        <v>222500</v>
      </c>
      <c r="H34" s="27">
        <f>'прил 5'!I980</f>
        <v>30000</v>
      </c>
      <c r="I34" s="63"/>
      <c r="J34" s="63"/>
    </row>
    <row r="35" spans="2:11" s="3" customFormat="1" ht="25.5">
      <c r="B35" s="16" t="s">
        <v>346</v>
      </c>
      <c r="C35" s="45"/>
      <c r="D35" s="41" t="s">
        <v>71</v>
      </c>
      <c r="E35" s="41" t="s">
        <v>319</v>
      </c>
      <c r="F35" s="27">
        <f>'прил 5'!G1011+'прил 5'!G361</f>
        <v>264100</v>
      </c>
      <c r="G35" s="27">
        <f>'прил 5'!H1011+'прил 5'!H365+'прил 5'!H367</f>
        <v>470000</v>
      </c>
      <c r="H35" s="27">
        <f>'прил 5'!I1011+'прил 5'!I365+'прил 5'!I367</f>
        <v>180000</v>
      </c>
      <c r="I35" s="63"/>
      <c r="J35" s="63"/>
    </row>
    <row r="36" spans="2:11" s="3" customFormat="1">
      <c r="B36" s="11" t="s">
        <v>88</v>
      </c>
      <c r="C36" s="6">
        <v>793</v>
      </c>
      <c r="D36" s="7" t="s">
        <v>55</v>
      </c>
      <c r="E36" s="7"/>
      <c r="F36" s="38">
        <f>F38+F39+F40+F37</f>
        <v>58546721.980000004</v>
      </c>
      <c r="G36" s="38">
        <f t="shared" ref="G36:H36" si="3">G38+G39+G40+G37</f>
        <v>272084637</v>
      </c>
      <c r="H36" s="38">
        <f t="shared" si="3"/>
        <v>51858268</v>
      </c>
      <c r="I36" s="64">
        <f>'прил 5'!G23+'прил 5'!G316+'прил 5'!G1026+'прил 5'!G1227</f>
        <v>58546721.980000004</v>
      </c>
      <c r="J36" s="63"/>
    </row>
    <row r="37" spans="2:11" s="46" customFormat="1">
      <c r="B37" s="243" t="s">
        <v>828</v>
      </c>
      <c r="C37" s="49"/>
      <c r="D37" s="70" t="s">
        <v>55</v>
      </c>
      <c r="E37" s="70" t="s">
        <v>180</v>
      </c>
      <c r="F37" s="29">
        <f>'прил 5'!G1027+'прил 5'!G317</f>
        <v>660000</v>
      </c>
      <c r="G37" s="29">
        <f>'прил 5'!H1027</f>
        <v>0</v>
      </c>
      <c r="H37" s="29">
        <f>'прил 5'!I1027</f>
        <v>0</v>
      </c>
      <c r="I37" s="244"/>
      <c r="J37" s="58"/>
    </row>
    <row r="38" spans="2:11" s="3" customFormat="1">
      <c r="B38" s="53" t="s">
        <v>353</v>
      </c>
      <c r="C38" s="83"/>
      <c r="D38" s="41" t="s">
        <v>55</v>
      </c>
      <c r="E38" s="41" t="s">
        <v>45</v>
      </c>
      <c r="F38" s="25">
        <f>'прил 5'!G1032</f>
        <v>2272430.84</v>
      </c>
      <c r="G38" s="25">
        <f>'прил 5'!H1032</f>
        <v>1954453</v>
      </c>
      <c r="H38" s="25">
        <f>'прил 5'!I1032</f>
        <v>1954453</v>
      </c>
      <c r="I38" s="63"/>
      <c r="J38" s="63"/>
      <c r="K38" s="152"/>
    </row>
    <row r="39" spans="2:11" s="3" customFormat="1">
      <c r="B39" s="103" t="s">
        <v>179</v>
      </c>
      <c r="C39" s="45">
        <v>792</v>
      </c>
      <c r="D39" s="52" t="s">
        <v>55</v>
      </c>
      <c r="E39" s="52" t="s">
        <v>127</v>
      </c>
      <c r="F39" s="25">
        <f>'прил 5'!G1228+'прил 5'!G1044+'прил 5'!G368</f>
        <v>41175714.980000004</v>
      </c>
      <c r="G39" s="25">
        <f>'прил 5'!H1228+'прил 5'!H1044</f>
        <v>256098725</v>
      </c>
      <c r="H39" s="25">
        <f>'прил 5'!I1228+'прил 5'!I1044</f>
        <v>35733827</v>
      </c>
      <c r="I39" s="64"/>
      <c r="J39" s="63"/>
      <c r="K39" s="152"/>
    </row>
    <row r="40" spans="2:11" s="3" customFormat="1">
      <c r="B40" s="51" t="s">
        <v>89</v>
      </c>
      <c r="C40" s="83">
        <v>793</v>
      </c>
      <c r="D40" s="52" t="s">
        <v>55</v>
      </c>
      <c r="E40" s="52" t="s">
        <v>90</v>
      </c>
      <c r="F40" s="27">
        <f>'прил 5'!G1313+'прил 5'!G1077+'прил 5'!G322+'прил 5'!G24</f>
        <v>14438576.16</v>
      </c>
      <c r="G40" s="27">
        <f>'прил 5'!H1313+'прил 5'!H1077+'прил 5'!H322+'прил 5'!H24</f>
        <v>14031459</v>
      </c>
      <c r="H40" s="27">
        <f>'прил 5'!I1313+'прил 5'!I1077+'прил 5'!I322+'прил 5'!I24</f>
        <v>14169988</v>
      </c>
      <c r="I40" s="63"/>
      <c r="J40" s="63"/>
    </row>
    <row r="41" spans="2:11" s="3" customFormat="1">
      <c r="B41" s="54" t="s">
        <v>357</v>
      </c>
      <c r="C41" s="45">
        <v>792</v>
      </c>
      <c r="D41" s="7" t="s">
        <v>180</v>
      </c>
      <c r="E41" s="7"/>
      <c r="F41" s="38">
        <f>F43+F42+F44+F45</f>
        <v>37293122.660000004</v>
      </c>
      <c r="G41" s="38">
        <f t="shared" ref="G41:H41" si="4">G43+G42+G44+G45</f>
        <v>10617715</v>
      </c>
      <c r="H41" s="38">
        <f t="shared" si="4"/>
        <v>472016141.54000002</v>
      </c>
      <c r="I41" s="64">
        <f>'прил 5'!G1099+'прил 5'!G1322</f>
        <v>36956301.160000004</v>
      </c>
      <c r="J41" s="63"/>
      <c r="K41" s="152"/>
    </row>
    <row r="42" spans="2:11" s="46" customFormat="1">
      <c r="B42" s="71" t="s">
        <v>181</v>
      </c>
      <c r="C42" s="49"/>
      <c r="D42" s="70" t="s">
        <v>180</v>
      </c>
      <c r="E42" s="70" t="s">
        <v>19</v>
      </c>
      <c r="F42" s="29">
        <f>'прил 5'!G1323</f>
        <v>5806510.8100000005</v>
      </c>
      <c r="G42" s="29">
        <f>'прил 5'!H1323</f>
        <v>3668270.21</v>
      </c>
      <c r="H42" s="29">
        <f>'прил 5'!I1323</f>
        <v>467898426.54000002</v>
      </c>
      <c r="I42" s="58"/>
      <c r="J42" s="58"/>
    </row>
    <row r="43" spans="2:11" s="1" customFormat="1">
      <c r="B43" s="55" t="s">
        <v>182</v>
      </c>
      <c r="C43" s="45"/>
      <c r="D43" s="10" t="s">
        <v>180</v>
      </c>
      <c r="E43" s="10" t="s">
        <v>28</v>
      </c>
      <c r="F43" s="25">
        <f>'прил 5'!G1355+'прил 5'!G788+'прил 5'!G1114</f>
        <v>19043185.920000002</v>
      </c>
      <c r="G43" s="25">
        <f>'прил 5'!H1355+'прил 5'!H788+'прил 5'!H1114</f>
        <v>3712715</v>
      </c>
      <c r="H43" s="25">
        <f>'прил 5'!I1355+'прил 5'!I788+'прил 5'!I1114</f>
        <v>2562715</v>
      </c>
      <c r="I43" s="73"/>
      <c r="J43" s="73"/>
    </row>
    <row r="44" spans="2:11" s="3" customFormat="1">
      <c r="B44" s="55" t="s">
        <v>189</v>
      </c>
      <c r="C44" s="45"/>
      <c r="D44" s="10" t="s">
        <v>180</v>
      </c>
      <c r="E44" s="10" t="s">
        <v>71</v>
      </c>
      <c r="F44" s="25">
        <f>'прил 5'!G1100+'прил 5'!G1435+'прил 5'!G1119</f>
        <v>1072500</v>
      </c>
      <c r="G44" s="25">
        <f>'прил 5'!H1100+'прил 5'!H1435</f>
        <v>1555000</v>
      </c>
      <c r="H44" s="25">
        <f>'прил 5'!I1100+'прил 5'!I1435</f>
        <v>1555000</v>
      </c>
      <c r="I44" s="63"/>
      <c r="J44" s="63"/>
    </row>
    <row r="45" spans="2:11" s="3" customFormat="1">
      <c r="B45" s="55" t="s">
        <v>608</v>
      </c>
      <c r="C45" s="45"/>
      <c r="D45" s="10" t="s">
        <v>180</v>
      </c>
      <c r="E45" s="10" t="s">
        <v>180</v>
      </c>
      <c r="F45" s="25">
        <f>'прил 5'!G1458</f>
        <v>11370925.930000002</v>
      </c>
      <c r="G45" s="25">
        <f>'прил 5'!H1458</f>
        <v>1681729.79</v>
      </c>
      <c r="H45" s="25">
        <f>'прил 5'!I1458</f>
        <v>0</v>
      </c>
      <c r="I45" s="63"/>
      <c r="J45" s="63"/>
    </row>
    <row r="46" spans="2:11" s="3" customFormat="1">
      <c r="B46" s="54" t="s">
        <v>2</v>
      </c>
      <c r="C46" s="45">
        <v>792</v>
      </c>
      <c r="D46" s="7" t="s">
        <v>168</v>
      </c>
      <c r="E46" s="7"/>
      <c r="F46" s="38">
        <f>F47</f>
        <v>2875150</v>
      </c>
      <c r="G46" s="38">
        <f t="shared" ref="G46:H46" si="5">G47</f>
        <v>1030000</v>
      </c>
      <c r="H46" s="38">
        <f t="shared" si="5"/>
        <v>1030000</v>
      </c>
      <c r="I46" s="64">
        <f>'прил 5'!G1493</f>
        <v>2875150</v>
      </c>
      <c r="J46" s="63"/>
    </row>
    <row r="47" spans="2:11" s="3" customFormat="1" ht="21" customHeight="1">
      <c r="B47" s="16" t="s">
        <v>363</v>
      </c>
      <c r="C47" s="45"/>
      <c r="D47" s="10" t="s">
        <v>168</v>
      </c>
      <c r="E47" s="10" t="s">
        <v>180</v>
      </c>
      <c r="F47" s="25">
        <f>'прил 5'!G1494</f>
        <v>2875150</v>
      </c>
      <c r="G47" s="25">
        <f>'прил 5'!H1494</f>
        <v>1030000</v>
      </c>
      <c r="H47" s="25">
        <f>'прил 5'!I1494</f>
        <v>1030000</v>
      </c>
      <c r="I47" s="63"/>
      <c r="J47" s="63"/>
    </row>
    <row r="48" spans="2:11" s="3" customFormat="1">
      <c r="B48" s="11" t="s">
        <v>25</v>
      </c>
      <c r="C48" s="6">
        <v>774</v>
      </c>
      <c r="D48" s="7" t="s">
        <v>26</v>
      </c>
      <c r="E48" s="7"/>
      <c r="F48" s="38">
        <f>F49+F50+F52+F53+F51</f>
        <v>1069956075.4400001</v>
      </c>
      <c r="G48" s="38">
        <f t="shared" ref="G48:H48" si="6">G49+G50+G52+G53+G51</f>
        <v>987112020.05000019</v>
      </c>
      <c r="H48" s="38">
        <f t="shared" si="6"/>
        <v>992171299.33000004</v>
      </c>
      <c r="I48" s="64">
        <f>'прил 5'!G34+'прил 5'!G373</f>
        <v>1069956075.4400001</v>
      </c>
      <c r="J48" s="63"/>
    </row>
    <row r="49" spans="2:10" s="3" customFormat="1">
      <c r="B49" s="53" t="s">
        <v>92</v>
      </c>
      <c r="C49" s="83">
        <v>774</v>
      </c>
      <c r="D49" s="10" t="s">
        <v>26</v>
      </c>
      <c r="E49" s="10" t="s">
        <v>19</v>
      </c>
      <c r="F49" s="27">
        <f>'прил 5'!G374</f>
        <v>330660181.61000001</v>
      </c>
      <c r="G49" s="27">
        <f>'прил 5'!H374</f>
        <v>295841249.81999999</v>
      </c>
      <c r="H49" s="27">
        <f>'прил 5'!I374</f>
        <v>299431892.62</v>
      </c>
      <c r="I49" s="63"/>
      <c r="J49" s="63"/>
    </row>
    <row r="50" spans="2:10" s="3" customFormat="1">
      <c r="B50" s="55" t="s">
        <v>27</v>
      </c>
      <c r="C50" s="83">
        <v>774</v>
      </c>
      <c r="D50" s="10" t="s">
        <v>26</v>
      </c>
      <c r="E50" s="10" t="s">
        <v>28</v>
      </c>
      <c r="F50" s="27">
        <f>'прил 5'!G439</f>
        <v>586084338.59000015</v>
      </c>
      <c r="G50" s="27">
        <f>'прил 5'!H439+'прил 5'!H1530</f>
        <v>537418819.56000006</v>
      </c>
      <c r="H50" s="27">
        <f>'прил 5'!I439+'прил 5'!I1530</f>
        <v>550450010.23000002</v>
      </c>
      <c r="I50" s="63"/>
      <c r="J50" s="63"/>
    </row>
    <row r="51" spans="2:10" s="3" customFormat="1">
      <c r="B51" s="53" t="s">
        <v>98</v>
      </c>
      <c r="C51" s="83"/>
      <c r="D51" s="10" t="s">
        <v>26</v>
      </c>
      <c r="E51" s="10" t="s">
        <v>71</v>
      </c>
      <c r="F51" s="25">
        <f>'прил 5'!G35+'прил 5'!G601</f>
        <v>133089709.56999999</v>
      </c>
      <c r="G51" s="25">
        <f>'прил 5'!H35+'прил 5'!H601</f>
        <v>134262409.32999998</v>
      </c>
      <c r="H51" s="25">
        <f>'прил 5'!I35+'прил 5'!I601</f>
        <v>122550581.14999998</v>
      </c>
      <c r="I51" s="63"/>
      <c r="J51" s="63"/>
    </row>
    <row r="52" spans="2:10" s="3" customFormat="1">
      <c r="B52" s="53" t="s">
        <v>291</v>
      </c>
      <c r="C52" s="83">
        <v>774</v>
      </c>
      <c r="D52" s="10" t="s">
        <v>26</v>
      </c>
      <c r="E52" s="10" t="s">
        <v>26</v>
      </c>
      <c r="F52" s="27">
        <f>'прил 5'!G668+'прил 5'!G103</f>
        <v>6422520.6399999997</v>
      </c>
      <c r="G52" s="27">
        <f>'прил 5'!H668+'прил 5'!H103</f>
        <v>5762600.71</v>
      </c>
      <c r="H52" s="27">
        <f>'прил 5'!I668+'прил 5'!I103</f>
        <v>5766600.7000000002</v>
      </c>
      <c r="I52" s="63"/>
      <c r="J52" s="63"/>
    </row>
    <row r="53" spans="2:10" s="3" customFormat="1">
      <c r="B53" s="53" t="s">
        <v>126</v>
      </c>
      <c r="C53" s="83">
        <v>774</v>
      </c>
      <c r="D53" s="10" t="s">
        <v>26</v>
      </c>
      <c r="E53" s="10" t="s">
        <v>127</v>
      </c>
      <c r="F53" s="27">
        <f>'прил 5'!G714</f>
        <v>13699325.029999999</v>
      </c>
      <c r="G53" s="27">
        <f>'прил 5'!H714</f>
        <v>13826940.630000001</v>
      </c>
      <c r="H53" s="27">
        <f>'прил 5'!I714</f>
        <v>13972214.630000001</v>
      </c>
      <c r="I53" s="63"/>
      <c r="J53" s="63"/>
    </row>
    <row r="54" spans="2:10" s="3" customFormat="1">
      <c r="B54" s="11" t="s">
        <v>44</v>
      </c>
      <c r="C54" s="83">
        <v>757</v>
      </c>
      <c r="D54" s="7" t="s">
        <v>45</v>
      </c>
      <c r="E54" s="7"/>
      <c r="F54" s="38">
        <f>F55+F56</f>
        <v>135046155.99000001</v>
      </c>
      <c r="G54" s="38">
        <f t="shared" ref="G54:H54" si="7">G55+G56</f>
        <v>130211942.90000001</v>
      </c>
      <c r="H54" s="38">
        <f t="shared" si="7"/>
        <v>127374487.95</v>
      </c>
      <c r="I54" s="64">
        <f>'прил 5'!G121</f>
        <v>135046155.99000001</v>
      </c>
      <c r="J54" s="63"/>
    </row>
    <row r="55" spans="2:10" s="3" customFormat="1">
      <c r="B55" s="53" t="s">
        <v>46</v>
      </c>
      <c r="C55" s="83">
        <v>757</v>
      </c>
      <c r="D55" s="10" t="s">
        <v>45</v>
      </c>
      <c r="E55" s="10" t="s">
        <v>19</v>
      </c>
      <c r="F55" s="25">
        <f>'прил 5'!G122</f>
        <v>126995137.47</v>
      </c>
      <c r="G55" s="25">
        <f>'прил 5'!H122</f>
        <v>121857568.90000001</v>
      </c>
      <c r="H55" s="25">
        <f>'прил 5'!I122</f>
        <v>118951929.95</v>
      </c>
      <c r="I55" s="63"/>
      <c r="J55" s="63"/>
    </row>
    <row r="56" spans="2:10" s="3" customFormat="1" ht="13.5" customHeight="1">
      <c r="B56" s="55" t="s">
        <v>54</v>
      </c>
      <c r="C56" s="83">
        <v>757</v>
      </c>
      <c r="D56" s="10" t="s">
        <v>45</v>
      </c>
      <c r="E56" s="10" t="s">
        <v>55</v>
      </c>
      <c r="F56" s="25">
        <f>'прил 5'!G255</f>
        <v>8051018.5199999996</v>
      </c>
      <c r="G56" s="25">
        <f>'прил 5'!H255</f>
        <v>8354374</v>
      </c>
      <c r="H56" s="25">
        <f>'прил 5'!I255</f>
        <v>8422558</v>
      </c>
      <c r="I56" s="63"/>
      <c r="J56" s="63"/>
    </row>
    <row r="57" spans="2:10" s="3" customFormat="1">
      <c r="B57" s="11" t="s">
        <v>151</v>
      </c>
      <c r="C57" s="83">
        <v>757</v>
      </c>
      <c r="D57" s="7" t="s">
        <v>70</v>
      </c>
      <c r="E57" s="7"/>
      <c r="F57" s="38">
        <f>F58+F59+F60</f>
        <v>49612260.609999999</v>
      </c>
      <c r="G57" s="38">
        <f>G58+G59+G60</f>
        <v>49359189.189999998</v>
      </c>
      <c r="H57" s="38">
        <f>H58+H59+H60</f>
        <v>34673522.329999998</v>
      </c>
      <c r="I57" s="64">
        <f>'прил 5'!G264+'прил 5'!G731+'прил 5'!G1128</f>
        <v>49538223.25</v>
      </c>
      <c r="J57" s="63"/>
    </row>
    <row r="58" spans="2:10" s="3" customFormat="1">
      <c r="B58" s="53" t="s">
        <v>152</v>
      </c>
      <c r="C58" s="83">
        <v>774</v>
      </c>
      <c r="D58" s="10" t="s">
        <v>70</v>
      </c>
      <c r="E58" s="10" t="s">
        <v>19</v>
      </c>
      <c r="F58" s="25">
        <f>'прил 5'!G732+'прил 5'!G1129+'прил 5'!G794</f>
        <v>427014.8</v>
      </c>
      <c r="G58" s="25">
        <f>'прил 5'!H732+'прил 5'!H1129</f>
        <v>388000</v>
      </c>
      <c r="H58" s="25">
        <f>'прил 5'!I732+'прил 5'!I1129</f>
        <v>388000</v>
      </c>
      <c r="I58" s="63"/>
      <c r="J58" s="63"/>
    </row>
    <row r="59" spans="2:10" s="3" customFormat="1">
      <c r="B59" s="53" t="s">
        <v>69</v>
      </c>
      <c r="C59" s="83">
        <v>757</v>
      </c>
      <c r="D59" s="10" t="s">
        <v>70</v>
      </c>
      <c r="E59" s="10" t="s">
        <v>71</v>
      </c>
      <c r="F59" s="25">
        <f>'прил 5'!G1134</f>
        <v>5269394.5600000005</v>
      </c>
      <c r="G59" s="25">
        <f>'прил 5'!H1134</f>
        <v>1838677.42</v>
      </c>
      <c r="H59" s="25">
        <f>'прил 5'!I1134</f>
        <v>1898677.42</v>
      </c>
      <c r="I59" s="64"/>
      <c r="J59" s="63"/>
    </row>
    <row r="60" spans="2:10" s="3" customFormat="1">
      <c r="B60" s="55" t="s">
        <v>159</v>
      </c>
      <c r="C60" s="83">
        <v>774</v>
      </c>
      <c r="D60" s="10" t="s">
        <v>70</v>
      </c>
      <c r="E60" s="10" t="s">
        <v>55</v>
      </c>
      <c r="F60" s="8">
        <f>'прил 5'!G737+'прил 5'!G1170+'прил 5'!G265</f>
        <v>43915851.25</v>
      </c>
      <c r="G60" s="8">
        <f>'прил 5'!H737+'прил 5'!H1170+'прил 5'!H265</f>
        <v>47132511.769999996</v>
      </c>
      <c r="H60" s="8">
        <f>'прил 5'!I737+'прил 5'!I1170+'прил 5'!I265</f>
        <v>32386844.909999996</v>
      </c>
      <c r="I60" s="63"/>
      <c r="J60" s="63"/>
    </row>
    <row r="61" spans="2:10" s="3" customFormat="1">
      <c r="B61" s="11" t="s">
        <v>371</v>
      </c>
      <c r="C61" s="6">
        <v>757</v>
      </c>
      <c r="D61" s="7" t="s">
        <v>73</v>
      </c>
      <c r="E61" s="7"/>
      <c r="F61" s="38">
        <f>F63+F62</f>
        <v>380000</v>
      </c>
      <c r="G61" s="38">
        <f t="shared" ref="G61:H61" si="8">G63+G62</f>
        <v>910000</v>
      </c>
      <c r="H61" s="38">
        <f t="shared" si="8"/>
        <v>962000</v>
      </c>
      <c r="I61" s="64">
        <f>'прил 5'!G276</f>
        <v>380000</v>
      </c>
      <c r="J61" s="63"/>
    </row>
    <row r="62" spans="2:10" s="3" customFormat="1">
      <c r="B62" s="163" t="s">
        <v>514</v>
      </c>
      <c r="C62" s="6"/>
      <c r="D62" s="70" t="s">
        <v>73</v>
      </c>
      <c r="E62" s="70" t="s">
        <v>19</v>
      </c>
      <c r="F62" s="29">
        <f>'прил 5'!G277</f>
        <v>0</v>
      </c>
      <c r="G62" s="29">
        <f>'прил 5'!H277</f>
        <v>0</v>
      </c>
      <c r="H62" s="29">
        <f>'прил 5'!I277</f>
        <v>0</v>
      </c>
      <c r="I62" s="64"/>
      <c r="J62" s="63"/>
    </row>
    <row r="63" spans="2:10" s="3" customFormat="1">
      <c r="B63" s="51" t="s">
        <v>72</v>
      </c>
      <c r="C63" s="83">
        <v>757</v>
      </c>
      <c r="D63" s="10" t="s">
        <v>73</v>
      </c>
      <c r="E63" s="10" t="s">
        <v>28</v>
      </c>
      <c r="F63" s="25">
        <f>'прил 5'!G292</f>
        <v>380000</v>
      </c>
      <c r="G63" s="25">
        <f>'прил 5'!H292</f>
        <v>910000</v>
      </c>
      <c r="H63" s="25">
        <f>'прил 5'!I292</f>
        <v>962000</v>
      </c>
      <c r="I63" s="63"/>
      <c r="J63" s="63"/>
    </row>
    <row r="64" spans="2:10" s="3" customFormat="1" ht="25.5">
      <c r="B64" s="54" t="s">
        <v>310</v>
      </c>
      <c r="C64" s="45">
        <v>792</v>
      </c>
      <c r="D64" s="7" t="s">
        <v>23</v>
      </c>
      <c r="E64" s="7"/>
      <c r="F64" s="38">
        <f>F65</f>
        <v>5220000</v>
      </c>
      <c r="G64" s="38">
        <f t="shared" ref="G64:H64" si="9">G65</f>
        <v>5220000</v>
      </c>
      <c r="H64" s="38">
        <f t="shared" si="9"/>
        <v>5220000</v>
      </c>
      <c r="I64" s="64">
        <f>'прил 5'!G799+'прил 5'!G1181</f>
        <v>5220000</v>
      </c>
      <c r="J64" s="63"/>
    </row>
    <row r="65" spans="2:10" s="3" customFormat="1" ht="25.5">
      <c r="B65" s="55" t="s">
        <v>311</v>
      </c>
      <c r="C65" s="45">
        <v>792</v>
      </c>
      <c r="D65" s="10" t="s">
        <v>23</v>
      </c>
      <c r="E65" s="10" t="s">
        <v>19</v>
      </c>
      <c r="F65" s="25">
        <f>'прил 5'!G800+'прил 5'!G1187</f>
        <v>5220000</v>
      </c>
      <c r="G65" s="25">
        <f>'прил 5'!H800+'прил 5'!H1187</f>
        <v>5220000</v>
      </c>
      <c r="H65" s="25">
        <f>'прил 5'!I800+'прил 5'!I1187</f>
        <v>5220000</v>
      </c>
      <c r="I65" s="63"/>
      <c r="J65" s="63"/>
    </row>
    <row r="66" spans="2:10" s="3" customFormat="1" ht="38.25">
      <c r="B66" s="54" t="s">
        <v>318</v>
      </c>
      <c r="C66" s="45">
        <v>792</v>
      </c>
      <c r="D66" s="7" t="s">
        <v>319</v>
      </c>
      <c r="E66" s="7"/>
      <c r="F66" s="38">
        <f>F67+F68</f>
        <v>40009239.200000003</v>
      </c>
      <c r="G66" s="38">
        <f t="shared" ref="G66:H66" si="10">G67+G68</f>
        <v>22187344.440000001</v>
      </c>
      <c r="H66" s="38">
        <f t="shared" si="10"/>
        <v>22181347.960000001</v>
      </c>
      <c r="I66" s="64">
        <f>'прил 5'!G806</f>
        <v>40009239.200000003</v>
      </c>
      <c r="J66" s="63"/>
    </row>
    <row r="67" spans="2:10" s="3" customFormat="1" ht="25.5">
      <c r="B67" s="55" t="s">
        <v>320</v>
      </c>
      <c r="C67" s="45">
        <v>792</v>
      </c>
      <c r="D67" s="10" t="s">
        <v>319</v>
      </c>
      <c r="E67" s="10" t="s">
        <v>19</v>
      </c>
      <c r="F67" s="25">
        <f>'прил 5'!G807</f>
        <v>23409480.199999999</v>
      </c>
      <c r="G67" s="25">
        <f>'прил 5'!H807</f>
        <v>22187344.440000001</v>
      </c>
      <c r="H67" s="25">
        <f>'прил 5'!I807</f>
        <v>22181347.960000001</v>
      </c>
      <c r="I67" s="63"/>
      <c r="J67" s="63"/>
    </row>
    <row r="68" spans="2:10" s="3" customFormat="1">
      <c r="B68" s="55" t="s">
        <v>325</v>
      </c>
      <c r="C68" s="45">
        <v>792</v>
      </c>
      <c r="D68" s="10" t="s">
        <v>319</v>
      </c>
      <c r="E68" s="10" t="s">
        <v>71</v>
      </c>
      <c r="F68" s="25">
        <f>'прил 5'!G816</f>
        <v>16599759</v>
      </c>
      <c r="G68" s="25">
        <f>'прил 5'!H816</f>
        <v>0</v>
      </c>
      <c r="H68" s="25">
        <f>'прил 5'!I816</f>
        <v>0</v>
      </c>
      <c r="I68" s="63"/>
      <c r="J68" s="63"/>
    </row>
    <row r="69" spans="2:10" s="22" customFormat="1" ht="24" customHeight="1">
      <c r="B69" s="189" t="s">
        <v>379</v>
      </c>
      <c r="C69" s="189"/>
      <c r="D69" s="189"/>
      <c r="E69" s="189"/>
      <c r="F69" s="190">
        <f>F21+F36+F54+F57+F66+F30+F64+F48+F41+F46+F61+F32</f>
        <v>1502913938.51</v>
      </c>
      <c r="G69" s="190">
        <f>G21+G36+G54+G57+G66+G30+G64+G48+G41+G46+G61+G32</f>
        <v>1569017981.4300003</v>
      </c>
      <c r="H69" s="190">
        <f>H21+H36+H54+H57+H66+H30+H64+H48+H41+H46+H61+H32</f>
        <v>1802885684.4884501</v>
      </c>
      <c r="I69" s="62"/>
      <c r="J69" s="62"/>
    </row>
    <row r="70" spans="2:10" hidden="1">
      <c r="B70" s="69"/>
      <c r="C70" s="68"/>
      <c r="D70" s="67"/>
      <c r="E70" s="67"/>
      <c r="F70" s="65">
        <v>875721795.65999997</v>
      </c>
      <c r="G70" s="65">
        <v>875721795.65999997</v>
      </c>
      <c r="H70" s="65">
        <v>875721795.65999997</v>
      </c>
    </row>
    <row r="71" spans="2:10" hidden="1">
      <c r="F71" s="65">
        <f>F69-F70</f>
        <v>627192142.85000002</v>
      </c>
      <c r="G71" s="65">
        <f>G69-G70</f>
        <v>693296185.77000034</v>
      </c>
      <c r="H71" s="65">
        <f>H69-H70</f>
        <v>927163888.82845008</v>
      </c>
    </row>
    <row r="73" spans="2:10">
      <c r="F73" s="65">
        <f>F69-'прил 5'!G1561</f>
        <v>0</v>
      </c>
      <c r="G73" s="65">
        <f>G69-'прил 5'!H1561</f>
        <v>0</v>
      </c>
      <c r="H73" s="65">
        <f>H69-'прил 5'!I1561</f>
        <v>0</v>
      </c>
    </row>
    <row r="75" spans="2:10" hidden="1"/>
    <row r="76" spans="2:10" hidden="1">
      <c r="F76" s="65">
        <v>1343198834.8699999</v>
      </c>
    </row>
    <row r="77" spans="2:10" hidden="1"/>
    <row r="78" spans="2:10" hidden="1">
      <c r="F78" s="65">
        <f>F69-F76</f>
        <v>159715103.6400001</v>
      </c>
    </row>
    <row r="79" spans="2:10" hidden="1">
      <c r="G79" s="65">
        <v>1832258408.9200001</v>
      </c>
      <c r="H79" s="65">
        <v>1736626642.73</v>
      </c>
    </row>
    <row r="80" spans="2:10" hidden="1"/>
    <row r="81" spans="7:8" hidden="1">
      <c r="G81" s="65">
        <f>G79-G69</f>
        <v>263240427.48999977</v>
      </c>
      <c r="H81" s="65">
        <f>H79-H69</f>
        <v>-66259041.758450031</v>
      </c>
    </row>
    <row r="82" spans="7:8" hidden="1"/>
    <row r="83" spans="7:8" hidden="1"/>
    <row r="84" spans="7:8" hidden="1">
      <c r="G84" s="65">
        <v>1842258408.9200001</v>
      </c>
      <c r="H84" s="65">
        <v>1746626642.73</v>
      </c>
    </row>
    <row r="85" spans="7:8" hidden="1"/>
    <row r="86" spans="7:8" hidden="1">
      <c r="G86" s="65">
        <f>G69-G84</f>
        <v>-273240427.48999977</v>
      </c>
      <c r="H86" s="65">
        <f>H69-H84</f>
        <v>56259041.758450031</v>
      </c>
    </row>
    <row r="87" spans="7:8" hidden="1"/>
    <row r="88" spans="7:8" hidden="1"/>
    <row r="89" spans="7:8" hidden="1"/>
  </sheetData>
  <mergeCells count="23">
    <mergeCell ref="F1:K1"/>
    <mergeCell ref="F2:G2"/>
    <mergeCell ref="F3:K3"/>
    <mergeCell ref="F4:G4"/>
    <mergeCell ref="F12:G12"/>
    <mergeCell ref="F9:K9"/>
    <mergeCell ref="F10:G10"/>
    <mergeCell ref="F11:K11"/>
    <mergeCell ref="F5:K5"/>
    <mergeCell ref="F6:G6"/>
    <mergeCell ref="F7:K7"/>
    <mergeCell ref="F8:G8"/>
    <mergeCell ref="B16:B18"/>
    <mergeCell ref="F13:K13"/>
    <mergeCell ref="F14:G14"/>
    <mergeCell ref="B15:H15"/>
    <mergeCell ref="C17:C18"/>
    <mergeCell ref="F17:F18"/>
    <mergeCell ref="G17:G18"/>
    <mergeCell ref="H17:H18"/>
    <mergeCell ref="F16:H16"/>
    <mergeCell ref="E16:E18"/>
    <mergeCell ref="D16:D18"/>
  </mergeCells>
  <phoneticPr fontId="0" type="noConversion"/>
  <pageMargins left="0.61" right="0.2" top="0.35433070866141736" bottom="0.35433070866141736" header="0.23622047244094491" footer="0.19685039370078741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580"/>
  <sheetViews>
    <sheetView zoomScale="89" zoomScaleNormal="89" zoomScaleSheetLayoutView="100" workbookViewId="0">
      <selection activeCell="A9" sqref="A9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6.42578125" style="60" customWidth="1"/>
    <col min="7" max="7" width="19.28515625" style="61" customWidth="1"/>
    <col min="8" max="9" width="17.5703125" style="61" customWidth="1"/>
    <col min="10" max="10" width="13.85546875" style="1" hidden="1" customWidth="1"/>
    <col min="11" max="11" width="12.7109375" style="1" hidden="1" customWidth="1"/>
    <col min="12" max="12" width="15" style="1" hidden="1" customWidth="1"/>
    <col min="13" max="13" width="10.140625" style="1" hidden="1" customWidth="1"/>
    <col min="14" max="14" width="9.140625" style="1" hidden="1" customWidth="1"/>
    <col min="15" max="15" width="9.140625" style="1"/>
    <col min="16" max="16" width="14.42578125" style="1" bestFit="1" customWidth="1"/>
    <col min="17" max="16384" width="9.140625" style="1"/>
  </cols>
  <sheetData>
    <row r="1" spans="2:11" ht="18.75" customHeight="1">
      <c r="B1" s="269" t="s">
        <v>791</v>
      </c>
      <c r="C1" s="269"/>
      <c r="D1" s="269"/>
      <c r="E1" s="269"/>
      <c r="F1" s="269"/>
      <c r="G1" s="269"/>
      <c r="H1" s="1"/>
      <c r="I1" s="1"/>
    </row>
    <row r="2" spans="2:11" ht="30.75" customHeight="1">
      <c r="B2" s="260" t="s">
        <v>913</v>
      </c>
      <c r="C2" s="260"/>
      <c r="D2" s="260"/>
      <c r="E2" s="260"/>
      <c r="F2" s="260"/>
      <c r="G2" s="260"/>
      <c r="H2" s="1"/>
      <c r="I2" s="1"/>
    </row>
    <row r="3" spans="2:11" ht="18.75" customHeight="1">
      <c r="B3" s="269" t="s">
        <v>744</v>
      </c>
      <c r="C3" s="269"/>
      <c r="D3" s="269"/>
      <c r="E3" s="269"/>
      <c r="F3" s="269"/>
      <c r="G3" s="269"/>
      <c r="H3" s="1"/>
      <c r="I3" s="1"/>
    </row>
    <row r="4" spans="2:11" ht="30.75" customHeight="1">
      <c r="B4" s="260" t="s">
        <v>901</v>
      </c>
      <c r="C4" s="260"/>
      <c r="D4" s="260"/>
      <c r="E4" s="260"/>
      <c r="F4" s="260"/>
      <c r="G4" s="260"/>
      <c r="H4" s="1"/>
      <c r="I4" s="1"/>
    </row>
    <row r="5" spans="2:11" ht="18.75" customHeight="1">
      <c r="B5" s="269" t="s">
        <v>831</v>
      </c>
      <c r="C5" s="269"/>
      <c r="D5" s="269"/>
      <c r="E5" s="269"/>
      <c r="F5" s="269"/>
      <c r="G5" s="269"/>
      <c r="H5" s="1"/>
      <c r="I5" s="1"/>
    </row>
    <row r="6" spans="2:11" ht="29.25" customHeight="1">
      <c r="B6" s="260" t="s">
        <v>889</v>
      </c>
      <c r="C6" s="260"/>
      <c r="D6" s="260"/>
      <c r="E6" s="260"/>
      <c r="F6" s="260"/>
      <c r="G6" s="260"/>
      <c r="H6" s="1"/>
      <c r="I6" s="1"/>
    </row>
    <row r="7" spans="2:11" ht="18.75" customHeight="1">
      <c r="B7" s="269" t="s">
        <v>744</v>
      </c>
      <c r="C7" s="269"/>
      <c r="D7" s="269"/>
      <c r="E7" s="269"/>
      <c r="F7" s="269"/>
      <c r="G7" s="269"/>
      <c r="H7" s="1"/>
      <c r="I7" s="1"/>
    </row>
    <row r="8" spans="2:11" ht="36" customHeight="1">
      <c r="B8" s="260" t="s">
        <v>869</v>
      </c>
      <c r="C8" s="260"/>
      <c r="D8" s="260"/>
      <c r="E8" s="260"/>
      <c r="F8" s="260"/>
      <c r="G8" s="260"/>
      <c r="H8" s="1"/>
      <c r="I8" s="1"/>
    </row>
    <row r="9" spans="2:11" ht="18.75" customHeight="1">
      <c r="B9" s="269" t="s">
        <v>791</v>
      </c>
      <c r="C9" s="269"/>
      <c r="D9" s="269"/>
      <c r="E9" s="269"/>
      <c r="F9" s="269"/>
      <c r="G9" s="269"/>
      <c r="H9" s="1"/>
      <c r="I9" s="1"/>
    </row>
    <row r="10" spans="2:11" ht="36" customHeight="1">
      <c r="B10" s="260" t="s">
        <v>870</v>
      </c>
      <c r="C10" s="260"/>
      <c r="D10" s="260"/>
      <c r="E10" s="260"/>
      <c r="F10" s="260"/>
      <c r="G10" s="260"/>
      <c r="H10" s="1"/>
      <c r="I10" s="1"/>
    </row>
    <row r="11" spans="2:11" ht="5.25" customHeight="1"/>
    <row r="12" spans="2:11" customFormat="1" ht="0.75" customHeight="1">
      <c r="B12" s="63"/>
      <c r="C12" s="66"/>
      <c r="D12" s="66"/>
      <c r="E12" s="66"/>
      <c r="F12" s="260"/>
      <c r="G12" s="260"/>
      <c r="H12" s="260"/>
      <c r="I12" s="260"/>
      <c r="J12" s="260"/>
      <c r="K12" s="260"/>
    </row>
    <row r="13" spans="2:11" ht="18.75" customHeight="1">
      <c r="B13" s="269" t="s">
        <v>744</v>
      </c>
      <c r="C13" s="269"/>
      <c r="D13" s="269"/>
      <c r="E13" s="269"/>
      <c r="F13" s="269"/>
      <c r="G13" s="269"/>
      <c r="H13" s="1"/>
      <c r="I13" s="1"/>
    </row>
    <row r="14" spans="2:11" ht="36" customHeight="1">
      <c r="B14" s="260" t="s">
        <v>808</v>
      </c>
      <c r="C14" s="260"/>
      <c r="D14" s="260"/>
      <c r="E14" s="260"/>
      <c r="F14" s="260"/>
      <c r="G14" s="260"/>
      <c r="H14" s="1"/>
      <c r="I14" s="1"/>
    </row>
    <row r="15" spans="2:11" ht="18.75" customHeight="1">
      <c r="B15" s="269" t="s">
        <v>745</v>
      </c>
      <c r="C15" s="269"/>
      <c r="D15" s="269"/>
      <c r="E15" s="269"/>
      <c r="F15" s="269"/>
      <c r="G15" s="269"/>
      <c r="H15" s="1"/>
      <c r="I15" s="1"/>
    </row>
    <row r="16" spans="2:11" ht="36" customHeight="1">
      <c r="B16" s="260" t="s">
        <v>871</v>
      </c>
      <c r="C16" s="260"/>
      <c r="D16" s="260"/>
      <c r="E16" s="260"/>
      <c r="F16" s="260"/>
      <c r="G16" s="260"/>
      <c r="H16" s="1"/>
      <c r="I16" s="1"/>
    </row>
    <row r="17" spans="1:9" ht="37.5" customHeight="1">
      <c r="A17" s="261" t="s">
        <v>683</v>
      </c>
      <c r="B17" s="261"/>
      <c r="C17" s="261"/>
      <c r="D17" s="261"/>
      <c r="E17" s="261"/>
      <c r="F17" s="261"/>
      <c r="G17" s="261"/>
      <c r="H17" s="262"/>
      <c r="I17" s="262"/>
    </row>
    <row r="18" spans="1:9" ht="33.75" customHeight="1">
      <c r="A18" s="266" t="s">
        <v>12</v>
      </c>
      <c r="B18" s="268" t="s">
        <v>13</v>
      </c>
      <c r="C18" s="268" t="s">
        <v>14</v>
      </c>
      <c r="D18" s="268" t="s">
        <v>15</v>
      </c>
      <c r="E18" s="268" t="s">
        <v>16</v>
      </c>
      <c r="F18" s="268" t="s">
        <v>17</v>
      </c>
      <c r="G18" s="265" t="s">
        <v>382</v>
      </c>
      <c r="H18" s="258"/>
      <c r="I18" s="258"/>
    </row>
    <row r="19" spans="1:9" s="3" customFormat="1" ht="23.25" customHeight="1">
      <c r="A19" s="267"/>
      <c r="B19" s="267"/>
      <c r="C19" s="267"/>
      <c r="D19" s="267"/>
      <c r="E19" s="267"/>
      <c r="F19" s="267"/>
      <c r="G19" s="264" t="s">
        <v>448</v>
      </c>
      <c r="H19" s="264" t="s">
        <v>449</v>
      </c>
      <c r="I19" s="264" t="s">
        <v>684</v>
      </c>
    </row>
    <row r="20" spans="1:9" s="3" customFormat="1" ht="49.5" customHeight="1">
      <c r="A20" s="267"/>
      <c r="B20" s="267"/>
      <c r="C20" s="267"/>
      <c r="D20" s="267"/>
      <c r="E20" s="267"/>
      <c r="F20" s="267"/>
      <c r="G20" s="264"/>
      <c r="H20" s="264"/>
      <c r="I20" s="264"/>
    </row>
    <row r="21" spans="1:9" s="3" customFormat="1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76">
        <v>7</v>
      </c>
      <c r="H21" s="76">
        <v>8</v>
      </c>
      <c r="I21" s="76">
        <v>9</v>
      </c>
    </row>
    <row r="22" spans="1:9" s="181" customFormat="1" ht="48.75" customHeight="1">
      <c r="A22" s="90" t="s">
        <v>101</v>
      </c>
      <c r="B22" s="91">
        <v>757</v>
      </c>
      <c r="C22" s="91"/>
      <c r="D22" s="91"/>
      <c r="E22" s="92"/>
      <c r="F22" s="91"/>
      <c r="G22" s="93"/>
      <c r="H22" s="93"/>
      <c r="I22" s="93"/>
    </row>
    <row r="23" spans="1:9">
      <c r="A23" s="11" t="s">
        <v>88</v>
      </c>
      <c r="B23" s="6">
        <v>757</v>
      </c>
      <c r="C23" s="7" t="s">
        <v>55</v>
      </c>
      <c r="D23" s="7"/>
      <c r="E23" s="7"/>
      <c r="F23" s="7"/>
      <c r="G23" s="38">
        <f>SUM(G24)</f>
        <v>35920</v>
      </c>
      <c r="H23" s="38">
        <f>SUM(H24)</f>
        <v>211900</v>
      </c>
      <c r="I23" s="38">
        <f>SUM(I24)</f>
        <v>226750</v>
      </c>
    </row>
    <row r="24" spans="1:9">
      <c r="A24" s="16" t="s">
        <v>89</v>
      </c>
      <c r="B24" s="14">
        <v>757</v>
      </c>
      <c r="C24" s="15" t="s">
        <v>55</v>
      </c>
      <c r="D24" s="15" t="s">
        <v>90</v>
      </c>
      <c r="E24" s="15"/>
      <c r="F24" s="15"/>
      <c r="G24" s="74">
        <f>G25</f>
        <v>35920</v>
      </c>
      <c r="H24" s="74">
        <f>H25</f>
        <v>211900</v>
      </c>
      <c r="I24" s="74">
        <f>I25</f>
        <v>226750</v>
      </c>
    </row>
    <row r="25" spans="1:9" s="32" customFormat="1" ht="29.25" customHeight="1">
      <c r="A25" s="30" t="s">
        <v>486</v>
      </c>
      <c r="B25" s="14">
        <v>757</v>
      </c>
      <c r="C25" s="15" t="s">
        <v>55</v>
      </c>
      <c r="D25" s="15" t="s">
        <v>90</v>
      </c>
      <c r="E25" s="15" t="s">
        <v>209</v>
      </c>
      <c r="F25" s="15"/>
      <c r="G25" s="74">
        <f>G26+G31</f>
        <v>35920</v>
      </c>
      <c r="H25" s="74">
        <f>H26+H31</f>
        <v>211900</v>
      </c>
      <c r="I25" s="74">
        <f>I26+I31</f>
        <v>226750</v>
      </c>
    </row>
    <row r="26" spans="1:9" s="32" customFormat="1" ht="27.75" customHeight="1">
      <c r="A26" s="30" t="s">
        <v>143</v>
      </c>
      <c r="B26" s="14">
        <v>757</v>
      </c>
      <c r="C26" s="15" t="s">
        <v>55</v>
      </c>
      <c r="D26" s="15" t="s">
        <v>90</v>
      </c>
      <c r="E26" s="15" t="s">
        <v>210</v>
      </c>
      <c r="F26" s="15"/>
      <c r="G26" s="74">
        <f>G29+G27</f>
        <v>35920</v>
      </c>
      <c r="H26" s="74">
        <f>H29+H27</f>
        <v>211900</v>
      </c>
      <c r="I26" s="74">
        <f>I29+I27</f>
        <v>226750</v>
      </c>
    </row>
    <row r="27" spans="1:9" ht="19.5" customHeight="1">
      <c r="A27" s="16" t="s">
        <v>36</v>
      </c>
      <c r="B27" s="14">
        <v>757</v>
      </c>
      <c r="C27" s="15" t="s">
        <v>55</v>
      </c>
      <c r="D27" s="15" t="s">
        <v>90</v>
      </c>
      <c r="E27" s="15" t="s">
        <v>210</v>
      </c>
      <c r="F27" s="88" t="s">
        <v>37</v>
      </c>
      <c r="G27" s="74">
        <f>G28</f>
        <v>0</v>
      </c>
      <c r="H27" s="74">
        <f t="shared" ref="H27:I27" si="0">H28</f>
        <v>136900</v>
      </c>
      <c r="I27" s="74">
        <f t="shared" si="0"/>
        <v>151750</v>
      </c>
    </row>
    <row r="28" spans="1:9" ht="26.25" customHeight="1">
      <c r="A28" s="16" t="s">
        <v>38</v>
      </c>
      <c r="B28" s="14">
        <v>757</v>
      </c>
      <c r="C28" s="15" t="s">
        <v>55</v>
      </c>
      <c r="D28" s="15" t="s">
        <v>90</v>
      </c>
      <c r="E28" s="15" t="s">
        <v>210</v>
      </c>
      <c r="F28" s="88" t="s">
        <v>39</v>
      </c>
      <c r="G28" s="8">
        <f>75000-75000</f>
        <v>0</v>
      </c>
      <c r="H28" s="8">
        <v>136900</v>
      </c>
      <c r="I28" s="8">
        <v>151750</v>
      </c>
    </row>
    <row r="29" spans="1:9" ht="25.5">
      <c r="A29" s="16" t="s">
        <v>30</v>
      </c>
      <c r="B29" s="14">
        <v>757</v>
      </c>
      <c r="C29" s="15" t="s">
        <v>55</v>
      </c>
      <c r="D29" s="15" t="s">
        <v>90</v>
      </c>
      <c r="E29" s="15" t="s">
        <v>210</v>
      </c>
      <c r="F29" s="15" t="s">
        <v>31</v>
      </c>
      <c r="G29" s="8">
        <f t="shared" ref="G29:I29" si="1">G30</f>
        <v>35920</v>
      </c>
      <c r="H29" s="8">
        <f t="shared" si="1"/>
        <v>75000</v>
      </c>
      <c r="I29" s="8">
        <f t="shared" si="1"/>
        <v>75000</v>
      </c>
    </row>
    <row r="30" spans="1:9" ht="18" customHeight="1">
      <c r="A30" s="16" t="s">
        <v>32</v>
      </c>
      <c r="B30" s="14">
        <v>757</v>
      </c>
      <c r="C30" s="15" t="s">
        <v>55</v>
      </c>
      <c r="D30" s="15" t="s">
        <v>90</v>
      </c>
      <c r="E30" s="15" t="s">
        <v>210</v>
      </c>
      <c r="F30" s="15" t="s">
        <v>33</v>
      </c>
      <c r="G30" s="8">
        <f>75000-39080</f>
        <v>35920</v>
      </c>
      <c r="H30" s="8">
        <v>75000</v>
      </c>
      <c r="I30" s="8">
        <v>75000</v>
      </c>
    </row>
    <row r="31" spans="1:9" ht="15" hidden="1" customHeight="1">
      <c r="A31" s="86" t="s">
        <v>521</v>
      </c>
      <c r="B31" s="14">
        <v>757</v>
      </c>
      <c r="C31" s="15" t="s">
        <v>55</v>
      </c>
      <c r="D31" s="15" t="s">
        <v>90</v>
      </c>
      <c r="E31" s="88" t="s">
        <v>520</v>
      </c>
      <c r="F31" s="88"/>
      <c r="G31" s="102">
        <f>G32</f>
        <v>0</v>
      </c>
      <c r="H31" s="74">
        <f t="shared" ref="H31:I31" si="2">H32</f>
        <v>0</v>
      </c>
      <c r="I31" s="74">
        <f t="shared" si="2"/>
        <v>0</v>
      </c>
    </row>
    <row r="32" spans="1:9" ht="35.25" hidden="1" customHeight="1">
      <c r="A32" s="16" t="s">
        <v>36</v>
      </c>
      <c r="B32" s="14">
        <v>757</v>
      </c>
      <c r="C32" s="15" t="s">
        <v>55</v>
      </c>
      <c r="D32" s="15" t="s">
        <v>90</v>
      </c>
      <c r="E32" s="88" t="s">
        <v>520</v>
      </c>
      <c r="F32" s="88" t="s">
        <v>37</v>
      </c>
      <c r="G32" s="102">
        <f>G33</f>
        <v>0</v>
      </c>
      <c r="H32" s="74">
        <f t="shared" ref="H32:I32" si="3">H33</f>
        <v>0</v>
      </c>
      <c r="I32" s="74">
        <f t="shared" si="3"/>
        <v>0</v>
      </c>
    </row>
    <row r="33" spans="1:16" ht="30" hidden="1" customHeight="1">
      <c r="A33" s="16" t="s">
        <v>38</v>
      </c>
      <c r="B33" s="14">
        <v>757</v>
      </c>
      <c r="C33" s="15" t="s">
        <v>55</v>
      </c>
      <c r="D33" s="15" t="s">
        <v>90</v>
      </c>
      <c r="E33" s="88" t="s">
        <v>520</v>
      </c>
      <c r="F33" s="88" t="s">
        <v>39</v>
      </c>
      <c r="G33" s="102"/>
      <c r="H33" s="74">
        <v>0</v>
      </c>
      <c r="I33" s="74">
        <v>0</v>
      </c>
    </row>
    <row r="34" spans="1:16" ht="16.5" customHeight="1">
      <c r="A34" s="11" t="s">
        <v>25</v>
      </c>
      <c r="B34" s="7">
        <v>757</v>
      </c>
      <c r="C34" s="7" t="s">
        <v>26</v>
      </c>
      <c r="D34" s="7"/>
      <c r="E34" s="7"/>
      <c r="F34" s="7"/>
      <c r="G34" s="12">
        <f>G103+G35</f>
        <v>35058883.789999999</v>
      </c>
      <c r="H34" s="12">
        <f>H103+H35</f>
        <v>41283389.980000004</v>
      </c>
      <c r="I34" s="12">
        <f>I103+I35</f>
        <v>27978737.800000001</v>
      </c>
    </row>
    <row r="35" spans="1:16" ht="18.75" customHeight="1">
      <c r="A35" s="16" t="s">
        <v>98</v>
      </c>
      <c r="B35" s="14">
        <v>757</v>
      </c>
      <c r="C35" s="15" t="s">
        <v>26</v>
      </c>
      <c r="D35" s="15" t="s">
        <v>71</v>
      </c>
      <c r="E35" s="15"/>
      <c r="F35" s="14"/>
      <c r="G35" s="74">
        <f>G36+G86+G61+G82+G91</f>
        <v>34730543.789999999</v>
      </c>
      <c r="H35" s="74">
        <f>H36+H86+H61</f>
        <v>41106439.980000004</v>
      </c>
      <c r="I35" s="74">
        <f>I36+I86+I61</f>
        <v>27799787.800000001</v>
      </c>
    </row>
    <row r="36" spans="1:16" ht="35.25" customHeight="1">
      <c r="A36" s="16" t="s">
        <v>506</v>
      </c>
      <c r="B36" s="14">
        <v>757</v>
      </c>
      <c r="C36" s="15" t="s">
        <v>26</v>
      </c>
      <c r="D36" s="15" t="s">
        <v>71</v>
      </c>
      <c r="E36" s="15" t="s">
        <v>200</v>
      </c>
      <c r="F36" s="15"/>
      <c r="G36" s="74">
        <f>+G37+G58+G55+G43+G49+G46+G52+G76+G79+G40+G65+G68+G71</f>
        <v>31808102.5</v>
      </c>
      <c r="H36" s="74">
        <f t="shared" ref="H36:I36" si="4">+H37+H58+H55+H43+H49+H46+H52+H76+H79+H40+H65+H68</f>
        <v>39126439.980000004</v>
      </c>
      <c r="I36" s="74">
        <f t="shared" si="4"/>
        <v>25739787.789999999</v>
      </c>
      <c r="P36" s="2"/>
    </row>
    <row r="37" spans="1:16" ht="25.5">
      <c r="A37" s="16" t="s">
        <v>29</v>
      </c>
      <c r="B37" s="14">
        <v>757</v>
      </c>
      <c r="C37" s="15" t="s">
        <v>26</v>
      </c>
      <c r="D37" s="15" t="s">
        <v>71</v>
      </c>
      <c r="E37" s="15" t="s">
        <v>201</v>
      </c>
      <c r="F37" s="15"/>
      <c r="G37" s="74">
        <f>G38</f>
        <v>24516076.399999999</v>
      </c>
      <c r="H37" s="74">
        <f t="shared" ref="H37:I37" si="5">H38</f>
        <v>24615233</v>
      </c>
      <c r="I37" s="74">
        <f t="shared" si="5"/>
        <v>25439787.789999999</v>
      </c>
    </row>
    <row r="38" spans="1:16" ht="25.5">
      <c r="A38" s="16" t="s">
        <v>30</v>
      </c>
      <c r="B38" s="14">
        <v>757</v>
      </c>
      <c r="C38" s="15" t="s">
        <v>26</v>
      </c>
      <c r="D38" s="15" t="s">
        <v>71</v>
      </c>
      <c r="E38" s="15" t="s">
        <v>201</v>
      </c>
      <c r="F38" s="15" t="s">
        <v>31</v>
      </c>
      <c r="G38" s="74">
        <f>G39</f>
        <v>24516076.399999999</v>
      </c>
      <c r="H38" s="74">
        <f>H39</f>
        <v>24615233</v>
      </c>
      <c r="I38" s="74">
        <f>I39</f>
        <v>25439787.789999999</v>
      </c>
    </row>
    <row r="39" spans="1:16" ht="19.5" customHeight="1">
      <c r="A39" s="16" t="s">
        <v>32</v>
      </c>
      <c r="B39" s="14">
        <v>757</v>
      </c>
      <c r="C39" s="15" t="s">
        <v>26</v>
      </c>
      <c r="D39" s="15" t="s">
        <v>71</v>
      </c>
      <c r="E39" s="15" t="s">
        <v>201</v>
      </c>
      <c r="F39" s="15" t="s">
        <v>33</v>
      </c>
      <c r="G39" s="74">
        <v>24516076.399999999</v>
      </c>
      <c r="H39" s="74">
        <v>24615233</v>
      </c>
      <c r="I39" s="74">
        <f>H39+35566+868988.8-80000.01</f>
        <v>25439787.789999999</v>
      </c>
    </row>
    <row r="40" spans="1:16" ht="60" customHeight="1">
      <c r="A40" s="16" t="s">
        <v>694</v>
      </c>
      <c r="B40" s="14">
        <v>757</v>
      </c>
      <c r="C40" s="15" t="s">
        <v>26</v>
      </c>
      <c r="D40" s="15" t="s">
        <v>71</v>
      </c>
      <c r="E40" s="15" t="s">
        <v>695</v>
      </c>
      <c r="F40" s="15"/>
      <c r="G40" s="74">
        <f>G41</f>
        <v>0</v>
      </c>
      <c r="H40" s="74">
        <f t="shared" ref="H40:K41" si="6">H41</f>
        <v>0</v>
      </c>
      <c r="I40" s="74">
        <f t="shared" si="6"/>
        <v>300000</v>
      </c>
    </row>
    <row r="41" spans="1:16" ht="47.25" customHeight="1">
      <c r="A41" s="16" t="s">
        <v>30</v>
      </c>
      <c r="B41" s="14">
        <v>757</v>
      </c>
      <c r="C41" s="15" t="s">
        <v>26</v>
      </c>
      <c r="D41" s="15" t="s">
        <v>71</v>
      </c>
      <c r="E41" s="15" t="s">
        <v>695</v>
      </c>
      <c r="F41" s="15" t="s">
        <v>31</v>
      </c>
      <c r="G41" s="74">
        <f>G42</f>
        <v>0</v>
      </c>
      <c r="H41" s="74">
        <f t="shared" si="6"/>
        <v>0</v>
      </c>
      <c r="I41" s="74">
        <f t="shared" si="6"/>
        <v>300000</v>
      </c>
      <c r="J41" s="74">
        <f t="shared" si="6"/>
        <v>0</v>
      </c>
      <c r="K41" s="74">
        <f t="shared" si="6"/>
        <v>0</v>
      </c>
    </row>
    <row r="42" spans="1:16" ht="41.25" customHeight="1">
      <c r="A42" s="16" t="s">
        <v>32</v>
      </c>
      <c r="B42" s="14">
        <v>757</v>
      </c>
      <c r="C42" s="15" t="s">
        <v>26</v>
      </c>
      <c r="D42" s="15" t="s">
        <v>71</v>
      </c>
      <c r="E42" s="15" t="s">
        <v>695</v>
      </c>
      <c r="F42" s="15" t="s">
        <v>33</v>
      </c>
      <c r="G42" s="74">
        <v>0</v>
      </c>
      <c r="H42" s="74">
        <v>0</v>
      </c>
      <c r="I42" s="74">
        <v>300000</v>
      </c>
    </row>
    <row r="43" spans="1:16" ht="36" hidden="1" customHeight="1">
      <c r="A43" s="16" t="s">
        <v>565</v>
      </c>
      <c r="B43" s="14">
        <v>757</v>
      </c>
      <c r="C43" s="15" t="s">
        <v>26</v>
      </c>
      <c r="D43" s="15" t="s">
        <v>71</v>
      </c>
      <c r="E43" s="15" t="s">
        <v>566</v>
      </c>
      <c r="F43" s="15"/>
      <c r="G43" s="74">
        <f>G45</f>
        <v>0</v>
      </c>
      <c r="H43" s="74">
        <v>0</v>
      </c>
      <c r="I43" s="74">
        <v>0</v>
      </c>
    </row>
    <row r="44" spans="1:16" ht="36" hidden="1" customHeight="1">
      <c r="A44" s="16" t="s">
        <v>30</v>
      </c>
      <c r="B44" s="14">
        <v>757</v>
      </c>
      <c r="C44" s="15" t="s">
        <v>26</v>
      </c>
      <c r="D44" s="15" t="s">
        <v>71</v>
      </c>
      <c r="E44" s="15" t="s">
        <v>566</v>
      </c>
      <c r="F44" s="15" t="s">
        <v>31</v>
      </c>
      <c r="G44" s="74">
        <f>G45</f>
        <v>0</v>
      </c>
      <c r="H44" s="74">
        <v>0</v>
      </c>
      <c r="I44" s="74">
        <v>0</v>
      </c>
    </row>
    <row r="45" spans="1:16" ht="19.5" hidden="1" customHeight="1">
      <c r="A45" s="16" t="s">
        <v>32</v>
      </c>
      <c r="B45" s="14">
        <v>757</v>
      </c>
      <c r="C45" s="15" t="s">
        <v>26</v>
      </c>
      <c r="D45" s="15" t="s">
        <v>71</v>
      </c>
      <c r="E45" s="15" t="s">
        <v>566</v>
      </c>
      <c r="F45" s="15" t="s">
        <v>33</v>
      </c>
      <c r="G45" s="74"/>
      <c r="H45" s="74">
        <v>0</v>
      </c>
      <c r="I45" s="74">
        <v>0</v>
      </c>
    </row>
    <row r="46" spans="1:16" ht="66" hidden="1" customHeight="1">
      <c r="A46" s="16" t="s">
        <v>561</v>
      </c>
      <c r="B46" s="14">
        <v>757</v>
      </c>
      <c r="C46" s="15" t="s">
        <v>26</v>
      </c>
      <c r="D46" s="15" t="s">
        <v>71</v>
      </c>
      <c r="E46" s="15" t="s">
        <v>649</v>
      </c>
      <c r="F46" s="15"/>
      <c r="G46" s="74">
        <f>G47</f>
        <v>0</v>
      </c>
      <c r="H46" s="74">
        <f t="shared" ref="H46:I47" si="7">H47</f>
        <v>0</v>
      </c>
      <c r="I46" s="74">
        <f t="shared" si="7"/>
        <v>0</v>
      </c>
    </row>
    <row r="47" spans="1:16" ht="33.75" hidden="1" customHeight="1">
      <c r="A47" s="16" t="s">
        <v>30</v>
      </c>
      <c r="B47" s="14">
        <v>757</v>
      </c>
      <c r="C47" s="15" t="s">
        <v>26</v>
      </c>
      <c r="D47" s="15" t="s">
        <v>71</v>
      </c>
      <c r="E47" s="15" t="s">
        <v>649</v>
      </c>
      <c r="F47" s="15" t="s">
        <v>31</v>
      </c>
      <c r="G47" s="74">
        <f>G48</f>
        <v>0</v>
      </c>
      <c r="H47" s="74">
        <f t="shared" si="7"/>
        <v>0</v>
      </c>
      <c r="I47" s="74">
        <f t="shared" si="7"/>
        <v>0</v>
      </c>
    </row>
    <row r="48" spans="1:16" ht="27.75" hidden="1" customHeight="1">
      <c r="A48" s="16" t="s">
        <v>32</v>
      </c>
      <c r="B48" s="14">
        <v>757</v>
      </c>
      <c r="C48" s="15" t="s">
        <v>26</v>
      </c>
      <c r="D48" s="15" t="s">
        <v>71</v>
      </c>
      <c r="E48" s="15" t="s">
        <v>649</v>
      </c>
      <c r="F48" s="15" t="s">
        <v>33</v>
      </c>
      <c r="G48" s="74"/>
      <c r="H48" s="74"/>
      <c r="I48" s="74"/>
    </row>
    <row r="49" spans="1:11" ht="78.75" hidden="1" customHeight="1">
      <c r="A49" s="16" t="s">
        <v>279</v>
      </c>
      <c r="B49" s="14">
        <v>757</v>
      </c>
      <c r="C49" s="15" t="s">
        <v>26</v>
      </c>
      <c r="D49" s="15" t="s">
        <v>71</v>
      </c>
      <c r="E49" s="15" t="s">
        <v>613</v>
      </c>
      <c r="F49" s="15"/>
      <c r="G49" s="74">
        <f>G51</f>
        <v>0</v>
      </c>
      <c r="H49" s="74">
        <v>0</v>
      </c>
      <c r="I49" s="74">
        <v>0</v>
      </c>
    </row>
    <row r="50" spans="1:11" ht="36" hidden="1" customHeight="1">
      <c r="A50" s="16" t="s">
        <v>30</v>
      </c>
      <c r="B50" s="14">
        <v>757</v>
      </c>
      <c r="C50" s="15" t="s">
        <v>26</v>
      </c>
      <c r="D50" s="15" t="s">
        <v>71</v>
      </c>
      <c r="E50" s="15" t="s">
        <v>613</v>
      </c>
      <c r="F50" s="15" t="s">
        <v>31</v>
      </c>
      <c r="G50" s="74">
        <f>G51</f>
        <v>0</v>
      </c>
      <c r="H50" s="74">
        <v>0</v>
      </c>
      <c r="I50" s="74">
        <v>0</v>
      </c>
    </row>
    <row r="51" spans="1:11" ht="19.5" hidden="1" customHeight="1">
      <c r="A51" s="16" t="s">
        <v>32</v>
      </c>
      <c r="B51" s="14">
        <v>757</v>
      </c>
      <c r="C51" s="15" t="s">
        <v>26</v>
      </c>
      <c r="D51" s="15" t="s">
        <v>71</v>
      </c>
      <c r="E51" s="15" t="s">
        <v>613</v>
      </c>
      <c r="F51" s="15" t="s">
        <v>33</v>
      </c>
      <c r="G51" s="74"/>
      <c r="H51" s="74">
        <v>0</v>
      </c>
      <c r="I51" s="74">
        <v>0</v>
      </c>
    </row>
    <row r="52" spans="1:11" ht="81.75" hidden="1" customHeight="1">
      <c r="A52" s="16" t="s">
        <v>651</v>
      </c>
      <c r="B52" s="14">
        <v>757</v>
      </c>
      <c r="C52" s="15" t="s">
        <v>26</v>
      </c>
      <c r="D52" s="15" t="s">
        <v>71</v>
      </c>
      <c r="E52" s="15" t="s">
        <v>650</v>
      </c>
      <c r="F52" s="15"/>
      <c r="G52" s="74">
        <f>G53</f>
        <v>0</v>
      </c>
      <c r="H52" s="74">
        <f t="shared" ref="H52:I53" si="8">H53</f>
        <v>0</v>
      </c>
      <c r="I52" s="74">
        <f t="shared" si="8"/>
        <v>0</v>
      </c>
    </row>
    <row r="53" spans="1:11" ht="47.25" hidden="1" customHeight="1">
      <c r="A53" s="16" t="s">
        <v>99</v>
      </c>
      <c r="B53" s="14">
        <v>757</v>
      </c>
      <c r="C53" s="15" t="s">
        <v>26</v>
      </c>
      <c r="D53" s="15" t="s">
        <v>71</v>
      </c>
      <c r="E53" s="15" t="s">
        <v>650</v>
      </c>
      <c r="F53" s="15" t="s">
        <v>359</v>
      </c>
      <c r="G53" s="74">
        <f>G54</f>
        <v>0</v>
      </c>
      <c r="H53" s="74">
        <f t="shared" si="8"/>
        <v>0</v>
      </c>
      <c r="I53" s="74"/>
    </row>
    <row r="54" spans="1:11" ht="98.25" hidden="1" customHeight="1">
      <c r="A54" s="50" t="s">
        <v>434</v>
      </c>
      <c r="B54" s="14">
        <v>757</v>
      </c>
      <c r="C54" s="15" t="s">
        <v>26</v>
      </c>
      <c r="D54" s="15" t="s">
        <v>71</v>
      </c>
      <c r="E54" s="15" t="s">
        <v>650</v>
      </c>
      <c r="F54" s="15" t="s">
        <v>433</v>
      </c>
      <c r="G54" s="74"/>
      <c r="H54" s="74">
        <v>0</v>
      </c>
      <c r="I54" s="74"/>
    </row>
    <row r="55" spans="1:11" ht="19.5" hidden="1" customHeight="1">
      <c r="A55" s="16" t="s">
        <v>404</v>
      </c>
      <c r="B55" s="14">
        <v>757</v>
      </c>
      <c r="C55" s="15" t="s">
        <v>26</v>
      </c>
      <c r="D55" s="15" t="s">
        <v>71</v>
      </c>
      <c r="E55" s="15" t="s">
        <v>130</v>
      </c>
      <c r="F55" s="15"/>
      <c r="G55" s="74">
        <f>G56</f>
        <v>0</v>
      </c>
      <c r="H55" s="74">
        <v>0</v>
      </c>
      <c r="I55" s="74">
        <v>0</v>
      </c>
    </row>
    <row r="56" spans="1:11" ht="39.75" hidden="1" customHeight="1">
      <c r="A56" s="16" t="s">
        <v>30</v>
      </c>
      <c r="B56" s="14">
        <v>757</v>
      </c>
      <c r="C56" s="15" t="s">
        <v>26</v>
      </c>
      <c r="D56" s="15" t="s">
        <v>71</v>
      </c>
      <c r="E56" s="15" t="s">
        <v>130</v>
      </c>
      <c r="F56" s="15" t="s">
        <v>31</v>
      </c>
      <c r="G56" s="74">
        <f>G57</f>
        <v>0</v>
      </c>
      <c r="H56" s="74">
        <v>0</v>
      </c>
      <c r="I56" s="74">
        <v>0</v>
      </c>
    </row>
    <row r="57" spans="1:11" ht="20.25" hidden="1" customHeight="1">
      <c r="A57" s="16" t="s">
        <v>32</v>
      </c>
      <c r="B57" s="14">
        <v>757</v>
      </c>
      <c r="C57" s="15" t="s">
        <v>26</v>
      </c>
      <c r="D57" s="15" t="s">
        <v>71</v>
      </c>
      <c r="E57" s="15" t="s">
        <v>130</v>
      </c>
      <c r="F57" s="15" t="s">
        <v>33</v>
      </c>
      <c r="G57" s="74"/>
      <c r="H57" s="74">
        <v>0</v>
      </c>
      <c r="I57" s="74">
        <v>0</v>
      </c>
    </row>
    <row r="58" spans="1:11" ht="87.75" hidden="1" customHeight="1">
      <c r="A58" s="16" t="s">
        <v>531</v>
      </c>
      <c r="B58" s="14">
        <v>757</v>
      </c>
      <c r="C58" s="15" t="s">
        <v>26</v>
      </c>
      <c r="D58" s="15" t="s">
        <v>71</v>
      </c>
      <c r="E58" s="15" t="s">
        <v>532</v>
      </c>
      <c r="F58" s="15"/>
      <c r="G58" s="74">
        <f>G59</f>
        <v>0</v>
      </c>
      <c r="H58" s="74">
        <f t="shared" ref="H58:I58" si="9">H59</f>
        <v>0</v>
      </c>
      <c r="I58" s="74">
        <f t="shared" si="9"/>
        <v>0</v>
      </c>
    </row>
    <row r="59" spans="1:11" ht="45" hidden="1" customHeight="1">
      <c r="A59" s="16" t="s">
        <v>30</v>
      </c>
      <c r="B59" s="14">
        <v>757</v>
      </c>
      <c r="C59" s="15" t="s">
        <v>26</v>
      </c>
      <c r="D59" s="15" t="s">
        <v>71</v>
      </c>
      <c r="E59" s="15" t="s">
        <v>532</v>
      </c>
      <c r="F59" s="15" t="s">
        <v>31</v>
      </c>
      <c r="G59" s="74">
        <f>G60</f>
        <v>0</v>
      </c>
      <c r="H59" s="74">
        <f t="shared" ref="H59:K59" si="10">H60</f>
        <v>0</v>
      </c>
      <c r="I59" s="74">
        <f t="shared" si="10"/>
        <v>0</v>
      </c>
      <c r="J59" s="74">
        <f t="shared" si="10"/>
        <v>0</v>
      </c>
      <c r="K59" s="74">
        <f t="shared" si="10"/>
        <v>0</v>
      </c>
    </row>
    <row r="60" spans="1:11" ht="19.5" hidden="1" customHeight="1">
      <c r="A60" s="16" t="s">
        <v>32</v>
      </c>
      <c r="B60" s="14">
        <v>757</v>
      </c>
      <c r="C60" s="15" t="s">
        <v>26</v>
      </c>
      <c r="D60" s="15" t="s">
        <v>71</v>
      </c>
      <c r="E60" s="15" t="s">
        <v>532</v>
      </c>
      <c r="F60" s="15" t="s">
        <v>33</v>
      </c>
      <c r="G60" s="74">
        <v>0</v>
      </c>
      <c r="H60" s="74"/>
      <c r="I60" s="74">
        <v>0</v>
      </c>
    </row>
    <row r="61" spans="1:11" s="18" customFormat="1" ht="51" hidden="1">
      <c r="A61" s="16" t="s">
        <v>533</v>
      </c>
      <c r="B61" s="14">
        <v>757</v>
      </c>
      <c r="C61" s="15" t="s">
        <v>26</v>
      </c>
      <c r="D61" s="15" t="s">
        <v>71</v>
      </c>
      <c r="E61" s="15" t="s">
        <v>221</v>
      </c>
      <c r="F61" s="15"/>
      <c r="G61" s="74">
        <f>G62</f>
        <v>0</v>
      </c>
      <c r="H61" s="74">
        <f>H62</f>
        <v>0</v>
      </c>
      <c r="I61" s="74">
        <f t="shared" ref="H61:I63" si="11">I62</f>
        <v>0</v>
      </c>
    </row>
    <row r="62" spans="1:11" s="18" customFormat="1" ht="38.25" hidden="1">
      <c r="A62" s="16" t="s">
        <v>624</v>
      </c>
      <c r="B62" s="14">
        <v>757</v>
      </c>
      <c r="C62" s="15" t="s">
        <v>26</v>
      </c>
      <c r="D62" s="15" t="s">
        <v>71</v>
      </c>
      <c r="E62" s="15" t="s">
        <v>605</v>
      </c>
      <c r="F62" s="15"/>
      <c r="G62" s="74">
        <f>G63</f>
        <v>0</v>
      </c>
      <c r="H62" s="74">
        <f t="shared" si="11"/>
        <v>0</v>
      </c>
      <c r="I62" s="74">
        <f t="shared" si="11"/>
        <v>0</v>
      </c>
    </row>
    <row r="63" spans="1:11" s="18" customFormat="1" ht="36" hidden="1" customHeight="1">
      <c r="A63" s="16" t="s">
        <v>99</v>
      </c>
      <c r="B63" s="14">
        <v>757</v>
      </c>
      <c r="C63" s="15" t="s">
        <v>26</v>
      </c>
      <c r="D63" s="15" t="s">
        <v>71</v>
      </c>
      <c r="E63" s="15" t="s">
        <v>605</v>
      </c>
      <c r="F63" s="15" t="s">
        <v>359</v>
      </c>
      <c r="G63" s="74">
        <f>G64</f>
        <v>0</v>
      </c>
      <c r="H63" s="74">
        <f t="shared" si="11"/>
        <v>0</v>
      </c>
      <c r="I63" s="74">
        <f t="shared" si="11"/>
        <v>0</v>
      </c>
    </row>
    <row r="64" spans="1:11" s="18" customFormat="1" ht="99" hidden="1" customHeight="1">
      <c r="A64" s="50" t="s">
        <v>434</v>
      </c>
      <c r="B64" s="14">
        <v>757</v>
      </c>
      <c r="C64" s="15" t="s">
        <v>26</v>
      </c>
      <c r="D64" s="15" t="s">
        <v>71</v>
      </c>
      <c r="E64" s="15" t="s">
        <v>605</v>
      </c>
      <c r="F64" s="15" t="s">
        <v>433</v>
      </c>
      <c r="G64" s="102">
        <v>0</v>
      </c>
      <c r="H64" s="74"/>
      <c r="I64" s="74">
        <v>0</v>
      </c>
    </row>
    <row r="65" spans="1:11" ht="27.75" customHeight="1">
      <c r="A65" s="16" t="s">
        <v>786</v>
      </c>
      <c r="B65" s="14">
        <v>757</v>
      </c>
      <c r="C65" s="15" t="s">
        <v>26</v>
      </c>
      <c r="D65" s="15" t="s">
        <v>71</v>
      </c>
      <c r="E65" s="15" t="s">
        <v>785</v>
      </c>
      <c r="F65" s="15"/>
      <c r="G65" s="74">
        <f>G66</f>
        <v>193600</v>
      </c>
      <c r="H65" s="74">
        <f t="shared" ref="H65:K66" si="12">H66</f>
        <v>0</v>
      </c>
      <c r="I65" s="74">
        <f t="shared" si="12"/>
        <v>0</v>
      </c>
    </row>
    <row r="66" spans="1:11" ht="45.75" customHeight="1">
      <c r="A66" s="16" t="s">
        <v>30</v>
      </c>
      <c r="B66" s="14">
        <v>757</v>
      </c>
      <c r="C66" s="15" t="s">
        <v>26</v>
      </c>
      <c r="D66" s="15" t="s">
        <v>71</v>
      </c>
      <c r="E66" s="15" t="s">
        <v>785</v>
      </c>
      <c r="F66" s="15" t="s">
        <v>31</v>
      </c>
      <c r="G66" s="74">
        <f>G67</f>
        <v>193600</v>
      </c>
      <c r="H66" s="74">
        <f t="shared" si="12"/>
        <v>0</v>
      </c>
      <c r="I66" s="74">
        <f t="shared" si="12"/>
        <v>0</v>
      </c>
      <c r="J66" s="74">
        <f t="shared" si="12"/>
        <v>0</v>
      </c>
      <c r="K66" s="74">
        <f t="shared" si="12"/>
        <v>0</v>
      </c>
    </row>
    <row r="67" spans="1:11" ht="45.75" customHeight="1">
      <c r="A67" s="16" t="s">
        <v>32</v>
      </c>
      <c r="B67" s="14">
        <v>757</v>
      </c>
      <c r="C67" s="15" t="s">
        <v>26</v>
      </c>
      <c r="D67" s="15" t="s">
        <v>71</v>
      </c>
      <c r="E67" s="15" t="s">
        <v>785</v>
      </c>
      <c r="F67" s="15" t="s">
        <v>33</v>
      </c>
      <c r="G67" s="74">
        <v>193600</v>
      </c>
      <c r="H67" s="74">
        <v>0</v>
      </c>
      <c r="I67" s="74">
        <v>0</v>
      </c>
    </row>
    <row r="68" spans="1:11" ht="101.25" hidden="1" customHeight="1">
      <c r="A68" s="16" t="s">
        <v>279</v>
      </c>
      <c r="B68" s="14">
        <v>757</v>
      </c>
      <c r="C68" s="15" t="s">
        <v>26</v>
      </c>
      <c r="D68" s="15" t="s">
        <v>71</v>
      </c>
      <c r="E68" s="15" t="s">
        <v>810</v>
      </c>
      <c r="F68" s="15"/>
      <c r="G68" s="74">
        <f>G69</f>
        <v>0</v>
      </c>
      <c r="H68" s="74">
        <f t="shared" ref="H68:K74" si="13">H69</f>
        <v>0</v>
      </c>
      <c r="I68" s="74">
        <f t="shared" si="13"/>
        <v>0</v>
      </c>
    </row>
    <row r="69" spans="1:11" ht="47.25" hidden="1" customHeight="1">
      <c r="A69" s="16" t="s">
        <v>30</v>
      </c>
      <c r="B69" s="14">
        <v>757</v>
      </c>
      <c r="C69" s="15" t="s">
        <v>26</v>
      </c>
      <c r="D69" s="15" t="s">
        <v>71</v>
      </c>
      <c r="E69" s="15" t="s">
        <v>810</v>
      </c>
      <c r="F69" s="15" t="s">
        <v>31</v>
      </c>
      <c r="G69" s="74">
        <f>G70</f>
        <v>0</v>
      </c>
      <c r="H69" s="74">
        <f t="shared" si="13"/>
        <v>0</v>
      </c>
      <c r="I69" s="74">
        <f t="shared" si="13"/>
        <v>0</v>
      </c>
      <c r="J69" s="74">
        <f t="shared" si="13"/>
        <v>0</v>
      </c>
      <c r="K69" s="74">
        <f t="shared" si="13"/>
        <v>0</v>
      </c>
    </row>
    <row r="70" spans="1:11" ht="41.25" hidden="1" customHeight="1">
      <c r="A70" s="16" t="s">
        <v>32</v>
      </c>
      <c r="B70" s="14">
        <v>757</v>
      </c>
      <c r="C70" s="15" t="s">
        <v>26</v>
      </c>
      <c r="D70" s="15" t="s">
        <v>71</v>
      </c>
      <c r="E70" s="15" t="s">
        <v>810</v>
      </c>
      <c r="F70" s="15" t="s">
        <v>33</v>
      </c>
      <c r="G70" s="74"/>
      <c r="H70" s="74">
        <v>0</v>
      </c>
      <c r="I70" s="74"/>
    </row>
    <row r="71" spans="1:11" ht="101.25" customHeight="1">
      <c r="A71" s="16" t="s">
        <v>279</v>
      </c>
      <c r="B71" s="14">
        <v>757</v>
      </c>
      <c r="C71" s="15" t="s">
        <v>26</v>
      </c>
      <c r="D71" s="15" t="s">
        <v>71</v>
      </c>
      <c r="E71" s="15" t="s">
        <v>613</v>
      </c>
      <c r="F71" s="15"/>
      <c r="G71" s="74">
        <f>G72+G74</f>
        <v>2981791.43</v>
      </c>
      <c r="H71" s="74">
        <f t="shared" si="13"/>
        <v>0</v>
      </c>
      <c r="I71" s="74">
        <f t="shared" si="13"/>
        <v>0</v>
      </c>
    </row>
    <row r="72" spans="1:11" ht="47.25" customHeight="1">
      <c r="A72" s="16" t="s">
        <v>30</v>
      </c>
      <c r="B72" s="14">
        <v>757</v>
      </c>
      <c r="C72" s="15" t="s">
        <v>26</v>
      </c>
      <c r="D72" s="15" t="s">
        <v>71</v>
      </c>
      <c r="E72" s="15" t="s">
        <v>613</v>
      </c>
      <c r="F72" s="15" t="s">
        <v>31</v>
      </c>
      <c r="G72" s="74">
        <f>G73</f>
        <v>2981791.43</v>
      </c>
      <c r="H72" s="74">
        <f t="shared" si="13"/>
        <v>0</v>
      </c>
      <c r="I72" s="74">
        <f t="shared" si="13"/>
        <v>0</v>
      </c>
      <c r="J72" s="74">
        <f t="shared" si="13"/>
        <v>0</v>
      </c>
      <c r="K72" s="74">
        <f t="shared" si="13"/>
        <v>0</v>
      </c>
    </row>
    <row r="73" spans="1:11" ht="41.25" customHeight="1">
      <c r="A73" s="16" t="s">
        <v>32</v>
      </c>
      <c r="B73" s="14">
        <v>757</v>
      </c>
      <c r="C73" s="15" t="s">
        <v>26</v>
      </c>
      <c r="D73" s="15" t="s">
        <v>71</v>
      </c>
      <c r="E73" s="15" t="s">
        <v>613</v>
      </c>
      <c r="F73" s="15" t="s">
        <v>33</v>
      </c>
      <c r="G73" s="74">
        <v>2981791.43</v>
      </c>
      <c r="H73" s="74">
        <v>0</v>
      </c>
      <c r="I73" s="74"/>
    </row>
    <row r="74" spans="1:11" ht="47.25" customHeight="1">
      <c r="A74" s="86" t="s">
        <v>64</v>
      </c>
      <c r="B74" s="14">
        <v>757</v>
      </c>
      <c r="C74" s="15" t="s">
        <v>26</v>
      </c>
      <c r="D74" s="15" t="s">
        <v>71</v>
      </c>
      <c r="E74" s="15" t="s">
        <v>613</v>
      </c>
      <c r="F74" s="15" t="s">
        <v>65</v>
      </c>
      <c r="G74" s="74">
        <f>G75</f>
        <v>0</v>
      </c>
      <c r="H74" s="74">
        <f t="shared" si="13"/>
        <v>0</v>
      </c>
      <c r="I74" s="74">
        <f t="shared" si="13"/>
        <v>0</v>
      </c>
      <c r="J74" s="74">
        <f t="shared" si="13"/>
        <v>0</v>
      </c>
      <c r="K74" s="74">
        <f t="shared" si="13"/>
        <v>0</v>
      </c>
    </row>
    <row r="75" spans="1:11" ht="41.25" customHeight="1">
      <c r="A75" s="86" t="s">
        <v>187</v>
      </c>
      <c r="B75" s="14">
        <v>757</v>
      </c>
      <c r="C75" s="15" t="s">
        <v>26</v>
      </c>
      <c r="D75" s="15" t="s">
        <v>71</v>
      </c>
      <c r="E75" s="15" t="s">
        <v>613</v>
      </c>
      <c r="F75" s="15" t="s">
        <v>188</v>
      </c>
      <c r="G75" s="74">
        <f>189104.67-189104.67</f>
        <v>0</v>
      </c>
      <c r="H75" s="74">
        <v>0</v>
      </c>
      <c r="I75" s="74"/>
    </row>
    <row r="76" spans="1:11" ht="84" customHeight="1">
      <c r="A76" s="16" t="s">
        <v>531</v>
      </c>
      <c r="B76" s="14">
        <v>757</v>
      </c>
      <c r="C76" s="15" t="s">
        <v>26</v>
      </c>
      <c r="D76" s="15" t="s">
        <v>71</v>
      </c>
      <c r="E76" s="15" t="s">
        <v>712</v>
      </c>
      <c r="F76" s="15"/>
      <c r="G76" s="74">
        <f>G77</f>
        <v>4116634.67</v>
      </c>
      <c r="H76" s="74">
        <v>0</v>
      </c>
      <c r="I76" s="74">
        <v>0</v>
      </c>
    </row>
    <row r="77" spans="1:11" ht="60" customHeight="1">
      <c r="A77" s="16" t="s">
        <v>30</v>
      </c>
      <c r="B77" s="14">
        <v>757</v>
      </c>
      <c r="C77" s="15" t="s">
        <v>26</v>
      </c>
      <c r="D77" s="15" t="s">
        <v>71</v>
      </c>
      <c r="E77" s="15" t="s">
        <v>712</v>
      </c>
      <c r="F77" s="15" t="s">
        <v>31</v>
      </c>
      <c r="G77" s="74">
        <f>G78</f>
        <v>4116634.67</v>
      </c>
      <c r="H77" s="74">
        <v>0</v>
      </c>
      <c r="I77" s="74">
        <v>0</v>
      </c>
      <c r="J77" s="74">
        <f t="shared" ref="J77:K77" si="14">J78</f>
        <v>0</v>
      </c>
      <c r="K77" s="74">
        <f t="shared" si="14"/>
        <v>0</v>
      </c>
    </row>
    <row r="78" spans="1:11" ht="60" customHeight="1">
      <c r="A78" s="16" t="s">
        <v>32</v>
      </c>
      <c r="B78" s="14">
        <v>757</v>
      </c>
      <c r="C78" s="15" t="s">
        <v>26</v>
      </c>
      <c r="D78" s="15" t="s">
        <v>71</v>
      </c>
      <c r="E78" s="15" t="s">
        <v>712</v>
      </c>
      <c r="F78" s="15" t="s">
        <v>33</v>
      </c>
      <c r="G78" s="74">
        <v>4116634.67</v>
      </c>
      <c r="H78" s="74">
        <v>0</v>
      </c>
      <c r="I78" s="74">
        <v>0</v>
      </c>
    </row>
    <row r="79" spans="1:11" ht="84" customHeight="1">
      <c r="A79" s="16" t="s">
        <v>715</v>
      </c>
      <c r="B79" s="14">
        <v>757</v>
      </c>
      <c r="C79" s="15" t="s">
        <v>26</v>
      </c>
      <c r="D79" s="15" t="s">
        <v>71</v>
      </c>
      <c r="E79" s="15" t="s">
        <v>714</v>
      </c>
      <c r="F79" s="15"/>
      <c r="G79" s="74">
        <f>G80</f>
        <v>0</v>
      </c>
      <c r="H79" s="74">
        <f>H80</f>
        <v>14511206.98</v>
      </c>
      <c r="I79" s="74">
        <f>I80</f>
        <v>0</v>
      </c>
    </row>
    <row r="80" spans="1:11" ht="60" customHeight="1">
      <c r="A80" s="16" t="s">
        <v>30</v>
      </c>
      <c r="B80" s="14">
        <v>757</v>
      </c>
      <c r="C80" s="15" t="s">
        <v>26</v>
      </c>
      <c r="D80" s="15" t="s">
        <v>71</v>
      </c>
      <c r="E80" s="15" t="s">
        <v>714</v>
      </c>
      <c r="F80" s="15" t="s">
        <v>31</v>
      </c>
      <c r="G80" s="74">
        <f>G81</f>
        <v>0</v>
      </c>
      <c r="H80" s="74">
        <f t="shared" ref="H80:I80" si="15">H81</f>
        <v>14511206.98</v>
      </c>
      <c r="I80" s="74">
        <f t="shared" si="15"/>
        <v>0</v>
      </c>
      <c r="J80" s="74">
        <f t="shared" ref="J80:K80" si="16">J81</f>
        <v>0</v>
      </c>
      <c r="K80" s="74">
        <f t="shared" si="16"/>
        <v>0</v>
      </c>
    </row>
    <row r="81" spans="1:10" ht="60" customHeight="1">
      <c r="A81" s="16" t="s">
        <v>32</v>
      </c>
      <c r="B81" s="14">
        <v>757</v>
      </c>
      <c r="C81" s="15" t="s">
        <v>26</v>
      </c>
      <c r="D81" s="15" t="s">
        <v>71</v>
      </c>
      <c r="E81" s="15" t="s">
        <v>714</v>
      </c>
      <c r="F81" s="15" t="s">
        <v>33</v>
      </c>
      <c r="G81" s="74">
        <v>0</v>
      </c>
      <c r="H81" s="74">
        <v>14511206.98</v>
      </c>
      <c r="I81" s="74">
        <v>0</v>
      </c>
    </row>
    <row r="82" spans="1:10" s="28" customFormat="1" ht="28.5" hidden="1" customHeight="1">
      <c r="A82" s="37" t="s">
        <v>503</v>
      </c>
      <c r="B82" s="14">
        <v>757</v>
      </c>
      <c r="C82" s="15" t="s">
        <v>26</v>
      </c>
      <c r="D82" s="15" t="s">
        <v>71</v>
      </c>
      <c r="E82" s="15" t="s">
        <v>202</v>
      </c>
      <c r="F82" s="15"/>
      <c r="G82" s="74">
        <f>G83</f>
        <v>0</v>
      </c>
      <c r="H82" s="74">
        <f>H83</f>
        <v>0</v>
      </c>
      <c r="I82" s="74">
        <f>I83</f>
        <v>0</v>
      </c>
    </row>
    <row r="83" spans="1:10" s="28" customFormat="1" ht="27.75" hidden="1" customHeight="1">
      <c r="A83" s="37" t="s">
        <v>728</v>
      </c>
      <c r="B83" s="14">
        <v>757</v>
      </c>
      <c r="C83" s="15" t="s">
        <v>26</v>
      </c>
      <c r="D83" s="15" t="s">
        <v>71</v>
      </c>
      <c r="E83" s="15" t="s">
        <v>727</v>
      </c>
      <c r="F83" s="15"/>
      <c r="G83" s="74">
        <f>G84</f>
        <v>0</v>
      </c>
      <c r="H83" s="74">
        <f t="shared" ref="H83:I83" si="17">H84</f>
        <v>0</v>
      </c>
      <c r="I83" s="74">
        <f t="shared" si="17"/>
        <v>0</v>
      </c>
    </row>
    <row r="84" spans="1:10" s="32" customFormat="1" ht="28.5" hidden="1" customHeight="1">
      <c r="A84" s="16" t="s">
        <v>30</v>
      </c>
      <c r="B84" s="14">
        <v>757</v>
      </c>
      <c r="C84" s="15" t="s">
        <v>26</v>
      </c>
      <c r="D84" s="15" t="s">
        <v>71</v>
      </c>
      <c r="E84" s="15" t="s">
        <v>727</v>
      </c>
      <c r="F84" s="15" t="s">
        <v>31</v>
      </c>
      <c r="G84" s="74">
        <f>G85</f>
        <v>0</v>
      </c>
      <c r="H84" s="74">
        <f>H85</f>
        <v>0</v>
      </c>
      <c r="I84" s="74">
        <f>I85</f>
        <v>0</v>
      </c>
    </row>
    <row r="85" spans="1:10" s="32" customFormat="1" hidden="1">
      <c r="A85" s="16" t="s">
        <v>32</v>
      </c>
      <c r="B85" s="14">
        <v>757</v>
      </c>
      <c r="C85" s="15" t="s">
        <v>26</v>
      </c>
      <c r="D85" s="15" t="s">
        <v>71</v>
      </c>
      <c r="E85" s="15" t="s">
        <v>727</v>
      </c>
      <c r="F85" s="15" t="s">
        <v>33</v>
      </c>
      <c r="G85" s="74"/>
      <c r="H85" s="74"/>
      <c r="I85" s="74"/>
      <c r="J85" s="31">
        <f>J86-G86</f>
        <v>-2631454.29</v>
      </c>
    </row>
    <row r="86" spans="1:10" ht="32.25" customHeight="1">
      <c r="A86" s="16" t="s">
        <v>496</v>
      </c>
      <c r="B86" s="14">
        <v>757</v>
      </c>
      <c r="C86" s="15" t="s">
        <v>26</v>
      </c>
      <c r="D86" s="15" t="s">
        <v>71</v>
      </c>
      <c r="E86" s="15" t="s">
        <v>408</v>
      </c>
      <c r="F86" s="15"/>
      <c r="G86" s="102">
        <f>G88</f>
        <v>2631454.29</v>
      </c>
      <c r="H86" s="74">
        <f>H88</f>
        <v>1980000</v>
      </c>
      <c r="I86" s="74">
        <f>I88</f>
        <v>2060000.01</v>
      </c>
    </row>
    <row r="87" spans="1:10" ht="32.25" customHeight="1">
      <c r="A87" s="16" t="s">
        <v>93</v>
      </c>
      <c r="B87" s="14">
        <v>757</v>
      </c>
      <c r="C87" s="15" t="s">
        <v>26</v>
      </c>
      <c r="D87" s="15" t="s">
        <v>71</v>
      </c>
      <c r="E87" s="15" t="s">
        <v>410</v>
      </c>
      <c r="F87" s="15"/>
      <c r="G87" s="102">
        <f t="shared" ref="G87:I89" si="18">G88</f>
        <v>2631454.29</v>
      </c>
      <c r="H87" s="74">
        <f t="shared" si="18"/>
        <v>1980000</v>
      </c>
      <c r="I87" s="74">
        <f t="shared" si="18"/>
        <v>2060000.01</v>
      </c>
    </row>
    <row r="88" spans="1:10" ht="51">
      <c r="A88" s="16" t="s">
        <v>3</v>
      </c>
      <c r="B88" s="14">
        <v>757</v>
      </c>
      <c r="C88" s="15" t="s">
        <v>26</v>
      </c>
      <c r="D88" s="15" t="s">
        <v>71</v>
      </c>
      <c r="E88" s="15" t="s">
        <v>409</v>
      </c>
      <c r="F88" s="15"/>
      <c r="G88" s="102">
        <f t="shared" si="18"/>
        <v>2631454.29</v>
      </c>
      <c r="H88" s="74">
        <f t="shared" si="18"/>
        <v>1980000</v>
      </c>
      <c r="I88" s="74">
        <f t="shared" si="18"/>
        <v>2060000.01</v>
      </c>
    </row>
    <row r="89" spans="1:10" ht="25.5">
      <c r="A89" s="16" t="s">
        <v>30</v>
      </c>
      <c r="B89" s="14">
        <v>757</v>
      </c>
      <c r="C89" s="15" t="s">
        <v>26</v>
      </c>
      <c r="D89" s="15" t="s">
        <v>71</v>
      </c>
      <c r="E89" s="15" t="s">
        <v>409</v>
      </c>
      <c r="F89" s="15" t="s">
        <v>31</v>
      </c>
      <c r="G89" s="102">
        <f t="shared" si="18"/>
        <v>2631454.29</v>
      </c>
      <c r="H89" s="74">
        <f t="shared" si="18"/>
        <v>1980000</v>
      </c>
      <c r="I89" s="74">
        <f t="shared" si="18"/>
        <v>2060000.01</v>
      </c>
    </row>
    <row r="90" spans="1:10" ht="19.5" customHeight="1">
      <c r="A90" s="86" t="s">
        <v>32</v>
      </c>
      <c r="B90" s="14">
        <v>757</v>
      </c>
      <c r="C90" s="15" t="s">
        <v>26</v>
      </c>
      <c r="D90" s="15" t="s">
        <v>71</v>
      </c>
      <c r="E90" s="15" t="s">
        <v>409</v>
      </c>
      <c r="F90" s="15" t="s">
        <v>33</v>
      </c>
      <c r="G90" s="102">
        <v>2631454.29</v>
      </c>
      <c r="H90" s="74">
        <v>1980000</v>
      </c>
      <c r="I90" s="74">
        <f>1980000+80000.01</f>
        <v>2060000.01</v>
      </c>
    </row>
    <row r="91" spans="1:10" s="240" customFormat="1" ht="30.75" customHeight="1">
      <c r="A91" s="37" t="s">
        <v>280</v>
      </c>
      <c r="B91" s="247">
        <v>757</v>
      </c>
      <c r="C91" s="15" t="s">
        <v>26</v>
      </c>
      <c r="D91" s="15" t="s">
        <v>71</v>
      </c>
      <c r="E91" s="15" t="s">
        <v>591</v>
      </c>
      <c r="F91" s="15"/>
      <c r="G91" s="74">
        <f>G92</f>
        <v>290987</v>
      </c>
      <c r="H91" s="239">
        <v>0</v>
      </c>
      <c r="I91" s="239">
        <v>0</v>
      </c>
    </row>
    <row r="92" spans="1:10" ht="30.75" customHeight="1">
      <c r="A92" s="16" t="s">
        <v>280</v>
      </c>
      <c r="B92" s="14">
        <v>793</v>
      </c>
      <c r="C92" s="15" t="s">
        <v>26</v>
      </c>
      <c r="D92" s="15" t="s">
        <v>71</v>
      </c>
      <c r="E92" s="15" t="s">
        <v>592</v>
      </c>
      <c r="F92" s="15"/>
      <c r="G92" s="74">
        <f>G95+G97+G93+G101+G100</f>
        <v>290987</v>
      </c>
      <c r="H92" s="74">
        <v>0</v>
      </c>
      <c r="I92" s="74">
        <v>0</v>
      </c>
    </row>
    <row r="93" spans="1:10" ht="30.75" hidden="1" customHeight="1">
      <c r="A93" s="16" t="s">
        <v>36</v>
      </c>
      <c r="B93" s="49">
        <v>795</v>
      </c>
      <c r="C93" s="15" t="s">
        <v>26</v>
      </c>
      <c r="D93" s="15" t="s">
        <v>71</v>
      </c>
      <c r="E93" s="15" t="s">
        <v>592</v>
      </c>
      <c r="F93" s="15" t="s">
        <v>37</v>
      </c>
      <c r="G93" s="74">
        <f>G94</f>
        <v>0</v>
      </c>
      <c r="H93" s="74">
        <v>0</v>
      </c>
      <c r="I93" s="74">
        <v>0</v>
      </c>
    </row>
    <row r="94" spans="1:10" ht="30.75" hidden="1" customHeight="1">
      <c r="A94" s="16" t="s">
        <v>38</v>
      </c>
      <c r="B94" s="49">
        <v>795</v>
      </c>
      <c r="C94" s="15" t="s">
        <v>26</v>
      </c>
      <c r="D94" s="15" t="s">
        <v>71</v>
      </c>
      <c r="E94" s="15" t="s">
        <v>592</v>
      </c>
      <c r="F94" s="15" t="s">
        <v>39</v>
      </c>
      <c r="G94" s="74">
        <f>'прил 5'!G479</f>
        <v>0</v>
      </c>
      <c r="H94" s="74">
        <v>0</v>
      </c>
      <c r="I94" s="74">
        <v>0</v>
      </c>
    </row>
    <row r="95" spans="1:10" ht="23.25" hidden="1" customHeight="1">
      <c r="A95" s="16" t="s">
        <v>154</v>
      </c>
      <c r="B95" s="14">
        <v>793</v>
      </c>
      <c r="C95" s="15" t="s">
        <v>26</v>
      </c>
      <c r="D95" s="15" t="s">
        <v>71</v>
      </c>
      <c r="E95" s="15" t="s">
        <v>592</v>
      </c>
      <c r="F95" s="15" t="s">
        <v>155</v>
      </c>
      <c r="G95" s="74">
        <f>G96</f>
        <v>0</v>
      </c>
      <c r="H95" s="74">
        <v>0</v>
      </c>
      <c r="I95" s="74">
        <v>0</v>
      </c>
    </row>
    <row r="96" spans="1:10" ht="30.75" hidden="1" customHeight="1">
      <c r="A96" s="16" t="s">
        <v>156</v>
      </c>
      <c r="B96" s="14">
        <v>793</v>
      </c>
      <c r="C96" s="15" t="s">
        <v>26</v>
      </c>
      <c r="D96" s="15" t="s">
        <v>71</v>
      </c>
      <c r="E96" s="15" t="s">
        <v>592</v>
      </c>
      <c r="F96" s="15" t="s">
        <v>157</v>
      </c>
      <c r="G96" s="74">
        <f>'прил 5'!G62</f>
        <v>0</v>
      </c>
      <c r="H96" s="74">
        <v>0</v>
      </c>
      <c r="I96" s="74">
        <v>0</v>
      </c>
    </row>
    <row r="97" spans="1:13" ht="21.75" hidden="1" customHeight="1">
      <c r="A97" s="16" t="s">
        <v>163</v>
      </c>
      <c r="B97" s="14">
        <v>793</v>
      </c>
      <c r="C97" s="15" t="s">
        <v>26</v>
      </c>
      <c r="D97" s="15" t="s">
        <v>71</v>
      </c>
      <c r="E97" s="15" t="s">
        <v>592</v>
      </c>
      <c r="F97" s="15" t="s">
        <v>164</v>
      </c>
      <c r="G97" s="74">
        <f>G98</f>
        <v>0</v>
      </c>
      <c r="H97" s="74">
        <v>0</v>
      </c>
      <c r="I97" s="74">
        <v>0</v>
      </c>
    </row>
    <row r="98" spans="1:13" ht="22.5" hidden="1" customHeight="1">
      <c r="A98" s="16" t="s">
        <v>185</v>
      </c>
      <c r="B98" s="14">
        <v>793</v>
      </c>
      <c r="C98" s="15" t="s">
        <v>26</v>
      </c>
      <c r="D98" s="15" t="s">
        <v>71</v>
      </c>
      <c r="E98" s="15" t="s">
        <v>592</v>
      </c>
      <c r="F98" s="15" t="s">
        <v>186</v>
      </c>
      <c r="G98" s="74"/>
      <c r="H98" s="74">
        <v>0</v>
      </c>
      <c r="I98" s="74">
        <v>0</v>
      </c>
    </row>
    <row r="99" spans="1:13" hidden="1">
      <c r="A99" s="16"/>
      <c r="B99" s="49"/>
      <c r="C99" s="15"/>
      <c r="D99" s="15"/>
      <c r="E99" s="15"/>
      <c r="F99" s="15"/>
      <c r="G99" s="89"/>
      <c r="H99" s="8"/>
      <c r="I99" s="8"/>
    </row>
    <row r="100" spans="1:13" hidden="1">
      <c r="A100" s="16"/>
      <c r="B100" s="49"/>
      <c r="C100" s="15"/>
      <c r="D100" s="15"/>
      <c r="E100" s="15"/>
      <c r="F100" s="15"/>
      <c r="G100" s="89"/>
      <c r="H100" s="8"/>
      <c r="I100" s="8"/>
    </row>
    <row r="101" spans="1:13" ht="25.5">
      <c r="A101" s="16" t="s">
        <v>30</v>
      </c>
      <c r="B101" s="14">
        <v>757</v>
      </c>
      <c r="C101" s="15" t="s">
        <v>26</v>
      </c>
      <c r="D101" s="15" t="s">
        <v>71</v>
      </c>
      <c r="E101" s="15" t="s">
        <v>592</v>
      </c>
      <c r="F101" s="15" t="s">
        <v>31</v>
      </c>
      <c r="G101" s="89">
        <f t="shared" ref="G101:I101" si="19">G102</f>
        <v>290987</v>
      </c>
      <c r="H101" s="8">
        <f t="shared" si="19"/>
        <v>0</v>
      </c>
      <c r="I101" s="8">
        <f t="shared" si="19"/>
        <v>0</v>
      </c>
    </row>
    <row r="102" spans="1:13">
      <c r="A102" s="16" t="s">
        <v>32</v>
      </c>
      <c r="B102" s="14">
        <v>757</v>
      </c>
      <c r="C102" s="15" t="s">
        <v>26</v>
      </c>
      <c r="D102" s="15" t="s">
        <v>71</v>
      </c>
      <c r="E102" s="15" t="s">
        <v>592</v>
      </c>
      <c r="F102" s="15" t="s">
        <v>33</v>
      </c>
      <c r="G102" s="89">
        <v>290987</v>
      </c>
      <c r="H102" s="8">
        <v>0</v>
      </c>
      <c r="I102" s="8">
        <v>0</v>
      </c>
    </row>
    <row r="103" spans="1:13" ht="14.25" customHeight="1">
      <c r="A103" s="86" t="s">
        <v>291</v>
      </c>
      <c r="B103" s="14">
        <v>757</v>
      </c>
      <c r="C103" s="15" t="s">
        <v>26</v>
      </c>
      <c r="D103" s="15" t="s">
        <v>26</v>
      </c>
      <c r="E103" s="15"/>
      <c r="F103" s="14"/>
      <c r="G103" s="102">
        <f>G112+G104</f>
        <v>328340</v>
      </c>
      <c r="H103" s="102">
        <f t="shared" ref="H103:I103" si="20">H112+H104</f>
        <v>176950</v>
      </c>
      <c r="I103" s="102">
        <f t="shared" si="20"/>
        <v>178950</v>
      </c>
    </row>
    <row r="104" spans="1:13" ht="32.25" hidden="1" customHeight="1">
      <c r="A104" s="86" t="s">
        <v>496</v>
      </c>
      <c r="B104" s="14">
        <v>757</v>
      </c>
      <c r="C104" s="15" t="s">
        <v>26</v>
      </c>
      <c r="D104" s="15" t="s">
        <v>26</v>
      </c>
      <c r="E104" s="15" t="s">
        <v>408</v>
      </c>
      <c r="F104" s="15"/>
      <c r="G104" s="74">
        <f>G105</f>
        <v>0</v>
      </c>
      <c r="H104" s="74">
        <f>H106</f>
        <v>0</v>
      </c>
      <c r="I104" s="74">
        <f>I106</f>
        <v>0</v>
      </c>
    </row>
    <row r="105" spans="1:13" ht="22.5" hidden="1" customHeight="1">
      <c r="A105" s="86" t="s">
        <v>123</v>
      </c>
      <c r="B105" s="14">
        <v>757</v>
      </c>
      <c r="C105" s="15" t="s">
        <v>26</v>
      </c>
      <c r="D105" s="15" t="s">
        <v>26</v>
      </c>
      <c r="E105" s="15" t="s">
        <v>628</v>
      </c>
      <c r="F105" s="15"/>
      <c r="G105" s="74">
        <f>G106+G109</f>
        <v>0</v>
      </c>
      <c r="H105" s="74">
        <f t="shared" ref="H105:I105" si="21">H106+H109</f>
        <v>0</v>
      </c>
      <c r="I105" s="74">
        <f t="shared" si="21"/>
        <v>0</v>
      </c>
    </row>
    <row r="106" spans="1:13" ht="51" hidden="1">
      <c r="A106" s="86" t="s">
        <v>131</v>
      </c>
      <c r="B106" s="14">
        <v>757</v>
      </c>
      <c r="C106" s="15" t="s">
        <v>26</v>
      </c>
      <c r="D106" s="15" t="s">
        <v>26</v>
      </c>
      <c r="E106" s="15" t="s">
        <v>198</v>
      </c>
      <c r="F106" s="15"/>
      <c r="G106" s="74">
        <f t="shared" ref="G106:I107" si="22">G107</f>
        <v>0</v>
      </c>
      <c r="H106" s="74">
        <f t="shared" si="22"/>
        <v>0</v>
      </c>
      <c r="I106" s="74">
        <f t="shared" si="22"/>
        <v>0</v>
      </c>
    </row>
    <row r="107" spans="1:13" ht="25.5" hidden="1">
      <c r="A107" s="16" t="s">
        <v>30</v>
      </c>
      <c r="B107" s="14">
        <v>757</v>
      </c>
      <c r="C107" s="15" t="s">
        <v>26</v>
      </c>
      <c r="D107" s="15" t="s">
        <v>26</v>
      </c>
      <c r="E107" s="15" t="s">
        <v>198</v>
      </c>
      <c r="F107" s="15" t="s">
        <v>31</v>
      </c>
      <c r="G107" s="74">
        <f t="shared" si="22"/>
        <v>0</v>
      </c>
      <c r="H107" s="74">
        <f t="shared" si="22"/>
        <v>0</v>
      </c>
      <c r="I107" s="74">
        <f t="shared" si="22"/>
        <v>0</v>
      </c>
    </row>
    <row r="108" spans="1:13" ht="19.5" hidden="1" customHeight="1">
      <c r="A108" s="86" t="s">
        <v>32</v>
      </c>
      <c r="B108" s="14">
        <v>757</v>
      </c>
      <c r="C108" s="15" t="s">
        <v>26</v>
      </c>
      <c r="D108" s="15" t="s">
        <v>26</v>
      </c>
      <c r="E108" s="15" t="s">
        <v>198</v>
      </c>
      <c r="F108" s="15" t="s">
        <v>33</v>
      </c>
      <c r="G108" s="74"/>
      <c r="H108" s="74">
        <v>0</v>
      </c>
      <c r="I108" s="74">
        <v>0</v>
      </c>
    </row>
    <row r="109" spans="1:13" s="18" customFormat="1" ht="61.5" hidden="1" customHeight="1">
      <c r="A109" s="203" t="s">
        <v>362</v>
      </c>
      <c r="B109" s="15" t="s">
        <v>52</v>
      </c>
      <c r="C109" s="15" t="s">
        <v>26</v>
      </c>
      <c r="D109" s="15" t="s">
        <v>26</v>
      </c>
      <c r="E109" s="15" t="s">
        <v>199</v>
      </c>
      <c r="F109" s="15"/>
      <c r="G109" s="74">
        <f>G110</f>
        <v>0</v>
      </c>
      <c r="H109" s="74">
        <f t="shared" ref="H109:I109" si="23">H110</f>
        <v>0</v>
      </c>
      <c r="I109" s="74">
        <f t="shared" si="23"/>
        <v>0</v>
      </c>
    </row>
    <row r="110" spans="1:13" s="18" customFormat="1" ht="25.5" hidden="1">
      <c r="A110" s="86" t="s">
        <v>30</v>
      </c>
      <c r="B110" s="15" t="s">
        <v>52</v>
      </c>
      <c r="C110" s="15" t="s">
        <v>26</v>
      </c>
      <c r="D110" s="15" t="s">
        <v>26</v>
      </c>
      <c r="E110" s="15" t="s">
        <v>199</v>
      </c>
      <c r="F110" s="15" t="s">
        <v>31</v>
      </c>
      <c r="G110" s="74">
        <f>G111</f>
        <v>0</v>
      </c>
      <c r="H110" s="74">
        <f>H111</f>
        <v>0</v>
      </c>
      <c r="I110" s="74">
        <f>I111</f>
        <v>0</v>
      </c>
    </row>
    <row r="111" spans="1:13" s="18" customFormat="1" hidden="1">
      <c r="A111" s="86" t="s">
        <v>32</v>
      </c>
      <c r="B111" s="15" t="s">
        <v>52</v>
      </c>
      <c r="C111" s="15" t="s">
        <v>26</v>
      </c>
      <c r="D111" s="15" t="s">
        <v>26</v>
      </c>
      <c r="E111" s="15" t="s">
        <v>199</v>
      </c>
      <c r="F111" s="15" t="s">
        <v>33</v>
      </c>
      <c r="G111" s="74"/>
      <c r="H111" s="74"/>
      <c r="I111" s="74"/>
    </row>
    <row r="112" spans="1:13" s="18" customFormat="1" ht="25.5">
      <c r="A112" s="86" t="s">
        <v>500</v>
      </c>
      <c r="B112" s="14">
        <v>757</v>
      </c>
      <c r="C112" s="15" t="s">
        <v>26</v>
      </c>
      <c r="D112" s="15" t="s">
        <v>26</v>
      </c>
      <c r="E112" s="15" t="s">
        <v>204</v>
      </c>
      <c r="F112" s="15"/>
      <c r="G112" s="102">
        <f>G113+G118</f>
        <v>328340</v>
      </c>
      <c r="H112" s="102">
        <f t="shared" ref="H112:M112" si="24">H113</f>
        <v>176950</v>
      </c>
      <c r="I112" s="102">
        <f t="shared" si="24"/>
        <v>178950</v>
      </c>
      <c r="J112" s="102">
        <f t="shared" si="24"/>
        <v>0</v>
      </c>
      <c r="K112" s="102">
        <f t="shared" si="24"/>
        <v>0</v>
      </c>
      <c r="L112" s="102">
        <f t="shared" si="24"/>
        <v>0</v>
      </c>
      <c r="M112" s="102">
        <f t="shared" si="24"/>
        <v>0</v>
      </c>
    </row>
    <row r="113" spans="1:12" s="18" customFormat="1">
      <c r="A113" s="86" t="s">
        <v>350</v>
      </c>
      <c r="B113" s="14">
        <v>757</v>
      </c>
      <c r="C113" s="15" t="s">
        <v>26</v>
      </c>
      <c r="D113" s="15" t="s">
        <v>26</v>
      </c>
      <c r="E113" s="15" t="s">
        <v>205</v>
      </c>
      <c r="F113" s="15"/>
      <c r="G113" s="102">
        <f>G114+G116</f>
        <v>147090</v>
      </c>
      <c r="H113" s="102">
        <f>H114+H116</f>
        <v>176950</v>
      </c>
      <c r="I113" s="102">
        <f>I114+I116</f>
        <v>178950</v>
      </c>
    </row>
    <row r="114" spans="1:12" s="18" customFormat="1" ht="25.5">
      <c r="A114" s="86" t="s">
        <v>36</v>
      </c>
      <c r="B114" s="14">
        <v>757</v>
      </c>
      <c r="C114" s="15" t="s">
        <v>26</v>
      </c>
      <c r="D114" s="15" t="s">
        <v>26</v>
      </c>
      <c r="E114" s="15" t="s">
        <v>205</v>
      </c>
      <c r="F114" s="15" t="s">
        <v>37</v>
      </c>
      <c r="G114" s="102">
        <f>G115</f>
        <v>102700</v>
      </c>
      <c r="H114" s="74">
        <f>H115</f>
        <v>131950</v>
      </c>
      <c r="I114" s="74">
        <f>I115</f>
        <v>131950</v>
      </c>
    </row>
    <row r="115" spans="1:12" s="18" customFormat="1" ht="25.5">
      <c r="A115" s="86" t="s">
        <v>38</v>
      </c>
      <c r="B115" s="14">
        <v>757</v>
      </c>
      <c r="C115" s="15" t="s">
        <v>26</v>
      </c>
      <c r="D115" s="15" t="s">
        <v>26</v>
      </c>
      <c r="E115" s="15" t="s">
        <v>205</v>
      </c>
      <c r="F115" s="15" t="s">
        <v>39</v>
      </c>
      <c r="G115" s="74">
        <v>102700</v>
      </c>
      <c r="H115" s="74">
        <v>131950</v>
      </c>
      <c r="I115" s="74">
        <v>131950</v>
      </c>
    </row>
    <row r="116" spans="1:12" s="18" customFormat="1" ht="25.5">
      <c r="A116" s="86" t="s">
        <v>30</v>
      </c>
      <c r="B116" s="15" t="s">
        <v>52</v>
      </c>
      <c r="C116" s="15" t="s">
        <v>26</v>
      </c>
      <c r="D116" s="15" t="s">
        <v>26</v>
      </c>
      <c r="E116" s="15" t="s">
        <v>205</v>
      </c>
      <c r="F116" s="15" t="s">
        <v>31</v>
      </c>
      <c r="G116" s="74">
        <f>G117</f>
        <v>44390</v>
      </c>
      <c r="H116" s="74">
        <f>H117</f>
        <v>45000</v>
      </c>
      <c r="I116" s="74">
        <f>I117</f>
        <v>47000</v>
      </c>
    </row>
    <row r="117" spans="1:12" s="18" customFormat="1">
      <c r="A117" s="86" t="s">
        <v>32</v>
      </c>
      <c r="B117" s="15" t="s">
        <v>52</v>
      </c>
      <c r="C117" s="15" t="s">
        <v>26</v>
      </c>
      <c r="D117" s="15" t="s">
        <v>26</v>
      </c>
      <c r="E117" s="15" t="s">
        <v>205</v>
      </c>
      <c r="F117" s="15" t="s">
        <v>33</v>
      </c>
      <c r="G117" s="74">
        <v>44390</v>
      </c>
      <c r="H117" s="74">
        <v>45000</v>
      </c>
      <c r="I117" s="74">
        <v>47000</v>
      </c>
    </row>
    <row r="118" spans="1:12" s="18" customFormat="1" ht="25.5">
      <c r="A118" s="86" t="s">
        <v>308</v>
      </c>
      <c r="B118" s="14">
        <v>757</v>
      </c>
      <c r="C118" s="15" t="s">
        <v>26</v>
      </c>
      <c r="D118" s="15" t="s">
        <v>26</v>
      </c>
      <c r="E118" s="15" t="s">
        <v>842</v>
      </c>
      <c r="F118" s="15"/>
      <c r="G118" s="102">
        <f>G119</f>
        <v>181250</v>
      </c>
      <c r="H118" s="74">
        <v>0</v>
      </c>
      <c r="I118" s="74">
        <v>0</v>
      </c>
    </row>
    <row r="119" spans="1:12" s="18" customFormat="1" ht="25.5">
      <c r="A119" s="86" t="s">
        <v>36</v>
      </c>
      <c r="B119" s="14">
        <v>757</v>
      </c>
      <c r="C119" s="15" t="s">
        <v>26</v>
      </c>
      <c r="D119" s="15" t="s">
        <v>26</v>
      </c>
      <c r="E119" s="15" t="s">
        <v>842</v>
      </c>
      <c r="F119" s="15" t="s">
        <v>37</v>
      </c>
      <c r="G119" s="102">
        <f>G120</f>
        <v>181250</v>
      </c>
      <c r="H119" s="74">
        <v>0</v>
      </c>
      <c r="I119" s="74">
        <v>0</v>
      </c>
    </row>
    <row r="120" spans="1:12" s="18" customFormat="1" ht="25.5">
      <c r="A120" s="86" t="s">
        <v>38</v>
      </c>
      <c r="B120" s="14">
        <v>757</v>
      </c>
      <c r="C120" s="15" t="s">
        <v>26</v>
      </c>
      <c r="D120" s="15" t="s">
        <v>26</v>
      </c>
      <c r="E120" s="15" t="s">
        <v>842</v>
      </c>
      <c r="F120" s="15" t="s">
        <v>39</v>
      </c>
      <c r="G120" s="74">
        <f>150000+31250</f>
        <v>181250</v>
      </c>
      <c r="H120" s="74">
        <v>0</v>
      </c>
      <c r="I120" s="74">
        <v>0</v>
      </c>
    </row>
    <row r="121" spans="1:12" s="22" customFormat="1">
      <c r="A121" s="212" t="s">
        <v>44</v>
      </c>
      <c r="B121" s="19">
        <v>757</v>
      </c>
      <c r="C121" s="20" t="s">
        <v>45</v>
      </c>
      <c r="D121" s="20"/>
      <c r="E121" s="20"/>
      <c r="F121" s="20"/>
      <c r="G121" s="111">
        <f>G122+G255</f>
        <v>135046155.99000001</v>
      </c>
      <c r="H121" s="12">
        <f>H122+H255</f>
        <v>130211942.90000001</v>
      </c>
      <c r="I121" s="12">
        <f>I122+I255</f>
        <v>127374487.95</v>
      </c>
      <c r="L121" s="21">
        <f>L122+G255</f>
        <v>120154191.34999999</v>
      </c>
    </row>
    <row r="122" spans="1:12">
      <c r="A122" s="86" t="s">
        <v>46</v>
      </c>
      <c r="B122" s="14">
        <v>757</v>
      </c>
      <c r="C122" s="15" t="s">
        <v>45</v>
      </c>
      <c r="D122" s="15" t="s">
        <v>19</v>
      </c>
      <c r="E122" s="15"/>
      <c r="F122" s="15"/>
      <c r="G122" s="102">
        <f>G136+G212+G216+G208+G241+G251+G123</f>
        <v>126995137.47</v>
      </c>
      <c r="H122" s="102">
        <f t="shared" ref="H122:I122" si="25">H136+H212+H216+H208+H241</f>
        <v>121857568.90000001</v>
      </c>
      <c r="I122" s="102">
        <f t="shared" si="25"/>
        <v>118951929.95</v>
      </c>
      <c r="L122" s="2">
        <f>L136</f>
        <v>112103172.83</v>
      </c>
    </row>
    <row r="123" spans="1:12">
      <c r="A123" s="86" t="s">
        <v>881</v>
      </c>
      <c r="B123" s="14">
        <v>757</v>
      </c>
      <c r="C123" s="15" t="s">
        <v>45</v>
      </c>
      <c r="D123" s="15" t="s">
        <v>19</v>
      </c>
      <c r="E123" s="15" t="s">
        <v>880</v>
      </c>
      <c r="F123" s="15"/>
      <c r="G123" s="89">
        <f>G133</f>
        <v>523396.52</v>
      </c>
      <c r="H123" s="89">
        <f t="shared" ref="H123:I123" si="26">H124+H127+H133+H136+H139+H171+H177+H180+H183+H185+H191+H130+H213+H210+H216+H162+H159+H165+H222</f>
        <v>168556030.90000001</v>
      </c>
      <c r="I123" s="89">
        <f t="shared" si="26"/>
        <v>165756617.94999999</v>
      </c>
      <c r="L123" s="2">
        <f>G124+G127+G133+G136+G139+G171+G177+G180+G183+G185+G191+G203</f>
        <v>172820350.03999999</v>
      </c>
    </row>
    <row r="124" spans="1:12" ht="40.5" hidden="1" customHeight="1">
      <c r="A124" s="16" t="s">
        <v>620</v>
      </c>
      <c r="B124" s="15" t="s">
        <v>52</v>
      </c>
      <c r="C124" s="15" t="s">
        <v>45</v>
      </c>
      <c r="D124" s="15" t="s">
        <v>19</v>
      </c>
      <c r="E124" s="15" t="s">
        <v>562</v>
      </c>
      <c r="F124" s="15"/>
      <c r="G124" s="89">
        <f>G125</f>
        <v>0</v>
      </c>
      <c r="H124" s="74">
        <v>0</v>
      </c>
      <c r="I124" s="74">
        <v>0</v>
      </c>
    </row>
    <row r="125" spans="1:12" ht="30" hidden="1" customHeight="1">
      <c r="A125" s="16" t="s">
        <v>99</v>
      </c>
      <c r="B125" s="15" t="s">
        <v>52</v>
      </c>
      <c r="C125" s="15" t="s">
        <v>45</v>
      </c>
      <c r="D125" s="15" t="s">
        <v>19</v>
      </c>
      <c r="E125" s="15" t="s">
        <v>562</v>
      </c>
      <c r="F125" s="15" t="s">
        <v>359</v>
      </c>
      <c r="G125" s="89">
        <f>G126</f>
        <v>0</v>
      </c>
      <c r="H125" s="74">
        <v>0</v>
      </c>
      <c r="I125" s="74">
        <v>0</v>
      </c>
    </row>
    <row r="126" spans="1:12" ht="91.5" hidden="1" customHeight="1">
      <c r="A126" s="50" t="s">
        <v>434</v>
      </c>
      <c r="B126" s="15" t="s">
        <v>52</v>
      </c>
      <c r="C126" s="15" t="s">
        <v>45</v>
      </c>
      <c r="D126" s="15" t="s">
        <v>19</v>
      </c>
      <c r="E126" s="15" t="s">
        <v>562</v>
      </c>
      <c r="F126" s="15" t="s">
        <v>433</v>
      </c>
      <c r="G126" s="89"/>
      <c r="H126" s="74">
        <v>0</v>
      </c>
      <c r="I126" s="74">
        <v>0</v>
      </c>
    </row>
    <row r="127" spans="1:12" ht="43.5" hidden="1" customHeight="1">
      <c r="A127" s="50" t="s">
        <v>621</v>
      </c>
      <c r="B127" s="15" t="s">
        <v>52</v>
      </c>
      <c r="C127" s="15" t="s">
        <v>45</v>
      </c>
      <c r="D127" s="15" t="s">
        <v>19</v>
      </c>
      <c r="E127" s="15" t="s">
        <v>564</v>
      </c>
      <c r="F127" s="15"/>
      <c r="G127" s="89">
        <f>G128</f>
        <v>0</v>
      </c>
      <c r="H127" s="74">
        <v>0</v>
      </c>
      <c r="I127" s="74">
        <v>0</v>
      </c>
    </row>
    <row r="128" spans="1:12" ht="39.75" hidden="1" customHeight="1">
      <c r="A128" s="16" t="s">
        <v>99</v>
      </c>
      <c r="B128" s="15" t="s">
        <v>52</v>
      </c>
      <c r="C128" s="15" t="s">
        <v>45</v>
      </c>
      <c r="D128" s="15" t="s">
        <v>19</v>
      </c>
      <c r="E128" s="15" t="s">
        <v>564</v>
      </c>
      <c r="F128" s="15" t="s">
        <v>359</v>
      </c>
      <c r="G128" s="89">
        <f>G129</f>
        <v>0</v>
      </c>
      <c r="H128" s="74">
        <v>0</v>
      </c>
      <c r="I128" s="74">
        <v>0</v>
      </c>
    </row>
    <row r="129" spans="1:12" ht="86.25" hidden="1" customHeight="1">
      <c r="A129" s="50" t="s">
        <v>434</v>
      </c>
      <c r="B129" s="15" t="s">
        <v>52</v>
      </c>
      <c r="C129" s="15" t="s">
        <v>45</v>
      </c>
      <c r="D129" s="15" t="s">
        <v>19</v>
      </c>
      <c r="E129" s="15" t="s">
        <v>564</v>
      </c>
      <c r="F129" s="15" t="s">
        <v>433</v>
      </c>
      <c r="G129" s="89"/>
      <c r="H129" s="74">
        <v>0</v>
      </c>
      <c r="I129" s="74">
        <v>0</v>
      </c>
    </row>
    <row r="130" spans="1:12" ht="48" hidden="1" customHeight="1">
      <c r="A130" s="84" t="s">
        <v>630</v>
      </c>
      <c r="B130" s="14">
        <v>757</v>
      </c>
      <c r="C130" s="15" t="s">
        <v>45</v>
      </c>
      <c r="D130" s="15" t="s">
        <v>19</v>
      </c>
      <c r="E130" s="15" t="s">
        <v>629</v>
      </c>
      <c r="F130" s="14"/>
      <c r="G130" s="102">
        <f t="shared" ref="G130:I131" si="27">G131</f>
        <v>0</v>
      </c>
      <c r="H130" s="74">
        <f t="shared" si="27"/>
        <v>0</v>
      </c>
      <c r="I130" s="74">
        <f t="shared" si="27"/>
        <v>0</v>
      </c>
    </row>
    <row r="131" spans="1:12" ht="25.5" hidden="1">
      <c r="A131" s="16" t="s">
        <v>30</v>
      </c>
      <c r="B131" s="14">
        <v>757</v>
      </c>
      <c r="C131" s="15" t="s">
        <v>45</v>
      </c>
      <c r="D131" s="15" t="s">
        <v>19</v>
      </c>
      <c r="E131" s="15" t="s">
        <v>629</v>
      </c>
      <c r="F131" s="15" t="s">
        <v>31</v>
      </c>
      <c r="G131" s="110">
        <f t="shared" si="27"/>
        <v>0</v>
      </c>
      <c r="H131" s="25">
        <f t="shared" si="27"/>
        <v>0</v>
      </c>
      <c r="I131" s="25">
        <f t="shared" si="27"/>
        <v>0</v>
      </c>
    </row>
    <row r="132" spans="1:12" hidden="1">
      <c r="A132" s="16" t="s">
        <v>32</v>
      </c>
      <c r="B132" s="14">
        <v>757</v>
      </c>
      <c r="C132" s="15" t="s">
        <v>45</v>
      </c>
      <c r="D132" s="15" t="s">
        <v>19</v>
      </c>
      <c r="E132" s="15" t="s">
        <v>629</v>
      </c>
      <c r="F132" s="15" t="s">
        <v>33</v>
      </c>
      <c r="G132" s="110"/>
      <c r="H132" s="25"/>
      <c r="I132" s="25"/>
    </row>
    <row r="133" spans="1:12" ht="42.75" customHeight="1">
      <c r="A133" s="210" t="s">
        <v>883</v>
      </c>
      <c r="B133" s="14">
        <v>757</v>
      </c>
      <c r="C133" s="15" t="s">
        <v>45</v>
      </c>
      <c r="D133" s="15" t="s">
        <v>19</v>
      </c>
      <c r="E133" s="15" t="s">
        <v>882</v>
      </c>
      <c r="F133" s="14"/>
      <c r="G133" s="102">
        <f t="shared" ref="G133:I134" si="28">G134</f>
        <v>523396.52</v>
      </c>
      <c r="H133" s="74">
        <f t="shared" si="28"/>
        <v>0</v>
      </c>
      <c r="I133" s="74">
        <f t="shared" si="28"/>
        <v>0</v>
      </c>
    </row>
    <row r="134" spans="1:12" ht="25.5">
      <c r="A134" s="86" t="s">
        <v>30</v>
      </c>
      <c r="B134" s="14">
        <v>757</v>
      </c>
      <c r="C134" s="15" t="s">
        <v>45</v>
      </c>
      <c r="D134" s="15" t="s">
        <v>19</v>
      </c>
      <c r="E134" s="15" t="s">
        <v>882</v>
      </c>
      <c r="F134" s="15" t="s">
        <v>31</v>
      </c>
      <c r="G134" s="110">
        <f t="shared" si="28"/>
        <v>523396.52</v>
      </c>
      <c r="H134" s="25">
        <f t="shared" si="28"/>
        <v>0</v>
      </c>
      <c r="I134" s="25">
        <f t="shared" si="28"/>
        <v>0</v>
      </c>
    </row>
    <row r="135" spans="1:12">
      <c r="A135" s="86" t="s">
        <v>32</v>
      </c>
      <c r="B135" s="14">
        <v>757</v>
      </c>
      <c r="C135" s="15" t="s">
        <v>45</v>
      </c>
      <c r="D135" s="15" t="s">
        <v>19</v>
      </c>
      <c r="E135" s="15" t="s">
        <v>882</v>
      </c>
      <c r="F135" s="15" t="s">
        <v>33</v>
      </c>
      <c r="G135" s="25">
        <v>523396.52</v>
      </c>
      <c r="H135" s="25">
        <v>0</v>
      </c>
      <c r="I135" s="25">
        <v>0</v>
      </c>
    </row>
    <row r="136" spans="1:12" ht="25.5">
      <c r="A136" s="86" t="s">
        <v>506</v>
      </c>
      <c r="B136" s="14">
        <v>757</v>
      </c>
      <c r="C136" s="15" t="s">
        <v>45</v>
      </c>
      <c r="D136" s="15" t="s">
        <v>19</v>
      </c>
      <c r="E136" s="15" t="s">
        <v>200</v>
      </c>
      <c r="F136" s="15"/>
      <c r="G136" s="89">
        <f>G137+G140+G146+G149+G152+G184+G190+G193+G196+G198+G204+G143+G226+G223+G229+G175+G172+G178+G235+G181+G238+G187</f>
        <v>125516604.95</v>
      </c>
      <c r="H136" s="89">
        <f t="shared" ref="H136:I136" si="29">H137+H140+H146+H149+H152+H184+H190+H193+H196+H198+H204+H143+H226+H223+H229+H175+H172+H178+H235</f>
        <v>121857568.90000001</v>
      </c>
      <c r="I136" s="89">
        <f t="shared" si="29"/>
        <v>118951929.95</v>
      </c>
      <c r="L136" s="2">
        <f>G137+G140+G146+G149+G152+G184+G190+G193+G196+G198+G204+G216</f>
        <v>112103172.83</v>
      </c>
    </row>
    <row r="137" spans="1:12" ht="40.5" hidden="1" customHeight="1">
      <c r="A137" s="16" t="s">
        <v>620</v>
      </c>
      <c r="B137" s="15" t="s">
        <v>52</v>
      </c>
      <c r="C137" s="15" t="s">
        <v>45</v>
      </c>
      <c r="D137" s="15" t="s">
        <v>19</v>
      </c>
      <c r="E137" s="15" t="s">
        <v>562</v>
      </c>
      <c r="F137" s="15"/>
      <c r="G137" s="89">
        <f>G138</f>
        <v>0</v>
      </c>
      <c r="H137" s="74">
        <v>0</v>
      </c>
      <c r="I137" s="74">
        <v>0</v>
      </c>
    </row>
    <row r="138" spans="1:12" ht="30" hidden="1" customHeight="1">
      <c r="A138" s="16" t="s">
        <v>99</v>
      </c>
      <c r="B138" s="15" t="s">
        <v>52</v>
      </c>
      <c r="C138" s="15" t="s">
        <v>45</v>
      </c>
      <c r="D138" s="15" t="s">
        <v>19</v>
      </c>
      <c r="E138" s="15" t="s">
        <v>562</v>
      </c>
      <c r="F138" s="15" t="s">
        <v>359</v>
      </c>
      <c r="G138" s="89">
        <f>G139</f>
        <v>0</v>
      </c>
      <c r="H138" s="74">
        <v>0</v>
      </c>
      <c r="I138" s="74">
        <v>0</v>
      </c>
    </row>
    <row r="139" spans="1:12" ht="91.5" hidden="1" customHeight="1">
      <c r="A139" s="50" t="s">
        <v>434</v>
      </c>
      <c r="B139" s="15" t="s">
        <v>52</v>
      </c>
      <c r="C139" s="15" t="s">
        <v>45</v>
      </c>
      <c r="D139" s="15" t="s">
        <v>19</v>
      </c>
      <c r="E139" s="15" t="s">
        <v>562</v>
      </c>
      <c r="F139" s="15" t="s">
        <v>433</v>
      </c>
      <c r="G139" s="89"/>
      <c r="H139" s="74">
        <v>0</v>
      </c>
      <c r="I139" s="74">
        <v>0</v>
      </c>
    </row>
    <row r="140" spans="1:12" ht="43.5" hidden="1" customHeight="1">
      <c r="A140" s="50" t="s">
        <v>621</v>
      </c>
      <c r="B140" s="15" t="s">
        <v>52</v>
      </c>
      <c r="C140" s="15" t="s">
        <v>45</v>
      </c>
      <c r="D140" s="15" t="s">
        <v>19</v>
      </c>
      <c r="E140" s="15" t="s">
        <v>564</v>
      </c>
      <c r="F140" s="15"/>
      <c r="G140" s="89">
        <f>G141</f>
        <v>0</v>
      </c>
      <c r="H140" s="74">
        <v>0</v>
      </c>
      <c r="I140" s="74">
        <v>0</v>
      </c>
    </row>
    <row r="141" spans="1:12" ht="39.75" hidden="1" customHeight="1">
      <c r="A141" s="16" t="s">
        <v>99</v>
      </c>
      <c r="B141" s="15" t="s">
        <v>52</v>
      </c>
      <c r="C141" s="15" t="s">
        <v>45</v>
      </c>
      <c r="D141" s="15" t="s">
        <v>19</v>
      </c>
      <c r="E141" s="15" t="s">
        <v>564</v>
      </c>
      <c r="F141" s="15" t="s">
        <v>359</v>
      </c>
      <c r="G141" s="89">
        <f>G142</f>
        <v>0</v>
      </c>
      <c r="H141" s="74">
        <v>0</v>
      </c>
      <c r="I141" s="74">
        <v>0</v>
      </c>
    </row>
    <row r="142" spans="1:12" ht="86.25" hidden="1" customHeight="1">
      <c r="A142" s="50" t="s">
        <v>434</v>
      </c>
      <c r="B142" s="15" t="s">
        <v>52</v>
      </c>
      <c r="C142" s="15" t="s">
        <v>45</v>
      </c>
      <c r="D142" s="15" t="s">
        <v>19</v>
      </c>
      <c r="E142" s="15" t="s">
        <v>564</v>
      </c>
      <c r="F142" s="15" t="s">
        <v>433</v>
      </c>
      <c r="G142" s="89"/>
      <c r="H142" s="74">
        <v>0</v>
      </c>
      <c r="I142" s="74">
        <v>0</v>
      </c>
    </row>
    <row r="143" spans="1:12" ht="48" hidden="1" customHeight="1">
      <c r="A143" s="84" t="s">
        <v>630</v>
      </c>
      <c r="B143" s="14">
        <v>757</v>
      </c>
      <c r="C143" s="15" t="s">
        <v>45</v>
      </c>
      <c r="D143" s="15" t="s">
        <v>19</v>
      </c>
      <c r="E143" s="15" t="s">
        <v>629</v>
      </c>
      <c r="F143" s="14"/>
      <c r="G143" s="102">
        <f t="shared" ref="G143:I144" si="30">G144</f>
        <v>0</v>
      </c>
      <c r="H143" s="74">
        <f t="shared" si="30"/>
        <v>0</v>
      </c>
      <c r="I143" s="74">
        <f t="shared" si="30"/>
        <v>0</v>
      </c>
    </row>
    <row r="144" spans="1:12" ht="25.5" hidden="1">
      <c r="A144" s="16" t="s">
        <v>30</v>
      </c>
      <c r="B144" s="14">
        <v>757</v>
      </c>
      <c r="C144" s="15" t="s">
        <v>45</v>
      </c>
      <c r="D144" s="15" t="s">
        <v>19</v>
      </c>
      <c r="E144" s="15" t="s">
        <v>629</v>
      </c>
      <c r="F144" s="15" t="s">
        <v>31</v>
      </c>
      <c r="G144" s="110">
        <f t="shared" si="30"/>
        <v>0</v>
      </c>
      <c r="H144" s="25">
        <f t="shared" si="30"/>
        <v>0</v>
      </c>
      <c r="I144" s="25">
        <f t="shared" si="30"/>
        <v>0</v>
      </c>
    </row>
    <row r="145" spans="1:9" hidden="1">
      <c r="A145" s="16" t="s">
        <v>32</v>
      </c>
      <c r="B145" s="14">
        <v>757</v>
      </c>
      <c r="C145" s="15" t="s">
        <v>45</v>
      </c>
      <c r="D145" s="15" t="s">
        <v>19</v>
      </c>
      <c r="E145" s="15" t="s">
        <v>629</v>
      </c>
      <c r="F145" s="15" t="s">
        <v>33</v>
      </c>
      <c r="G145" s="110"/>
      <c r="H145" s="25"/>
      <c r="I145" s="25"/>
    </row>
    <row r="146" spans="1:9" ht="92.25" customHeight="1">
      <c r="A146" s="210" t="s">
        <v>383</v>
      </c>
      <c r="B146" s="14">
        <v>757</v>
      </c>
      <c r="C146" s="15" t="s">
        <v>45</v>
      </c>
      <c r="D146" s="15" t="s">
        <v>19</v>
      </c>
      <c r="E146" s="15" t="s">
        <v>690</v>
      </c>
      <c r="F146" s="14"/>
      <c r="G146" s="102">
        <f t="shared" ref="G146:I147" si="31">G147</f>
        <v>1157335</v>
      </c>
      <c r="H146" s="74">
        <f t="shared" si="31"/>
        <v>1157334.95</v>
      </c>
      <c r="I146" s="74">
        <f t="shared" si="31"/>
        <v>1157334.95</v>
      </c>
    </row>
    <row r="147" spans="1:9" ht="25.5">
      <c r="A147" s="86" t="s">
        <v>30</v>
      </c>
      <c r="B147" s="14">
        <v>757</v>
      </c>
      <c r="C147" s="15" t="s">
        <v>45</v>
      </c>
      <c r="D147" s="15" t="s">
        <v>19</v>
      </c>
      <c r="E147" s="15" t="s">
        <v>690</v>
      </c>
      <c r="F147" s="15" t="s">
        <v>31</v>
      </c>
      <c r="G147" s="110">
        <f t="shared" si="31"/>
        <v>1157335</v>
      </c>
      <c r="H147" s="25">
        <f t="shared" si="31"/>
        <v>1157334.95</v>
      </c>
      <c r="I147" s="25">
        <f t="shared" si="31"/>
        <v>1157334.95</v>
      </c>
    </row>
    <row r="148" spans="1:9">
      <c r="A148" s="86" t="s">
        <v>32</v>
      </c>
      <c r="B148" s="14">
        <v>757</v>
      </c>
      <c r="C148" s="15" t="s">
        <v>45</v>
      </c>
      <c r="D148" s="15" t="s">
        <v>19</v>
      </c>
      <c r="E148" s="15" t="s">
        <v>690</v>
      </c>
      <c r="F148" s="15" t="s">
        <v>33</v>
      </c>
      <c r="G148" s="25">
        <f>1157335</f>
        <v>1157335</v>
      </c>
      <c r="H148" s="25">
        <f>1157334.95</f>
        <v>1157334.95</v>
      </c>
      <c r="I148" s="25">
        <f>1157334.95</f>
        <v>1157334.95</v>
      </c>
    </row>
    <row r="149" spans="1:9">
      <c r="A149" s="211" t="s">
        <v>48</v>
      </c>
      <c r="B149" s="14">
        <v>757</v>
      </c>
      <c r="C149" s="15" t="s">
        <v>45</v>
      </c>
      <c r="D149" s="15" t="s">
        <v>19</v>
      </c>
      <c r="E149" s="15" t="s">
        <v>206</v>
      </c>
      <c r="F149" s="14"/>
      <c r="G149" s="8">
        <f>G150</f>
        <v>63852600.380000003</v>
      </c>
      <c r="H149" s="8">
        <f t="shared" ref="H149:I149" si="32">H150</f>
        <v>60393991.890000001</v>
      </c>
      <c r="I149" s="8">
        <f t="shared" si="32"/>
        <v>64109409.289999999</v>
      </c>
    </row>
    <row r="150" spans="1:9" ht="49.5" customHeight="1">
      <c r="A150" s="86" t="s">
        <v>30</v>
      </c>
      <c r="B150" s="14">
        <v>757</v>
      </c>
      <c r="C150" s="15" t="s">
        <v>45</v>
      </c>
      <c r="D150" s="15" t="s">
        <v>19</v>
      </c>
      <c r="E150" s="15" t="s">
        <v>206</v>
      </c>
      <c r="F150" s="15" t="s">
        <v>31</v>
      </c>
      <c r="G150" s="8">
        <f>G151</f>
        <v>63852600.380000003</v>
      </c>
      <c r="H150" s="8">
        <f>H151</f>
        <v>60393991.890000001</v>
      </c>
      <c r="I150" s="8">
        <f>I151</f>
        <v>64109409.289999999</v>
      </c>
    </row>
    <row r="151" spans="1:9">
      <c r="A151" s="86" t="s">
        <v>32</v>
      </c>
      <c r="B151" s="14">
        <v>757</v>
      </c>
      <c r="C151" s="15" t="s">
        <v>45</v>
      </c>
      <c r="D151" s="15" t="s">
        <v>19</v>
      </c>
      <c r="E151" s="15" t="s">
        <v>206</v>
      </c>
      <c r="F151" s="15" t="s">
        <v>33</v>
      </c>
      <c r="G151" s="8">
        <f>63515643.79+336956.59</f>
        <v>63852600.380000003</v>
      </c>
      <c r="H151" s="8">
        <v>60393991.890000001</v>
      </c>
      <c r="I151" s="8">
        <v>64109409.289999999</v>
      </c>
    </row>
    <row r="152" spans="1:9" ht="82.5" hidden="1" customHeight="1">
      <c r="A152" s="86" t="s">
        <v>596</v>
      </c>
      <c r="B152" s="14">
        <v>757</v>
      </c>
      <c r="C152" s="15" t="s">
        <v>45</v>
      </c>
      <c r="D152" s="15" t="s">
        <v>19</v>
      </c>
      <c r="E152" s="15" t="s">
        <v>595</v>
      </c>
      <c r="F152" s="15"/>
      <c r="G152" s="8">
        <f>G153+G158+G161+G164</f>
        <v>0</v>
      </c>
      <c r="H152" s="8">
        <f t="shared" ref="H152:I152" si="33">H153</f>
        <v>0</v>
      </c>
      <c r="I152" s="8">
        <f t="shared" si="33"/>
        <v>0</v>
      </c>
    </row>
    <row r="153" spans="1:9" ht="91.5" hidden="1" customHeight="1">
      <c r="A153" s="211" t="s">
        <v>594</v>
      </c>
      <c r="B153" s="14">
        <v>757</v>
      </c>
      <c r="C153" s="15" t="s">
        <v>45</v>
      </c>
      <c r="D153" s="15" t="s">
        <v>19</v>
      </c>
      <c r="E153" s="15" t="s">
        <v>593</v>
      </c>
      <c r="F153" s="14"/>
      <c r="G153" s="8">
        <f>G154+G156</f>
        <v>0</v>
      </c>
      <c r="H153" s="74">
        <v>0</v>
      </c>
      <c r="I153" s="74">
        <v>0</v>
      </c>
    </row>
    <row r="154" spans="1:9" ht="25.5" hidden="1">
      <c r="A154" s="16" t="s">
        <v>30</v>
      </c>
      <c r="B154" s="14">
        <v>757</v>
      </c>
      <c r="C154" s="15" t="s">
        <v>45</v>
      </c>
      <c r="D154" s="15" t="s">
        <v>19</v>
      </c>
      <c r="E154" s="15" t="s">
        <v>593</v>
      </c>
      <c r="F154" s="15" t="s">
        <v>31</v>
      </c>
      <c r="G154" s="8">
        <f>G155</f>
        <v>0</v>
      </c>
      <c r="H154" s="8">
        <f>H155</f>
        <v>0</v>
      </c>
      <c r="I154" s="8">
        <f>I155</f>
        <v>0</v>
      </c>
    </row>
    <row r="155" spans="1:9" hidden="1">
      <c r="A155" s="16" t="s">
        <v>32</v>
      </c>
      <c r="B155" s="14">
        <v>757</v>
      </c>
      <c r="C155" s="15" t="s">
        <v>45</v>
      </c>
      <c r="D155" s="15" t="s">
        <v>19</v>
      </c>
      <c r="E155" s="15" t="s">
        <v>593</v>
      </c>
      <c r="F155" s="15" t="s">
        <v>33</v>
      </c>
      <c r="G155" s="8"/>
      <c r="H155" s="74">
        <v>0</v>
      </c>
      <c r="I155" s="74">
        <v>0</v>
      </c>
    </row>
    <row r="156" spans="1:9" hidden="1">
      <c r="A156" s="16" t="s">
        <v>163</v>
      </c>
      <c r="B156" s="14">
        <v>757</v>
      </c>
      <c r="C156" s="15" t="s">
        <v>45</v>
      </c>
      <c r="D156" s="15" t="s">
        <v>19</v>
      </c>
      <c r="E156" s="15" t="s">
        <v>593</v>
      </c>
      <c r="F156" s="15" t="s">
        <v>164</v>
      </c>
      <c r="G156" s="8">
        <f>G157</f>
        <v>0</v>
      </c>
      <c r="H156" s="74">
        <v>0</v>
      </c>
      <c r="I156" s="74">
        <v>0</v>
      </c>
    </row>
    <row r="157" spans="1:9" hidden="1">
      <c r="A157" s="16" t="s">
        <v>177</v>
      </c>
      <c r="B157" s="14">
        <v>757</v>
      </c>
      <c r="C157" s="15" t="s">
        <v>45</v>
      </c>
      <c r="D157" s="15" t="s">
        <v>19</v>
      </c>
      <c r="E157" s="15" t="s">
        <v>593</v>
      </c>
      <c r="F157" s="15" t="s">
        <v>178</v>
      </c>
      <c r="G157" s="8"/>
      <c r="H157" s="74">
        <v>0</v>
      </c>
      <c r="I157" s="74">
        <v>0</v>
      </c>
    </row>
    <row r="158" spans="1:9" ht="77.25" hidden="1" customHeight="1">
      <c r="A158" s="23" t="s">
        <v>598</v>
      </c>
      <c r="B158" s="14">
        <v>757</v>
      </c>
      <c r="C158" s="15" t="s">
        <v>45</v>
      </c>
      <c r="D158" s="15" t="s">
        <v>19</v>
      </c>
      <c r="E158" s="15" t="s">
        <v>597</v>
      </c>
      <c r="F158" s="14"/>
      <c r="G158" s="8">
        <f>G159</f>
        <v>0</v>
      </c>
      <c r="H158" s="74">
        <v>0</v>
      </c>
      <c r="I158" s="74">
        <v>0</v>
      </c>
    </row>
    <row r="159" spans="1:9" ht="25.5" hidden="1">
      <c r="A159" s="16" t="s">
        <v>30</v>
      </c>
      <c r="B159" s="14">
        <v>757</v>
      </c>
      <c r="C159" s="15" t="s">
        <v>45</v>
      </c>
      <c r="D159" s="15" t="s">
        <v>19</v>
      </c>
      <c r="E159" s="15" t="s">
        <v>597</v>
      </c>
      <c r="F159" s="15" t="s">
        <v>31</v>
      </c>
      <c r="G159" s="8">
        <f>G160</f>
        <v>0</v>
      </c>
      <c r="H159" s="8">
        <f>H160</f>
        <v>0</v>
      </c>
      <c r="I159" s="8">
        <f>I160</f>
        <v>0</v>
      </c>
    </row>
    <row r="160" spans="1:9" hidden="1">
      <c r="A160" s="16" t="s">
        <v>32</v>
      </c>
      <c r="B160" s="14">
        <v>757</v>
      </c>
      <c r="C160" s="15" t="s">
        <v>45</v>
      </c>
      <c r="D160" s="15" t="s">
        <v>19</v>
      </c>
      <c r="E160" s="15" t="s">
        <v>597</v>
      </c>
      <c r="F160" s="15" t="s">
        <v>33</v>
      </c>
      <c r="G160" s="8"/>
      <c r="H160" s="74">
        <v>0</v>
      </c>
      <c r="I160" s="74">
        <v>0</v>
      </c>
    </row>
    <row r="161" spans="1:9" ht="73.5" hidden="1" customHeight="1">
      <c r="A161" s="23" t="s">
        <v>599</v>
      </c>
      <c r="B161" s="14">
        <v>757</v>
      </c>
      <c r="C161" s="15" t="s">
        <v>45</v>
      </c>
      <c r="D161" s="15" t="s">
        <v>19</v>
      </c>
      <c r="E161" s="15" t="s">
        <v>600</v>
      </c>
      <c r="F161" s="14"/>
      <c r="G161" s="8">
        <f>G162</f>
        <v>0</v>
      </c>
      <c r="H161" s="74">
        <v>0</v>
      </c>
      <c r="I161" s="74">
        <v>0</v>
      </c>
    </row>
    <row r="162" spans="1:9" ht="25.5" hidden="1">
      <c r="A162" s="16" t="s">
        <v>30</v>
      </c>
      <c r="B162" s="14">
        <v>757</v>
      </c>
      <c r="C162" s="15" t="s">
        <v>45</v>
      </c>
      <c r="D162" s="15" t="s">
        <v>19</v>
      </c>
      <c r="E162" s="15" t="s">
        <v>600</v>
      </c>
      <c r="F162" s="15" t="s">
        <v>31</v>
      </c>
      <c r="G162" s="8">
        <f>G163</f>
        <v>0</v>
      </c>
      <c r="H162" s="8">
        <f>H163</f>
        <v>0</v>
      </c>
      <c r="I162" s="8">
        <f>I163</f>
        <v>0</v>
      </c>
    </row>
    <row r="163" spans="1:9" hidden="1">
      <c r="A163" s="16" t="s">
        <v>32</v>
      </c>
      <c r="B163" s="14">
        <v>757</v>
      </c>
      <c r="C163" s="15" t="s">
        <v>45</v>
      </c>
      <c r="D163" s="15" t="s">
        <v>19</v>
      </c>
      <c r="E163" s="15" t="s">
        <v>600</v>
      </c>
      <c r="F163" s="15" t="s">
        <v>33</v>
      </c>
      <c r="G163" s="8"/>
      <c r="H163" s="74">
        <v>0</v>
      </c>
      <c r="I163" s="74">
        <v>0</v>
      </c>
    </row>
    <row r="164" spans="1:9" ht="68.25" hidden="1" customHeight="1">
      <c r="A164" s="23" t="s">
        <v>602</v>
      </c>
      <c r="B164" s="14">
        <v>757</v>
      </c>
      <c r="C164" s="15" t="s">
        <v>45</v>
      </c>
      <c r="D164" s="15" t="s">
        <v>19</v>
      </c>
      <c r="E164" s="15" t="s">
        <v>601</v>
      </c>
      <c r="F164" s="14"/>
      <c r="G164" s="8">
        <f>G170+G165</f>
        <v>0</v>
      </c>
      <c r="H164" s="8">
        <f t="shared" ref="H164:I164" si="34">H170+H165</f>
        <v>0</v>
      </c>
      <c r="I164" s="8">
        <f t="shared" si="34"/>
        <v>0</v>
      </c>
    </row>
    <row r="165" spans="1:9" ht="19.5" hidden="1" customHeight="1">
      <c r="A165" s="198" t="s">
        <v>163</v>
      </c>
      <c r="B165" s="14">
        <v>757</v>
      </c>
      <c r="C165" s="15" t="s">
        <v>45</v>
      </c>
      <c r="D165" s="15" t="s">
        <v>19</v>
      </c>
      <c r="E165" s="15" t="s">
        <v>601</v>
      </c>
      <c r="F165" s="14">
        <v>500</v>
      </c>
      <c r="G165" s="8">
        <f>G167</f>
        <v>0</v>
      </c>
      <c r="H165" s="74"/>
      <c r="I165" s="74"/>
    </row>
    <row r="166" spans="1:9" ht="49.5" hidden="1" customHeight="1">
      <c r="A166" s="86"/>
      <c r="B166" s="14"/>
      <c r="C166" s="15"/>
      <c r="D166" s="15"/>
      <c r="E166" s="15"/>
      <c r="F166" s="15"/>
      <c r="G166" s="8"/>
      <c r="H166" s="8"/>
      <c r="I166" s="8"/>
    </row>
    <row r="167" spans="1:9" ht="21.75" hidden="1" customHeight="1">
      <c r="A167" s="198" t="s">
        <v>185</v>
      </c>
      <c r="B167" s="14">
        <v>757</v>
      </c>
      <c r="C167" s="15" t="s">
        <v>45</v>
      </c>
      <c r="D167" s="15" t="s">
        <v>19</v>
      </c>
      <c r="E167" s="15" t="s">
        <v>601</v>
      </c>
      <c r="F167" s="14">
        <v>520</v>
      </c>
      <c r="G167" s="8"/>
      <c r="H167" s="74"/>
      <c r="I167" s="74"/>
    </row>
    <row r="168" spans="1:9" ht="49.5" hidden="1" customHeight="1">
      <c r="A168" s="86"/>
      <c r="B168" s="14"/>
      <c r="C168" s="15"/>
      <c r="D168" s="15"/>
      <c r="E168" s="15"/>
      <c r="F168" s="15"/>
      <c r="G168" s="8"/>
      <c r="H168" s="8"/>
      <c r="I168" s="8"/>
    </row>
    <row r="169" spans="1:9" hidden="1">
      <c r="A169" s="86"/>
      <c r="B169" s="14"/>
      <c r="C169" s="15"/>
      <c r="D169" s="15"/>
      <c r="E169" s="15"/>
      <c r="F169" s="15"/>
      <c r="G169" s="8"/>
      <c r="H169" s="8"/>
      <c r="I169" s="8"/>
    </row>
    <row r="170" spans="1:9" hidden="1">
      <c r="A170" s="16" t="s">
        <v>64</v>
      </c>
      <c r="B170" s="14">
        <v>757</v>
      </c>
      <c r="C170" s="15" t="s">
        <v>45</v>
      </c>
      <c r="D170" s="15" t="s">
        <v>19</v>
      </c>
      <c r="E170" s="15" t="s">
        <v>601</v>
      </c>
      <c r="F170" s="15" t="s">
        <v>65</v>
      </c>
      <c r="G170" s="8">
        <f>G171</f>
        <v>0</v>
      </c>
      <c r="H170" s="8">
        <f>H171</f>
        <v>0</v>
      </c>
      <c r="I170" s="8">
        <f>I171</f>
        <v>0</v>
      </c>
    </row>
    <row r="171" spans="1:9" hidden="1">
      <c r="A171" s="86" t="s">
        <v>187</v>
      </c>
      <c r="B171" s="14">
        <v>757</v>
      </c>
      <c r="C171" s="15" t="s">
        <v>45</v>
      </c>
      <c r="D171" s="15" t="s">
        <v>19</v>
      </c>
      <c r="E171" s="15" t="s">
        <v>601</v>
      </c>
      <c r="F171" s="15" t="s">
        <v>188</v>
      </c>
      <c r="G171" s="8"/>
      <c r="H171" s="74">
        <v>0</v>
      </c>
      <c r="I171" s="74">
        <v>0</v>
      </c>
    </row>
    <row r="172" spans="1:9" ht="31.5" customHeight="1">
      <c r="A172" s="211" t="s">
        <v>859</v>
      </c>
      <c r="B172" s="14">
        <v>757</v>
      </c>
      <c r="C172" s="15" t="s">
        <v>45</v>
      </c>
      <c r="D172" s="15" t="s">
        <v>19</v>
      </c>
      <c r="E172" s="15" t="s">
        <v>784</v>
      </c>
      <c r="F172" s="14"/>
      <c r="G172" s="8">
        <f>G173</f>
        <v>150000</v>
      </c>
      <c r="H172" s="8">
        <f t="shared" ref="H172:I172" si="35">H173</f>
        <v>0</v>
      </c>
      <c r="I172" s="8">
        <f t="shared" si="35"/>
        <v>0</v>
      </c>
    </row>
    <row r="173" spans="1:9" ht="49.5" customHeight="1">
      <c r="A173" s="86" t="s">
        <v>30</v>
      </c>
      <c r="B173" s="14">
        <v>757</v>
      </c>
      <c r="C173" s="15" t="s">
        <v>45</v>
      </c>
      <c r="D173" s="15" t="s">
        <v>19</v>
      </c>
      <c r="E173" s="15" t="s">
        <v>784</v>
      </c>
      <c r="F173" s="15" t="s">
        <v>31</v>
      </c>
      <c r="G173" s="8">
        <f>G174</f>
        <v>150000</v>
      </c>
      <c r="H173" s="8">
        <f>H174</f>
        <v>0</v>
      </c>
      <c r="I173" s="8">
        <f>I174</f>
        <v>0</v>
      </c>
    </row>
    <row r="174" spans="1:9">
      <c r="A174" s="86" t="s">
        <v>32</v>
      </c>
      <c r="B174" s="14">
        <v>757</v>
      </c>
      <c r="C174" s="15" t="s">
        <v>45</v>
      </c>
      <c r="D174" s="15" t="s">
        <v>19</v>
      </c>
      <c r="E174" s="15" t="s">
        <v>784</v>
      </c>
      <c r="F174" s="15" t="s">
        <v>33</v>
      </c>
      <c r="G174" s="8">
        <f>100962.74+49037.26</f>
        <v>150000</v>
      </c>
      <c r="H174" s="8"/>
      <c r="I174" s="8"/>
    </row>
    <row r="175" spans="1:9" ht="31.5" customHeight="1">
      <c r="A175" s="211" t="s">
        <v>789</v>
      </c>
      <c r="B175" s="14">
        <v>757</v>
      </c>
      <c r="C175" s="15" t="s">
        <v>45</v>
      </c>
      <c r="D175" s="15" t="s">
        <v>19</v>
      </c>
      <c r="E175" s="15" t="s">
        <v>783</v>
      </c>
      <c r="F175" s="14"/>
      <c r="G175" s="8">
        <f>G176</f>
        <v>137000</v>
      </c>
      <c r="H175" s="8">
        <f t="shared" ref="H175:I175" si="36">H176</f>
        <v>0</v>
      </c>
      <c r="I175" s="8">
        <f t="shared" si="36"/>
        <v>0</v>
      </c>
    </row>
    <row r="176" spans="1:9" ht="49.5" customHeight="1">
      <c r="A176" s="86" t="s">
        <v>30</v>
      </c>
      <c r="B176" s="14">
        <v>757</v>
      </c>
      <c r="C176" s="15" t="s">
        <v>45</v>
      </c>
      <c r="D176" s="15" t="s">
        <v>19</v>
      </c>
      <c r="E176" s="15" t="s">
        <v>783</v>
      </c>
      <c r="F176" s="15" t="s">
        <v>31</v>
      </c>
      <c r="G176" s="8">
        <f>G177</f>
        <v>137000</v>
      </c>
      <c r="H176" s="8">
        <f>H177</f>
        <v>0</v>
      </c>
      <c r="I176" s="8">
        <f>I177</f>
        <v>0</v>
      </c>
    </row>
    <row r="177" spans="1:9">
      <c r="A177" s="86" t="s">
        <v>32</v>
      </c>
      <c r="B177" s="14">
        <v>757</v>
      </c>
      <c r="C177" s="15" t="s">
        <v>45</v>
      </c>
      <c r="D177" s="15" t="s">
        <v>19</v>
      </c>
      <c r="E177" s="15" t="s">
        <v>783</v>
      </c>
      <c r="F177" s="15" t="s">
        <v>33</v>
      </c>
      <c r="G177" s="8">
        <v>137000</v>
      </c>
      <c r="H177" s="8"/>
      <c r="I177" s="8"/>
    </row>
    <row r="178" spans="1:9" ht="54.75" customHeight="1">
      <c r="A178" s="211" t="s">
        <v>788</v>
      </c>
      <c r="B178" s="14">
        <v>757</v>
      </c>
      <c r="C178" s="15" t="s">
        <v>45</v>
      </c>
      <c r="D178" s="15" t="s">
        <v>19</v>
      </c>
      <c r="E178" s="15" t="s">
        <v>787</v>
      </c>
      <c r="F178" s="14"/>
      <c r="G178" s="8">
        <f>G179</f>
        <v>10000</v>
      </c>
      <c r="H178" s="8">
        <f t="shared" ref="H178:I178" si="37">H179</f>
        <v>0</v>
      </c>
      <c r="I178" s="8">
        <f t="shared" si="37"/>
        <v>0</v>
      </c>
    </row>
    <row r="179" spans="1:9" ht="49.5" customHeight="1">
      <c r="A179" s="86" t="s">
        <v>30</v>
      </c>
      <c r="B179" s="14">
        <v>757</v>
      </c>
      <c r="C179" s="15" t="s">
        <v>45</v>
      </c>
      <c r="D179" s="15" t="s">
        <v>19</v>
      </c>
      <c r="E179" s="15" t="s">
        <v>787</v>
      </c>
      <c r="F179" s="15" t="s">
        <v>31</v>
      </c>
      <c r="G179" s="8">
        <f>G180</f>
        <v>10000</v>
      </c>
      <c r="H179" s="8">
        <f>H180</f>
        <v>0</v>
      </c>
      <c r="I179" s="8">
        <f>I180</f>
        <v>0</v>
      </c>
    </row>
    <row r="180" spans="1:9">
      <c r="A180" s="86" t="s">
        <v>32</v>
      </c>
      <c r="B180" s="14">
        <v>757</v>
      </c>
      <c r="C180" s="15" t="s">
        <v>45</v>
      </c>
      <c r="D180" s="15" t="s">
        <v>19</v>
      </c>
      <c r="E180" s="15" t="s">
        <v>787</v>
      </c>
      <c r="F180" s="15" t="s">
        <v>33</v>
      </c>
      <c r="G180" s="8">
        <v>10000</v>
      </c>
      <c r="H180" s="8"/>
      <c r="I180" s="8"/>
    </row>
    <row r="181" spans="1:9" ht="54.75" customHeight="1">
      <c r="A181" s="211" t="s">
        <v>824</v>
      </c>
      <c r="B181" s="14">
        <v>757</v>
      </c>
      <c r="C181" s="15" t="s">
        <v>45</v>
      </c>
      <c r="D181" s="15" t="s">
        <v>19</v>
      </c>
      <c r="E181" s="15" t="s">
        <v>823</v>
      </c>
      <c r="F181" s="14"/>
      <c r="G181" s="8">
        <f>G182</f>
        <v>168817</v>
      </c>
      <c r="H181" s="8">
        <f t="shared" ref="H181:I181" si="38">H182</f>
        <v>0</v>
      </c>
      <c r="I181" s="8">
        <f t="shared" si="38"/>
        <v>0</v>
      </c>
    </row>
    <row r="182" spans="1:9" ht="49.5" customHeight="1">
      <c r="A182" s="86" t="s">
        <v>30</v>
      </c>
      <c r="B182" s="14">
        <v>757</v>
      </c>
      <c r="C182" s="15" t="s">
        <v>45</v>
      </c>
      <c r="D182" s="15" t="s">
        <v>19</v>
      </c>
      <c r="E182" s="15" t="s">
        <v>823</v>
      </c>
      <c r="F182" s="15" t="s">
        <v>31</v>
      </c>
      <c r="G182" s="8">
        <f>G183</f>
        <v>168817</v>
      </c>
      <c r="H182" s="8">
        <f>H183</f>
        <v>0</v>
      </c>
      <c r="I182" s="8">
        <f>I183</f>
        <v>0</v>
      </c>
    </row>
    <row r="183" spans="1:9">
      <c r="A183" s="86" t="s">
        <v>32</v>
      </c>
      <c r="B183" s="14">
        <v>757</v>
      </c>
      <c r="C183" s="15" t="s">
        <v>45</v>
      </c>
      <c r="D183" s="15" t="s">
        <v>19</v>
      </c>
      <c r="E183" s="15" t="s">
        <v>823</v>
      </c>
      <c r="F183" s="15" t="s">
        <v>33</v>
      </c>
      <c r="G183" s="8">
        <v>168817</v>
      </c>
      <c r="H183" s="8"/>
      <c r="I183" s="8"/>
    </row>
    <row r="184" spans="1:9" s="3" customFormat="1" ht="15" customHeight="1">
      <c r="A184" s="208" t="s">
        <v>49</v>
      </c>
      <c r="B184" s="14">
        <v>757</v>
      </c>
      <c r="C184" s="15" t="s">
        <v>45</v>
      </c>
      <c r="D184" s="15" t="s">
        <v>19</v>
      </c>
      <c r="E184" s="15" t="s">
        <v>207</v>
      </c>
      <c r="F184" s="15"/>
      <c r="G184" s="25">
        <f>G185</f>
        <v>7808141.2400000002</v>
      </c>
      <c r="H184" s="25">
        <f t="shared" ref="G184:I187" si="39">H185</f>
        <v>8198239</v>
      </c>
      <c r="I184" s="25">
        <f t="shared" si="39"/>
        <v>8214805</v>
      </c>
    </row>
    <row r="185" spans="1:9" ht="25.5">
      <c r="A185" s="86" t="s">
        <v>30</v>
      </c>
      <c r="B185" s="14">
        <v>757</v>
      </c>
      <c r="C185" s="15" t="s">
        <v>45</v>
      </c>
      <c r="D185" s="15" t="s">
        <v>19</v>
      </c>
      <c r="E185" s="15" t="s">
        <v>207</v>
      </c>
      <c r="F185" s="15" t="s">
        <v>31</v>
      </c>
      <c r="G185" s="8">
        <f t="shared" si="39"/>
        <v>7808141.2400000002</v>
      </c>
      <c r="H185" s="8">
        <f t="shared" si="39"/>
        <v>8198239</v>
      </c>
      <c r="I185" s="8">
        <f t="shared" si="39"/>
        <v>8214805</v>
      </c>
    </row>
    <row r="186" spans="1:9">
      <c r="A186" s="86" t="s">
        <v>32</v>
      </c>
      <c r="B186" s="14">
        <v>757</v>
      </c>
      <c r="C186" s="15" t="s">
        <v>45</v>
      </c>
      <c r="D186" s="15" t="s">
        <v>19</v>
      </c>
      <c r="E186" s="15" t="s">
        <v>207</v>
      </c>
      <c r="F186" s="15" t="s">
        <v>33</v>
      </c>
      <c r="G186" s="89">
        <f>7798141.24+10000</f>
        <v>7808141.2400000002</v>
      </c>
      <c r="H186" s="8">
        <v>8198239</v>
      </c>
      <c r="I186" s="8">
        <f>H186+16566</f>
        <v>8214805</v>
      </c>
    </row>
    <row r="187" spans="1:9" s="3" customFormat="1" ht="36" hidden="1" customHeight="1">
      <c r="A187" s="208" t="s">
        <v>834</v>
      </c>
      <c r="B187" s="14">
        <v>757</v>
      </c>
      <c r="C187" s="15" t="s">
        <v>45</v>
      </c>
      <c r="D187" s="15" t="s">
        <v>19</v>
      </c>
      <c r="E187" s="15" t="s">
        <v>833</v>
      </c>
      <c r="F187" s="15"/>
      <c r="G187" s="25">
        <f>G188</f>
        <v>0</v>
      </c>
      <c r="H187" s="25">
        <f t="shared" si="39"/>
        <v>0</v>
      </c>
      <c r="I187" s="25">
        <f t="shared" si="39"/>
        <v>0</v>
      </c>
    </row>
    <row r="188" spans="1:9" s="105" customFormat="1" ht="19.5" hidden="1" customHeight="1">
      <c r="A188" s="86" t="s">
        <v>64</v>
      </c>
      <c r="B188" s="14">
        <v>757</v>
      </c>
      <c r="C188" s="15" t="s">
        <v>45</v>
      </c>
      <c r="D188" s="15" t="s">
        <v>19</v>
      </c>
      <c r="E188" s="15" t="s">
        <v>833</v>
      </c>
      <c r="F188" s="88" t="s">
        <v>65</v>
      </c>
      <c r="G188" s="102">
        <f>G189</f>
        <v>0</v>
      </c>
      <c r="H188" s="102">
        <f t="shared" ref="H188:I188" si="40">H189</f>
        <v>0</v>
      </c>
      <c r="I188" s="102">
        <f t="shared" si="40"/>
        <v>0</v>
      </c>
    </row>
    <row r="189" spans="1:9" s="105" customFormat="1" ht="18.75" hidden="1" customHeight="1">
      <c r="A189" s="86" t="s">
        <v>187</v>
      </c>
      <c r="B189" s="14">
        <v>757</v>
      </c>
      <c r="C189" s="15" t="s">
        <v>45</v>
      </c>
      <c r="D189" s="15" t="s">
        <v>19</v>
      </c>
      <c r="E189" s="15" t="s">
        <v>833</v>
      </c>
      <c r="F189" s="88" t="s">
        <v>188</v>
      </c>
      <c r="G189" s="102">
        <f>702383.7-702383.7</f>
        <v>0</v>
      </c>
      <c r="H189" s="102">
        <v>0</v>
      </c>
      <c r="I189" s="102">
        <v>0</v>
      </c>
    </row>
    <row r="190" spans="1:9" s="3" customFormat="1" ht="15" customHeight="1">
      <c r="A190" s="209" t="s">
        <v>50</v>
      </c>
      <c r="B190" s="14">
        <v>757</v>
      </c>
      <c r="C190" s="15" t="s">
        <v>45</v>
      </c>
      <c r="D190" s="15" t="s">
        <v>19</v>
      </c>
      <c r="E190" s="15" t="s">
        <v>208</v>
      </c>
      <c r="F190" s="15"/>
      <c r="G190" s="25">
        <f t="shared" ref="G190:I191" si="41">G191</f>
        <v>38656390.329999998</v>
      </c>
      <c r="H190" s="25">
        <f t="shared" si="41"/>
        <v>38500223</v>
      </c>
      <c r="I190" s="25">
        <f t="shared" si="41"/>
        <v>38589883</v>
      </c>
    </row>
    <row r="191" spans="1:9" ht="25.5">
      <c r="A191" s="86" t="s">
        <v>30</v>
      </c>
      <c r="B191" s="14">
        <v>757</v>
      </c>
      <c r="C191" s="15" t="s">
        <v>45</v>
      </c>
      <c r="D191" s="15" t="s">
        <v>19</v>
      </c>
      <c r="E191" s="15" t="s">
        <v>208</v>
      </c>
      <c r="F191" s="15" t="s">
        <v>31</v>
      </c>
      <c r="G191" s="8">
        <f>G192</f>
        <v>38656390.329999998</v>
      </c>
      <c r="H191" s="8">
        <f t="shared" si="41"/>
        <v>38500223</v>
      </c>
      <c r="I191" s="8">
        <f t="shared" si="41"/>
        <v>38589883</v>
      </c>
    </row>
    <row r="192" spans="1:9">
      <c r="A192" s="86" t="s">
        <v>32</v>
      </c>
      <c r="B192" s="14">
        <v>757</v>
      </c>
      <c r="C192" s="15" t="s">
        <v>45</v>
      </c>
      <c r="D192" s="15" t="s">
        <v>19</v>
      </c>
      <c r="E192" s="15" t="s">
        <v>208</v>
      </c>
      <c r="F192" s="15" t="s">
        <v>33</v>
      </c>
      <c r="G192" s="8">
        <f>38666390.33-10000</f>
        <v>38656390.329999998</v>
      </c>
      <c r="H192" s="8">
        <v>38500223</v>
      </c>
      <c r="I192" s="8">
        <v>38589883</v>
      </c>
    </row>
    <row r="193" spans="1:9" ht="36" hidden="1" customHeight="1">
      <c r="A193" s="86" t="s">
        <v>565</v>
      </c>
      <c r="B193" s="14">
        <v>757</v>
      </c>
      <c r="C193" s="15" t="s">
        <v>45</v>
      </c>
      <c r="D193" s="15" t="s">
        <v>19</v>
      </c>
      <c r="E193" s="15" t="s">
        <v>566</v>
      </c>
      <c r="F193" s="15"/>
      <c r="G193" s="74">
        <f>G195</f>
        <v>0</v>
      </c>
      <c r="H193" s="74">
        <v>0</v>
      </c>
      <c r="I193" s="74">
        <v>0</v>
      </c>
    </row>
    <row r="194" spans="1:9" ht="36" hidden="1" customHeight="1">
      <c r="A194" s="86" t="s">
        <v>30</v>
      </c>
      <c r="B194" s="14">
        <v>757</v>
      </c>
      <c r="C194" s="15" t="s">
        <v>45</v>
      </c>
      <c r="D194" s="15" t="s">
        <v>19</v>
      </c>
      <c r="E194" s="15" t="s">
        <v>566</v>
      </c>
      <c r="F194" s="15" t="s">
        <v>31</v>
      </c>
      <c r="G194" s="74">
        <f>G195</f>
        <v>0</v>
      </c>
      <c r="H194" s="74">
        <v>0</v>
      </c>
      <c r="I194" s="74">
        <v>0</v>
      </c>
    </row>
    <row r="195" spans="1:9" ht="19.5" hidden="1" customHeight="1">
      <c r="A195" s="16" t="s">
        <v>32</v>
      </c>
      <c r="B195" s="14">
        <v>757</v>
      </c>
      <c r="C195" s="15" t="s">
        <v>45</v>
      </c>
      <c r="D195" s="15" t="s">
        <v>19</v>
      </c>
      <c r="E195" s="15" t="s">
        <v>566</v>
      </c>
      <c r="F195" s="15" t="s">
        <v>33</v>
      </c>
      <c r="G195" s="74"/>
      <c r="H195" s="74">
        <v>0</v>
      </c>
      <c r="I195" s="74">
        <v>0</v>
      </c>
    </row>
    <row r="196" spans="1:9" ht="76.5" hidden="1">
      <c r="A196" s="16" t="s">
        <v>406</v>
      </c>
      <c r="B196" s="14">
        <v>757</v>
      </c>
      <c r="C196" s="15" t="s">
        <v>45</v>
      </c>
      <c r="D196" s="15" t="s">
        <v>19</v>
      </c>
      <c r="E196" s="15" t="s">
        <v>405</v>
      </c>
      <c r="F196" s="15"/>
      <c r="G196" s="8">
        <f>G197</f>
        <v>0</v>
      </c>
      <c r="H196" s="8">
        <f>H197</f>
        <v>0</v>
      </c>
      <c r="I196" s="8">
        <f>I197</f>
        <v>0</v>
      </c>
    </row>
    <row r="197" spans="1:9" hidden="1">
      <c r="A197" s="16" t="s">
        <v>32</v>
      </c>
      <c r="B197" s="14">
        <v>757</v>
      </c>
      <c r="C197" s="15" t="s">
        <v>45</v>
      </c>
      <c r="D197" s="15" t="s">
        <v>19</v>
      </c>
      <c r="E197" s="15" t="s">
        <v>405</v>
      </c>
      <c r="F197" s="15" t="s">
        <v>33</v>
      </c>
      <c r="G197" s="8"/>
      <c r="H197" s="8"/>
      <c r="I197" s="8"/>
    </row>
    <row r="198" spans="1:9" ht="19.5" hidden="1" customHeight="1">
      <c r="A198" s="16" t="s">
        <v>404</v>
      </c>
      <c r="B198" s="14">
        <v>757</v>
      </c>
      <c r="C198" s="15" t="s">
        <v>45</v>
      </c>
      <c r="D198" s="15" t="s">
        <v>19</v>
      </c>
      <c r="E198" s="15" t="s">
        <v>130</v>
      </c>
      <c r="F198" s="15"/>
      <c r="G198" s="74">
        <f>G199</f>
        <v>0</v>
      </c>
      <c r="H198" s="74">
        <v>0</v>
      </c>
      <c r="I198" s="74">
        <v>0</v>
      </c>
    </row>
    <row r="199" spans="1:9" ht="39.75" hidden="1" customHeight="1">
      <c r="A199" s="16" t="s">
        <v>30</v>
      </c>
      <c r="B199" s="14">
        <v>757</v>
      </c>
      <c r="C199" s="15" t="s">
        <v>45</v>
      </c>
      <c r="D199" s="15" t="s">
        <v>19</v>
      </c>
      <c r="E199" s="15" t="s">
        <v>130</v>
      </c>
      <c r="F199" s="15" t="s">
        <v>31</v>
      </c>
      <c r="G199" s="74">
        <f>G200</f>
        <v>0</v>
      </c>
      <c r="H199" s="74">
        <v>0</v>
      </c>
      <c r="I199" s="74">
        <v>0</v>
      </c>
    </row>
    <row r="200" spans="1:9" ht="20.25" hidden="1" customHeight="1">
      <c r="A200" s="16" t="s">
        <v>32</v>
      </c>
      <c r="B200" s="14">
        <v>757</v>
      </c>
      <c r="C200" s="15" t="s">
        <v>45</v>
      </c>
      <c r="D200" s="15" t="s">
        <v>19</v>
      </c>
      <c r="E200" s="15" t="s">
        <v>130</v>
      </c>
      <c r="F200" s="15" t="s">
        <v>33</v>
      </c>
      <c r="G200" s="74"/>
      <c r="H200" s="74">
        <v>0</v>
      </c>
      <c r="I200" s="74">
        <v>0</v>
      </c>
    </row>
    <row r="201" spans="1:9" ht="39" hidden="1" customHeight="1">
      <c r="A201" s="16" t="s">
        <v>191</v>
      </c>
      <c r="B201" s="14">
        <v>757</v>
      </c>
      <c r="C201" s="15" t="s">
        <v>45</v>
      </c>
      <c r="D201" s="15" t="s">
        <v>19</v>
      </c>
      <c r="E201" s="15" t="s">
        <v>190</v>
      </c>
      <c r="F201" s="15"/>
      <c r="G201" s="74">
        <f>G202</f>
        <v>0</v>
      </c>
      <c r="H201" s="74">
        <f t="shared" ref="H201:I201" si="42">H202</f>
        <v>0</v>
      </c>
      <c r="I201" s="74">
        <f t="shared" si="42"/>
        <v>0</v>
      </c>
    </row>
    <row r="202" spans="1:9" ht="39.75" hidden="1" customHeight="1">
      <c r="A202" s="16" t="s">
        <v>30</v>
      </c>
      <c r="B202" s="14">
        <v>757</v>
      </c>
      <c r="C202" s="15" t="s">
        <v>45</v>
      </c>
      <c r="D202" s="15" t="s">
        <v>19</v>
      </c>
      <c r="E202" s="15" t="s">
        <v>190</v>
      </c>
      <c r="F202" s="15" t="s">
        <v>31</v>
      </c>
      <c r="G202" s="74">
        <f>G203</f>
        <v>0</v>
      </c>
      <c r="H202" s="74">
        <f t="shared" ref="H202:I202" si="43">H203</f>
        <v>0</v>
      </c>
      <c r="I202" s="74">
        <f t="shared" si="43"/>
        <v>0</v>
      </c>
    </row>
    <row r="203" spans="1:9" ht="20.25" hidden="1" customHeight="1">
      <c r="A203" s="16" t="s">
        <v>32</v>
      </c>
      <c r="B203" s="14">
        <v>757</v>
      </c>
      <c r="C203" s="15" t="s">
        <v>45</v>
      </c>
      <c r="D203" s="15" t="s">
        <v>19</v>
      </c>
      <c r="E203" s="15" t="s">
        <v>190</v>
      </c>
      <c r="F203" s="15" t="s">
        <v>33</v>
      </c>
      <c r="G203" s="74">
        <v>0</v>
      </c>
      <c r="H203" s="74"/>
      <c r="I203" s="74">
        <v>0</v>
      </c>
    </row>
    <row r="204" spans="1:9" ht="37.5" customHeight="1">
      <c r="A204" s="16" t="s">
        <v>451</v>
      </c>
      <c r="B204" s="14">
        <v>757</v>
      </c>
      <c r="C204" s="15" t="s">
        <v>45</v>
      </c>
      <c r="D204" s="15" t="s">
        <v>19</v>
      </c>
      <c r="E204" s="15" t="s">
        <v>421</v>
      </c>
      <c r="F204" s="15"/>
      <c r="G204" s="8">
        <f t="shared" ref="G204:I205" si="44">G205</f>
        <v>628705.88</v>
      </c>
      <c r="H204" s="8">
        <f t="shared" si="44"/>
        <v>178133</v>
      </c>
      <c r="I204" s="8">
        <f t="shared" si="44"/>
        <v>178133</v>
      </c>
    </row>
    <row r="205" spans="1:9" ht="25.5">
      <c r="A205" s="16" t="s">
        <v>30</v>
      </c>
      <c r="B205" s="14">
        <v>757</v>
      </c>
      <c r="C205" s="15" t="s">
        <v>45</v>
      </c>
      <c r="D205" s="15" t="s">
        <v>19</v>
      </c>
      <c r="E205" s="15" t="s">
        <v>421</v>
      </c>
      <c r="F205" s="15" t="s">
        <v>31</v>
      </c>
      <c r="G205" s="8">
        <f t="shared" si="44"/>
        <v>628705.88</v>
      </c>
      <c r="H205" s="8">
        <f t="shared" si="44"/>
        <v>178133</v>
      </c>
      <c r="I205" s="8">
        <f t="shared" si="44"/>
        <v>178133</v>
      </c>
    </row>
    <row r="206" spans="1:9">
      <c r="A206" s="16" t="s">
        <v>32</v>
      </c>
      <c r="B206" s="14">
        <v>757</v>
      </c>
      <c r="C206" s="15" t="s">
        <v>45</v>
      </c>
      <c r="D206" s="15" t="s">
        <v>19</v>
      </c>
      <c r="E206" s="15" t="s">
        <v>421</v>
      </c>
      <c r="F206" s="15" t="s">
        <v>33</v>
      </c>
      <c r="G206" s="8">
        <f>534400+178133-83827.12</f>
        <v>628705.88</v>
      </c>
      <c r="H206" s="8">
        <v>178133</v>
      </c>
      <c r="I206" s="8">
        <v>178133</v>
      </c>
    </row>
    <row r="207" spans="1:9" hidden="1">
      <c r="A207" s="16" t="s">
        <v>441</v>
      </c>
      <c r="B207" s="14">
        <v>757</v>
      </c>
      <c r="C207" s="15" t="s">
        <v>45</v>
      </c>
      <c r="D207" s="15" t="s">
        <v>19</v>
      </c>
      <c r="E207" s="15" t="s">
        <v>440</v>
      </c>
      <c r="F207" s="15"/>
      <c r="G207" s="8"/>
      <c r="H207" s="8">
        <f>H208</f>
        <v>0</v>
      </c>
      <c r="I207" s="8">
        <f>I208</f>
        <v>0</v>
      </c>
    </row>
    <row r="208" spans="1:9" hidden="1">
      <c r="A208" s="16" t="s">
        <v>280</v>
      </c>
      <c r="B208" s="14">
        <v>757</v>
      </c>
      <c r="C208" s="15" t="s">
        <v>45</v>
      </c>
      <c r="D208" s="15" t="s">
        <v>19</v>
      </c>
      <c r="E208" s="15" t="s">
        <v>591</v>
      </c>
      <c r="F208" s="15"/>
      <c r="G208" s="8">
        <f>G209</f>
        <v>0</v>
      </c>
      <c r="H208" s="8"/>
      <c r="I208" s="8"/>
    </row>
    <row r="209" spans="1:11" hidden="1">
      <c r="A209" s="16" t="s">
        <v>280</v>
      </c>
      <c r="B209" s="14">
        <v>757</v>
      </c>
      <c r="C209" s="15" t="s">
        <v>45</v>
      </c>
      <c r="D209" s="15" t="s">
        <v>19</v>
      </c>
      <c r="E209" s="15" t="s">
        <v>592</v>
      </c>
      <c r="F209" s="15"/>
      <c r="G209" s="8">
        <f t="shared" ref="G209:I210" si="45">G210</f>
        <v>0</v>
      </c>
      <c r="H209" s="8">
        <f t="shared" si="45"/>
        <v>0</v>
      </c>
      <c r="I209" s="8">
        <f t="shared" si="45"/>
        <v>0</v>
      </c>
    </row>
    <row r="210" spans="1:11" ht="25.5" hidden="1">
      <c r="A210" s="16" t="s">
        <v>30</v>
      </c>
      <c r="B210" s="14">
        <v>757</v>
      </c>
      <c r="C210" s="15" t="s">
        <v>45</v>
      </c>
      <c r="D210" s="15" t="s">
        <v>19</v>
      </c>
      <c r="E210" s="15" t="s">
        <v>592</v>
      </c>
      <c r="F210" s="15" t="s">
        <v>31</v>
      </c>
      <c r="G210" s="8">
        <f t="shared" si="45"/>
        <v>0</v>
      </c>
      <c r="H210" s="8">
        <f t="shared" si="45"/>
        <v>0</v>
      </c>
      <c r="I210" s="8">
        <f t="shared" si="45"/>
        <v>0</v>
      </c>
    </row>
    <row r="211" spans="1:11" hidden="1">
      <c r="A211" s="16" t="s">
        <v>32</v>
      </c>
      <c r="B211" s="14">
        <v>757</v>
      </c>
      <c r="C211" s="15" t="s">
        <v>45</v>
      </c>
      <c r="D211" s="15" t="s">
        <v>19</v>
      </c>
      <c r="E211" s="15" t="s">
        <v>592</v>
      </c>
      <c r="F211" s="15" t="s">
        <v>33</v>
      </c>
      <c r="G211" s="8"/>
      <c r="H211" s="8"/>
      <c r="I211" s="8"/>
    </row>
    <row r="212" spans="1:11" ht="25.5" hidden="1">
      <c r="A212" s="16" t="s">
        <v>176</v>
      </c>
      <c r="B212" s="14">
        <v>757</v>
      </c>
      <c r="C212" s="15" t="s">
        <v>45</v>
      </c>
      <c r="D212" s="15" t="s">
        <v>19</v>
      </c>
      <c r="E212" s="15" t="s">
        <v>423</v>
      </c>
      <c r="F212" s="15"/>
      <c r="G212" s="8">
        <f>G214</f>
        <v>0</v>
      </c>
      <c r="H212" s="8">
        <f>H214</f>
        <v>0</v>
      </c>
      <c r="I212" s="8">
        <f>I214</f>
        <v>0</v>
      </c>
    </row>
    <row r="213" spans="1:11" ht="25.5" hidden="1">
      <c r="A213" s="16" t="s">
        <v>176</v>
      </c>
      <c r="B213" s="14">
        <v>757</v>
      </c>
      <c r="C213" s="15" t="s">
        <v>45</v>
      </c>
      <c r="D213" s="15" t="s">
        <v>19</v>
      </c>
      <c r="E213" s="15" t="s">
        <v>422</v>
      </c>
      <c r="F213" s="15"/>
      <c r="G213" s="8">
        <f t="shared" ref="G213:I214" si="46">G214</f>
        <v>0</v>
      </c>
      <c r="H213" s="8">
        <f t="shared" si="46"/>
        <v>0</v>
      </c>
      <c r="I213" s="8">
        <f t="shared" si="46"/>
        <v>0</v>
      </c>
    </row>
    <row r="214" spans="1:11" ht="25.5" hidden="1">
      <c r="A214" s="16" t="s">
        <v>30</v>
      </c>
      <c r="B214" s="14">
        <v>757</v>
      </c>
      <c r="C214" s="15" t="s">
        <v>45</v>
      </c>
      <c r="D214" s="15" t="s">
        <v>19</v>
      </c>
      <c r="E214" s="15" t="s">
        <v>422</v>
      </c>
      <c r="F214" s="15" t="s">
        <v>31</v>
      </c>
      <c r="G214" s="8">
        <f t="shared" si="46"/>
        <v>0</v>
      </c>
      <c r="H214" s="8">
        <f t="shared" si="46"/>
        <v>0</v>
      </c>
      <c r="I214" s="8">
        <f t="shared" si="46"/>
        <v>0</v>
      </c>
    </row>
    <row r="215" spans="1:11" hidden="1">
      <c r="A215" s="16" t="s">
        <v>32</v>
      </c>
      <c r="B215" s="14">
        <v>757</v>
      </c>
      <c r="C215" s="15" t="s">
        <v>45</v>
      </c>
      <c r="D215" s="15" t="s">
        <v>19</v>
      </c>
      <c r="E215" s="15" t="s">
        <v>422</v>
      </c>
      <c r="F215" s="15" t="s">
        <v>33</v>
      </c>
      <c r="G215" s="8"/>
      <c r="H215" s="8"/>
      <c r="I215" s="8"/>
    </row>
    <row r="216" spans="1:11" s="18" customFormat="1" ht="25.5" hidden="1">
      <c r="A216" s="16" t="s">
        <v>493</v>
      </c>
      <c r="B216" s="14">
        <v>757</v>
      </c>
      <c r="C216" s="15" t="s">
        <v>45</v>
      </c>
      <c r="D216" s="15" t="s">
        <v>19</v>
      </c>
      <c r="E216" s="15" t="s">
        <v>270</v>
      </c>
      <c r="F216" s="15"/>
      <c r="G216" s="74">
        <f>G217</f>
        <v>0</v>
      </c>
      <c r="H216" s="74">
        <f t="shared" ref="H216:I216" si="47">H217</f>
        <v>0</v>
      </c>
      <c r="I216" s="74">
        <f t="shared" si="47"/>
        <v>0</v>
      </c>
    </row>
    <row r="217" spans="1:11" s="18" customFormat="1" ht="61.5" hidden="1" customHeight="1">
      <c r="A217" s="16" t="s">
        <v>617</v>
      </c>
      <c r="B217" s="14">
        <v>757</v>
      </c>
      <c r="C217" s="15" t="s">
        <v>45</v>
      </c>
      <c r="D217" s="15" t="s">
        <v>19</v>
      </c>
      <c r="E217" s="15" t="s">
        <v>616</v>
      </c>
      <c r="F217" s="15"/>
      <c r="G217" s="74">
        <f>G218</f>
        <v>0</v>
      </c>
      <c r="H217" s="74">
        <f t="shared" ref="H217:I218" si="48">H218</f>
        <v>0</v>
      </c>
      <c r="I217" s="74">
        <f t="shared" si="48"/>
        <v>0</v>
      </c>
    </row>
    <row r="218" spans="1:11" s="18" customFormat="1" ht="25.5" hidden="1">
      <c r="A218" s="16" t="s">
        <v>30</v>
      </c>
      <c r="B218" s="14">
        <v>757</v>
      </c>
      <c r="C218" s="15" t="s">
        <v>45</v>
      </c>
      <c r="D218" s="15" t="s">
        <v>19</v>
      </c>
      <c r="E218" s="15" t="s">
        <v>616</v>
      </c>
      <c r="F218" s="15" t="s">
        <v>31</v>
      </c>
      <c r="G218" s="74">
        <f>G219</f>
        <v>0</v>
      </c>
      <c r="H218" s="74">
        <f t="shared" si="48"/>
        <v>0</v>
      </c>
      <c r="I218" s="74">
        <f t="shared" si="48"/>
        <v>0</v>
      </c>
    </row>
    <row r="219" spans="1:11" s="18" customFormat="1" hidden="1">
      <c r="A219" s="16" t="s">
        <v>32</v>
      </c>
      <c r="B219" s="14">
        <v>757</v>
      </c>
      <c r="C219" s="15" t="s">
        <v>45</v>
      </c>
      <c r="D219" s="15" t="s">
        <v>19</v>
      </c>
      <c r="E219" s="15" t="s">
        <v>616</v>
      </c>
      <c r="F219" s="15" t="s">
        <v>33</v>
      </c>
      <c r="G219" s="74"/>
      <c r="H219" s="74">
        <v>0</v>
      </c>
      <c r="I219" s="74">
        <v>0</v>
      </c>
    </row>
    <row r="220" spans="1:11" ht="41.25" hidden="1" customHeight="1">
      <c r="A220" s="16" t="s">
        <v>544</v>
      </c>
      <c r="B220" s="14">
        <v>757</v>
      </c>
      <c r="C220" s="15" t="s">
        <v>45</v>
      </c>
      <c r="D220" s="15" t="s">
        <v>19</v>
      </c>
      <c r="E220" s="15" t="s">
        <v>543</v>
      </c>
      <c r="F220" s="15"/>
      <c r="G220" s="74">
        <f>G221</f>
        <v>0</v>
      </c>
      <c r="H220" s="74">
        <f t="shared" ref="H220:K221" si="49">H221</f>
        <v>0</v>
      </c>
      <c r="I220" s="74">
        <f t="shared" si="49"/>
        <v>0</v>
      </c>
    </row>
    <row r="221" spans="1:11" ht="45" hidden="1" customHeight="1">
      <c r="A221" s="16" t="s">
        <v>30</v>
      </c>
      <c r="B221" s="14">
        <v>757</v>
      </c>
      <c r="C221" s="15" t="s">
        <v>45</v>
      </c>
      <c r="D221" s="15" t="s">
        <v>19</v>
      </c>
      <c r="E221" s="15" t="s">
        <v>543</v>
      </c>
      <c r="F221" s="15" t="s">
        <v>31</v>
      </c>
      <c r="G221" s="74">
        <f>G222</f>
        <v>0</v>
      </c>
      <c r="H221" s="74">
        <f t="shared" si="49"/>
        <v>0</v>
      </c>
      <c r="I221" s="74">
        <f t="shared" si="49"/>
        <v>0</v>
      </c>
      <c r="J221" s="74">
        <f t="shared" si="49"/>
        <v>0</v>
      </c>
      <c r="K221" s="74">
        <f t="shared" si="49"/>
        <v>0</v>
      </c>
    </row>
    <row r="222" spans="1:11" ht="19.5" hidden="1" customHeight="1">
      <c r="A222" s="16" t="s">
        <v>32</v>
      </c>
      <c r="B222" s="14">
        <v>757</v>
      </c>
      <c r="C222" s="15" t="s">
        <v>45</v>
      </c>
      <c r="D222" s="15" t="s">
        <v>19</v>
      </c>
      <c r="E222" s="15" t="s">
        <v>543</v>
      </c>
      <c r="F222" s="15" t="s">
        <v>33</v>
      </c>
      <c r="G222" s="74">
        <v>0</v>
      </c>
      <c r="H222" s="74"/>
      <c r="I222" s="74"/>
    </row>
    <row r="223" spans="1:11" ht="37.5" customHeight="1">
      <c r="A223" s="16" t="s">
        <v>191</v>
      </c>
      <c r="B223" s="14">
        <v>757</v>
      </c>
      <c r="C223" s="15" t="s">
        <v>45</v>
      </c>
      <c r="D223" s="15" t="s">
        <v>19</v>
      </c>
      <c r="E223" s="15" t="s">
        <v>190</v>
      </c>
      <c r="F223" s="15"/>
      <c r="G223" s="8">
        <f>G224</f>
        <v>1319392.3999999999</v>
      </c>
      <c r="H223" s="8">
        <f t="shared" ref="H223:I223" si="50">H224</f>
        <v>0</v>
      </c>
      <c r="I223" s="8">
        <f t="shared" si="50"/>
        <v>1470600</v>
      </c>
    </row>
    <row r="224" spans="1:11" ht="25.5">
      <c r="A224" s="16" t="s">
        <v>30</v>
      </c>
      <c r="B224" s="14">
        <v>757</v>
      </c>
      <c r="C224" s="15" t="s">
        <v>45</v>
      </c>
      <c r="D224" s="15" t="s">
        <v>19</v>
      </c>
      <c r="E224" s="15" t="s">
        <v>190</v>
      </c>
      <c r="F224" s="15" t="s">
        <v>31</v>
      </c>
      <c r="G224" s="8">
        <f>G225</f>
        <v>1319392.3999999999</v>
      </c>
      <c r="H224" s="8">
        <f t="shared" ref="H224:I224" si="51">H225</f>
        <v>0</v>
      </c>
      <c r="I224" s="8">
        <f t="shared" si="51"/>
        <v>1470600</v>
      </c>
    </row>
    <row r="225" spans="1:11">
      <c r="A225" s="16" t="s">
        <v>32</v>
      </c>
      <c r="B225" s="14">
        <v>757</v>
      </c>
      <c r="C225" s="15" t="s">
        <v>45</v>
      </c>
      <c r="D225" s="15" t="s">
        <v>19</v>
      </c>
      <c r="E225" s="15" t="s">
        <v>190</v>
      </c>
      <c r="F225" s="15" t="s">
        <v>33</v>
      </c>
      <c r="G225" s="8">
        <v>1319392.3999999999</v>
      </c>
      <c r="H225" s="8">
        <v>0</v>
      </c>
      <c r="I225" s="8">
        <v>1470600</v>
      </c>
    </row>
    <row r="226" spans="1:11" ht="58.5" customHeight="1">
      <c r="A226" s="16" t="s">
        <v>544</v>
      </c>
      <c r="B226" s="14">
        <v>757</v>
      </c>
      <c r="C226" s="15" t="s">
        <v>45</v>
      </c>
      <c r="D226" s="15" t="s">
        <v>19</v>
      </c>
      <c r="E226" s="15" t="s">
        <v>713</v>
      </c>
      <c r="F226" s="15"/>
      <c r="G226" s="74">
        <f>G227</f>
        <v>7278474.1100000003</v>
      </c>
      <c r="H226" s="74">
        <f t="shared" ref="H226:I226" si="52">H227</f>
        <v>13429647.060000001</v>
      </c>
      <c r="I226" s="74">
        <f t="shared" si="52"/>
        <v>0</v>
      </c>
    </row>
    <row r="227" spans="1:11" ht="51.75" customHeight="1">
      <c r="A227" s="16" t="s">
        <v>30</v>
      </c>
      <c r="B227" s="14">
        <v>757</v>
      </c>
      <c r="C227" s="15" t="s">
        <v>45</v>
      </c>
      <c r="D227" s="15" t="s">
        <v>19</v>
      </c>
      <c r="E227" s="15" t="s">
        <v>713</v>
      </c>
      <c r="F227" s="15" t="s">
        <v>31</v>
      </c>
      <c r="G227" s="74">
        <f>G228</f>
        <v>7278474.1100000003</v>
      </c>
      <c r="H227" s="74">
        <f t="shared" ref="H227:I227" si="53">H228</f>
        <v>13429647.060000001</v>
      </c>
      <c r="I227" s="74">
        <f t="shared" si="53"/>
        <v>0</v>
      </c>
      <c r="J227" s="74">
        <f t="shared" ref="J227:K227" si="54">J228</f>
        <v>0</v>
      </c>
      <c r="K227" s="74">
        <f t="shared" si="54"/>
        <v>0</v>
      </c>
    </row>
    <row r="228" spans="1:11" ht="49.5" customHeight="1">
      <c r="A228" s="16" t="s">
        <v>32</v>
      </c>
      <c r="B228" s="14">
        <v>757</v>
      </c>
      <c r="C228" s="15" t="s">
        <v>45</v>
      </c>
      <c r="D228" s="15" t="s">
        <v>19</v>
      </c>
      <c r="E228" s="15" t="s">
        <v>713</v>
      </c>
      <c r="F228" s="15" t="s">
        <v>33</v>
      </c>
      <c r="G228" s="74">
        <v>7278474.1100000003</v>
      </c>
      <c r="H228" s="74">
        <v>13429647.060000001</v>
      </c>
      <c r="I228" s="74">
        <v>0</v>
      </c>
    </row>
    <row r="229" spans="1:11" ht="65.25" customHeight="1">
      <c r="A229" s="16" t="s">
        <v>717</v>
      </c>
      <c r="B229" s="14">
        <v>757</v>
      </c>
      <c r="C229" s="15" t="s">
        <v>45</v>
      </c>
      <c r="D229" s="15" t="s">
        <v>19</v>
      </c>
      <c r="E229" s="15" t="s">
        <v>716</v>
      </c>
      <c r="F229" s="15"/>
      <c r="G229" s="74">
        <f>G230</f>
        <v>0</v>
      </c>
      <c r="H229" s="74">
        <f t="shared" ref="H229:H239" si="55">H230</f>
        <v>0</v>
      </c>
      <c r="I229" s="74">
        <f t="shared" ref="I229:K239" si="56">I230</f>
        <v>5231764.71</v>
      </c>
    </row>
    <row r="230" spans="1:11" ht="45" customHeight="1">
      <c r="A230" s="16" t="s">
        <v>30</v>
      </c>
      <c r="B230" s="14">
        <v>757</v>
      </c>
      <c r="C230" s="15" t="s">
        <v>45</v>
      </c>
      <c r="D230" s="15" t="s">
        <v>19</v>
      </c>
      <c r="E230" s="15" t="s">
        <v>716</v>
      </c>
      <c r="F230" s="15" t="s">
        <v>31</v>
      </c>
      <c r="G230" s="74">
        <f>G231</f>
        <v>0</v>
      </c>
      <c r="H230" s="74">
        <f t="shared" si="55"/>
        <v>0</v>
      </c>
      <c r="I230" s="74">
        <f t="shared" si="56"/>
        <v>5231764.71</v>
      </c>
      <c r="J230" s="74">
        <f t="shared" si="56"/>
        <v>0</v>
      </c>
      <c r="K230" s="74">
        <f t="shared" si="56"/>
        <v>0</v>
      </c>
    </row>
    <row r="231" spans="1:11" ht="45.75" customHeight="1">
      <c r="A231" s="16" t="s">
        <v>32</v>
      </c>
      <c r="B231" s="14">
        <v>757</v>
      </c>
      <c r="C231" s="15" t="s">
        <v>45</v>
      </c>
      <c r="D231" s="15" t="s">
        <v>19</v>
      </c>
      <c r="E231" s="15" t="s">
        <v>716</v>
      </c>
      <c r="F231" s="15" t="s">
        <v>33</v>
      </c>
      <c r="G231" s="74">
        <v>0</v>
      </c>
      <c r="H231" s="74">
        <v>0</v>
      </c>
      <c r="I231" s="74">
        <v>5231764.71</v>
      </c>
    </row>
    <row r="232" spans="1:11" ht="72" hidden="1" customHeight="1">
      <c r="A232" s="16" t="s">
        <v>717</v>
      </c>
      <c r="B232" s="14">
        <v>757</v>
      </c>
      <c r="C232" s="15" t="s">
        <v>45</v>
      </c>
      <c r="D232" s="15" t="s">
        <v>19</v>
      </c>
      <c r="E232" s="15" t="s">
        <v>716</v>
      </c>
      <c r="F232" s="15"/>
      <c r="G232" s="74">
        <f>G233</f>
        <v>0</v>
      </c>
      <c r="H232" s="74">
        <f t="shared" si="55"/>
        <v>0</v>
      </c>
      <c r="I232" s="74">
        <f t="shared" si="56"/>
        <v>0</v>
      </c>
    </row>
    <row r="233" spans="1:11" ht="60" hidden="1" customHeight="1">
      <c r="A233" s="16" t="s">
        <v>30</v>
      </c>
      <c r="B233" s="14">
        <v>757</v>
      </c>
      <c r="C233" s="15" t="s">
        <v>45</v>
      </c>
      <c r="D233" s="15" t="s">
        <v>19</v>
      </c>
      <c r="E233" s="15" t="s">
        <v>716</v>
      </c>
      <c r="F233" s="15" t="s">
        <v>31</v>
      </c>
      <c r="G233" s="74">
        <f>G234</f>
        <v>0</v>
      </c>
      <c r="H233" s="74">
        <f t="shared" si="55"/>
        <v>0</v>
      </c>
      <c r="I233" s="74">
        <f t="shared" si="56"/>
        <v>0</v>
      </c>
      <c r="J233" s="74">
        <f t="shared" si="56"/>
        <v>0</v>
      </c>
      <c r="K233" s="74">
        <f t="shared" si="56"/>
        <v>0</v>
      </c>
    </row>
    <row r="234" spans="1:11" ht="60" hidden="1" customHeight="1">
      <c r="A234" s="16" t="s">
        <v>32</v>
      </c>
      <c r="B234" s="14">
        <v>757</v>
      </c>
      <c r="C234" s="15" t="s">
        <v>45</v>
      </c>
      <c r="D234" s="15" t="s">
        <v>19</v>
      </c>
      <c r="E234" s="15" t="s">
        <v>716</v>
      </c>
      <c r="F234" s="15" t="s">
        <v>33</v>
      </c>
      <c r="G234" s="74">
        <v>0</v>
      </c>
      <c r="H234" s="74">
        <v>0</v>
      </c>
      <c r="I234" s="74"/>
    </row>
    <row r="235" spans="1:11" ht="84" customHeight="1">
      <c r="A235" s="16" t="s">
        <v>812</v>
      </c>
      <c r="B235" s="14">
        <v>757</v>
      </c>
      <c r="C235" s="15" t="s">
        <v>45</v>
      </c>
      <c r="D235" s="15" t="s">
        <v>19</v>
      </c>
      <c r="E235" s="15" t="s">
        <v>811</v>
      </c>
      <c r="F235" s="15"/>
      <c r="G235" s="74">
        <f>G236</f>
        <v>0</v>
      </c>
      <c r="H235" s="74">
        <f t="shared" si="55"/>
        <v>0</v>
      </c>
      <c r="I235" s="74">
        <f t="shared" si="56"/>
        <v>0</v>
      </c>
    </row>
    <row r="236" spans="1:11" ht="24" customHeight="1">
      <c r="A236" s="86" t="s">
        <v>64</v>
      </c>
      <c r="B236" s="14">
        <v>757</v>
      </c>
      <c r="C236" s="15" t="s">
        <v>45</v>
      </c>
      <c r="D236" s="15" t="s">
        <v>19</v>
      </c>
      <c r="E236" s="15" t="s">
        <v>811</v>
      </c>
      <c r="F236" s="15" t="s">
        <v>65</v>
      </c>
      <c r="G236" s="74">
        <f>G237</f>
        <v>0</v>
      </c>
      <c r="H236" s="74">
        <f t="shared" si="55"/>
        <v>0</v>
      </c>
      <c r="I236" s="74">
        <f t="shared" si="56"/>
        <v>0</v>
      </c>
      <c r="J236" s="74">
        <f t="shared" si="56"/>
        <v>0</v>
      </c>
      <c r="K236" s="74">
        <f t="shared" si="56"/>
        <v>0</v>
      </c>
    </row>
    <row r="237" spans="1:11" ht="29.25" customHeight="1">
      <c r="A237" s="86" t="s">
        <v>187</v>
      </c>
      <c r="B237" s="14">
        <v>757</v>
      </c>
      <c r="C237" s="15" t="s">
        <v>45</v>
      </c>
      <c r="D237" s="15" t="s">
        <v>19</v>
      </c>
      <c r="E237" s="15" t="s">
        <v>811</v>
      </c>
      <c r="F237" s="15" t="s">
        <v>188</v>
      </c>
      <c r="G237" s="74"/>
      <c r="H237" s="74">
        <v>0</v>
      </c>
      <c r="I237" s="74">
        <v>0</v>
      </c>
    </row>
    <row r="238" spans="1:11" ht="84" customHeight="1">
      <c r="A238" s="16" t="s">
        <v>812</v>
      </c>
      <c r="B238" s="14">
        <v>757</v>
      </c>
      <c r="C238" s="15" t="s">
        <v>45</v>
      </c>
      <c r="D238" s="15" t="s">
        <v>19</v>
      </c>
      <c r="E238" s="15" t="s">
        <v>595</v>
      </c>
      <c r="F238" s="15"/>
      <c r="G238" s="74">
        <f>G239</f>
        <v>4349748.6100000003</v>
      </c>
      <c r="H238" s="74">
        <f t="shared" si="55"/>
        <v>0</v>
      </c>
      <c r="I238" s="74">
        <f t="shared" si="56"/>
        <v>0</v>
      </c>
    </row>
    <row r="239" spans="1:11" ht="60" customHeight="1">
      <c r="A239" s="16" t="s">
        <v>30</v>
      </c>
      <c r="B239" s="14">
        <v>757</v>
      </c>
      <c r="C239" s="15" t="s">
        <v>45</v>
      </c>
      <c r="D239" s="15" t="s">
        <v>19</v>
      </c>
      <c r="E239" s="15" t="s">
        <v>595</v>
      </c>
      <c r="F239" s="15" t="s">
        <v>31</v>
      </c>
      <c r="G239" s="74">
        <f>G240</f>
        <v>4349748.6100000003</v>
      </c>
      <c r="H239" s="74">
        <f t="shared" si="55"/>
        <v>0</v>
      </c>
      <c r="I239" s="74">
        <f t="shared" si="56"/>
        <v>0</v>
      </c>
      <c r="J239" s="74">
        <f t="shared" si="56"/>
        <v>0</v>
      </c>
      <c r="K239" s="74">
        <f t="shared" si="56"/>
        <v>0</v>
      </c>
    </row>
    <row r="240" spans="1:11" ht="60" customHeight="1">
      <c r="A240" s="16" t="s">
        <v>32</v>
      </c>
      <c r="B240" s="14">
        <v>757</v>
      </c>
      <c r="C240" s="15" t="s">
        <v>45</v>
      </c>
      <c r="D240" s="15" t="s">
        <v>19</v>
      </c>
      <c r="E240" s="15" t="s">
        <v>595</v>
      </c>
      <c r="F240" s="15" t="s">
        <v>33</v>
      </c>
      <c r="G240" s="74">
        <v>4349748.6100000003</v>
      </c>
      <c r="H240" s="74">
        <v>0</v>
      </c>
      <c r="I240" s="74">
        <v>0</v>
      </c>
    </row>
    <row r="241" spans="1:10" s="240" customFormat="1" ht="30.75" customHeight="1">
      <c r="A241" s="37" t="s">
        <v>280</v>
      </c>
      <c r="B241" s="14">
        <v>757</v>
      </c>
      <c r="C241" s="15" t="s">
        <v>45</v>
      </c>
      <c r="D241" s="15" t="s">
        <v>19</v>
      </c>
      <c r="E241" s="15" t="s">
        <v>591</v>
      </c>
      <c r="F241" s="15"/>
      <c r="G241" s="74">
        <f>G242</f>
        <v>852590</v>
      </c>
      <c r="H241" s="239">
        <v>0</v>
      </c>
      <c r="I241" s="239">
        <v>0</v>
      </c>
    </row>
    <row r="242" spans="1:10" ht="30.75" customHeight="1">
      <c r="A242" s="16" t="s">
        <v>280</v>
      </c>
      <c r="B242" s="14">
        <v>757</v>
      </c>
      <c r="C242" s="15" t="s">
        <v>45</v>
      </c>
      <c r="D242" s="15" t="s">
        <v>19</v>
      </c>
      <c r="E242" s="15" t="s">
        <v>592</v>
      </c>
      <c r="F242" s="15"/>
      <c r="G242" s="74">
        <f>G249</f>
        <v>852590</v>
      </c>
      <c r="H242" s="74">
        <v>0</v>
      </c>
      <c r="I242" s="74">
        <v>0</v>
      </c>
    </row>
    <row r="243" spans="1:10" ht="30.75" hidden="1" customHeight="1">
      <c r="A243" s="16" t="s">
        <v>36</v>
      </c>
      <c r="B243" s="49">
        <v>795</v>
      </c>
      <c r="C243" s="15" t="s">
        <v>180</v>
      </c>
      <c r="D243" s="15" t="s">
        <v>28</v>
      </c>
      <c r="E243" s="15" t="s">
        <v>592</v>
      </c>
      <c r="F243" s="15" t="s">
        <v>37</v>
      </c>
      <c r="G243" s="74">
        <f>G244</f>
        <v>0</v>
      </c>
      <c r="H243" s="74">
        <v>0</v>
      </c>
      <c r="I243" s="74">
        <v>0</v>
      </c>
    </row>
    <row r="244" spans="1:10" ht="30.75" hidden="1" customHeight="1">
      <c r="A244" s="16" t="s">
        <v>38</v>
      </c>
      <c r="B244" s="49">
        <v>795</v>
      </c>
      <c r="C244" s="15" t="s">
        <v>180</v>
      </c>
      <c r="D244" s="15" t="s">
        <v>28</v>
      </c>
      <c r="E244" s="15" t="s">
        <v>592</v>
      </c>
      <c r="F244" s="15" t="s">
        <v>39</v>
      </c>
      <c r="G244" s="74">
        <f>'прил 5'!G564</f>
        <v>0</v>
      </c>
      <c r="H244" s="74">
        <v>0</v>
      </c>
      <c r="I244" s="74">
        <v>0</v>
      </c>
    </row>
    <row r="245" spans="1:10" ht="23.25" hidden="1" customHeight="1">
      <c r="A245" s="16" t="s">
        <v>154</v>
      </c>
      <c r="B245" s="14">
        <v>793</v>
      </c>
      <c r="C245" s="15" t="s">
        <v>71</v>
      </c>
      <c r="D245" s="15" t="s">
        <v>127</v>
      </c>
      <c r="E245" s="15" t="s">
        <v>592</v>
      </c>
      <c r="F245" s="15" t="s">
        <v>155</v>
      </c>
      <c r="G245" s="74">
        <f>G246</f>
        <v>7808141.2400000002</v>
      </c>
      <c r="H245" s="74">
        <v>0</v>
      </c>
      <c r="I245" s="74">
        <v>0</v>
      </c>
    </row>
    <row r="246" spans="1:10" ht="30.75" hidden="1" customHeight="1">
      <c r="A246" s="16" t="s">
        <v>156</v>
      </c>
      <c r="B246" s="14">
        <v>793</v>
      </c>
      <c r="C246" s="15" t="s">
        <v>71</v>
      </c>
      <c r="D246" s="15" t="s">
        <v>127</v>
      </c>
      <c r="E246" s="15" t="s">
        <v>592</v>
      </c>
      <c r="F246" s="15" t="s">
        <v>157</v>
      </c>
      <c r="G246" s="74">
        <f>'прил 5'!G185</f>
        <v>7808141.2400000002</v>
      </c>
      <c r="H246" s="74">
        <v>0</v>
      </c>
      <c r="I246" s="74">
        <v>0</v>
      </c>
    </row>
    <row r="247" spans="1:10" ht="21.75" hidden="1" customHeight="1">
      <c r="A247" s="16" t="s">
        <v>163</v>
      </c>
      <c r="B247" s="14">
        <v>793</v>
      </c>
      <c r="C247" s="15" t="s">
        <v>180</v>
      </c>
      <c r="D247" s="15" t="s">
        <v>71</v>
      </c>
      <c r="E247" s="15" t="s">
        <v>592</v>
      </c>
      <c r="F247" s="15" t="s">
        <v>164</v>
      </c>
      <c r="G247" s="74">
        <f>G248</f>
        <v>0</v>
      </c>
      <c r="H247" s="74">
        <v>0</v>
      </c>
      <c r="I247" s="74">
        <v>0</v>
      </c>
    </row>
    <row r="248" spans="1:10" ht="22.5" hidden="1" customHeight="1">
      <c r="A248" s="16" t="s">
        <v>185</v>
      </c>
      <c r="B248" s="14">
        <v>793</v>
      </c>
      <c r="C248" s="15" t="s">
        <v>180</v>
      </c>
      <c r="D248" s="15" t="s">
        <v>71</v>
      </c>
      <c r="E248" s="15" t="s">
        <v>592</v>
      </c>
      <c r="F248" s="15" t="s">
        <v>186</v>
      </c>
      <c r="G248" s="74"/>
      <c r="H248" s="74">
        <v>0</v>
      </c>
      <c r="I248" s="74">
        <v>0</v>
      </c>
    </row>
    <row r="249" spans="1:10" ht="25.5">
      <c r="A249" s="16" t="s">
        <v>30</v>
      </c>
      <c r="B249" s="14">
        <v>757</v>
      </c>
      <c r="C249" s="15" t="s">
        <v>45</v>
      </c>
      <c r="D249" s="15" t="s">
        <v>19</v>
      </c>
      <c r="E249" s="15" t="s">
        <v>592</v>
      </c>
      <c r="F249" s="15" t="s">
        <v>31</v>
      </c>
      <c r="G249" s="89">
        <f t="shared" ref="G249:I249" si="57">G250</f>
        <v>852590</v>
      </c>
      <c r="H249" s="8">
        <f t="shared" si="57"/>
        <v>0</v>
      </c>
      <c r="I249" s="8">
        <f t="shared" si="57"/>
        <v>0</v>
      </c>
    </row>
    <row r="250" spans="1:10">
      <c r="A250" s="16" t="s">
        <v>32</v>
      </c>
      <c r="B250" s="14">
        <v>757</v>
      </c>
      <c r="C250" s="15" t="s">
        <v>45</v>
      </c>
      <c r="D250" s="15" t="s">
        <v>19</v>
      </c>
      <c r="E250" s="15" t="s">
        <v>592</v>
      </c>
      <c r="F250" s="15" t="s">
        <v>33</v>
      </c>
      <c r="G250" s="89">
        <v>852590</v>
      </c>
      <c r="H250" s="8">
        <v>0</v>
      </c>
      <c r="I250" s="8">
        <v>0</v>
      </c>
    </row>
    <row r="251" spans="1:10" s="250" customFormat="1" ht="34.5" customHeight="1">
      <c r="A251" s="207" t="s">
        <v>176</v>
      </c>
      <c r="B251" s="14">
        <v>757</v>
      </c>
      <c r="C251" s="15" t="s">
        <v>45</v>
      </c>
      <c r="D251" s="15" t="s">
        <v>19</v>
      </c>
      <c r="E251" s="88" t="s">
        <v>241</v>
      </c>
      <c r="F251" s="248"/>
      <c r="G251" s="102">
        <f>G252</f>
        <v>102546</v>
      </c>
      <c r="H251" s="102">
        <f t="shared" ref="H251:I252" si="58">H252</f>
        <v>0</v>
      </c>
      <c r="I251" s="102">
        <f t="shared" si="58"/>
        <v>0</v>
      </c>
      <c r="J251" s="249">
        <v>1000000</v>
      </c>
    </row>
    <row r="252" spans="1:10" s="105" customFormat="1" ht="25.5">
      <c r="A252" s="207" t="s">
        <v>176</v>
      </c>
      <c r="B252" s="14">
        <v>757</v>
      </c>
      <c r="C252" s="15" t="s">
        <v>45</v>
      </c>
      <c r="D252" s="15" t="s">
        <v>19</v>
      </c>
      <c r="E252" s="88" t="s">
        <v>285</v>
      </c>
      <c r="F252" s="217"/>
      <c r="G252" s="102">
        <f>G253</f>
        <v>102546</v>
      </c>
      <c r="H252" s="102">
        <f t="shared" si="58"/>
        <v>0</v>
      </c>
      <c r="I252" s="102">
        <f t="shared" si="58"/>
        <v>0</v>
      </c>
      <c r="J252" s="188"/>
    </row>
    <row r="253" spans="1:10" ht="24" customHeight="1">
      <c r="A253" s="16" t="s">
        <v>30</v>
      </c>
      <c r="B253" s="14">
        <v>757</v>
      </c>
      <c r="C253" s="15" t="s">
        <v>45</v>
      </c>
      <c r="D253" s="15" t="s">
        <v>19</v>
      </c>
      <c r="E253" s="15" t="s">
        <v>285</v>
      </c>
      <c r="F253" s="15" t="s">
        <v>31</v>
      </c>
      <c r="G253" s="74">
        <f>G254</f>
        <v>102546</v>
      </c>
      <c r="H253" s="74">
        <f>H254</f>
        <v>0</v>
      </c>
      <c r="I253" s="74">
        <f>I254</f>
        <v>0</v>
      </c>
    </row>
    <row r="254" spans="1:10" ht="18" customHeight="1">
      <c r="A254" s="16" t="s">
        <v>32</v>
      </c>
      <c r="B254" s="14">
        <v>757</v>
      </c>
      <c r="C254" s="15" t="s">
        <v>45</v>
      </c>
      <c r="D254" s="15" t="s">
        <v>19</v>
      </c>
      <c r="E254" s="15" t="s">
        <v>285</v>
      </c>
      <c r="F254" s="15" t="s">
        <v>33</v>
      </c>
      <c r="G254" s="74">
        <v>102546</v>
      </c>
      <c r="H254" s="74">
        <v>0</v>
      </c>
      <c r="I254" s="74">
        <v>0</v>
      </c>
    </row>
    <row r="255" spans="1:10" s="28" customFormat="1" ht="22.5" customHeight="1">
      <c r="A255" s="13" t="s">
        <v>54</v>
      </c>
      <c r="B255" s="14">
        <v>757</v>
      </c>
      <c r="C255" s="15" t="s">
        <v>45</v>
      </c>
      <c r="D255" s="15" t="s">
        <v>55</v>
      </c>
      <c r="E255" s="15"/>
      <c r="F255" s="15"/>
      <c r="G255" s="27">
        <f t="shared" ref="G255:I256" si="59">G256</f>
        <v>8051018.5199999996</v>
      </c>
      <c r="H255" s="27">
        <f t="shared" si="59"/>
        <v>8354374</v>
      </c>
      <c r="I255" s="27">
        <f t="shared" si="59"/>
        <v>8422558</v>
      </c>
    </row>
    <row r="256" spans="1:10" ht="25.5">
      <c r="A256" s="16" t="s">
        <v>506</v>
      </c>
      <c r="B256" s="14">
        <v>757</v>
      </c>
      <c r="C256" s="15" t="s">
        <v>45</v>
      </c>
      <c r="D256" s="15" t="s">
        <v>55</v>
      </c>
      <c r="E256" s="15" t="s">
        <v>200</v>
      </c>
      <c r="F256" s="15"/>
      <c r="G256" s="29">
        <f t="shared" si="59"/>
        <v>8051018.5199999996</v>
      </c>
      <c r="H256" s="29">
        <f t="shared" si="59"/>
        <v>8354374</v>
      </c>
      <c r="I256" s="29">
        <f t="shared" si="59"/>
        <v>8422558</v>
      </c>
    </row>
    <row r="257" spans="1:9" s="28" customFormat="1" ht="25.5">
      <c r="A257" s="13" t="s">
        <v>78</v>
      </c>
      <c r="B257" s="14">
        <v>757</v>
      </c>
      <c r="C257" s="15" t="s">
        <v>45</v>
      </c>
      <c r="D257" s="15" t="s">
        <v>55</v>
      </c>
      <c r="E257" s="15" t="s">
        <v>211</v>
      </c>
      <c r="F257" s="15"/>
      <c r="G257" s="29">
        <f>G258+G260+G262</f>
        <v>8051018.5199999996</v>
      </c>
      <c r="H257" s="29">
        <f>H258+H260+H262</f>
        <v>8354374</v>
      </c>
      <c r="I257" s="29">
        <f>I258+I260+I262</f>
        <v>8422558</v>
      </c>
    </row>
    <row r="258" spans="1:9" s="32" customFormat="1" ht="63.75">
      <c r="A258" s="16" t="s">
        <v>56</v>
      </c>
      <c r="B258" s="14">
        <v>757</v>
      </c>
      <c r="C258" s="15" t="s">
        <v>45</v>
      </c>
      <c r="D258" s="15" t="s">
        <v>55</v>
      </c>
      <c r="E258" s="15" t="s">
        <v>211</v>
      </c>
      <c r="F258" s="15" t="s">
        <v>59</v>
      </c>
      <c r="G258" s="102">
        <f>G259</f>
        <v>7845126.5199999996</v>
      </c>
      <c r="H258" s="74">
        <f>H259</f>
        <v>8098482</v>
      </c>
      <c r="I258" s="74">
        <f>I259</f>
        <v>8166666</v>
      </c>
    </row>
    <row r="259" spans="1:9" s="32" customFormat="1" ht="25.5">
      <c r="A259" s="16" t="s">
        <v>57</v>
      </c>
      <c r="B259" s="14">
        <v>757</v>
      </c>
      <c r="C259" s="15" t="s">
        <v>45</v>
      </c>
      <c r="D259" s="15" t="s">
        <v>55</v>
      </c>
      <c r="E259" s="15" t="s">
        <v>211</v>
      </c>
      <c r="F259" s="15" t="s">
        <v>60</v>
      </c>
      <c r="G259" s="102">
        <f>7983636-60000-78509.48</f>
        <v>7845126.5199999996</v>
      </c>
      <c r="H259" s="74">
        <f>7749636+85246+263600</f>
        <v>8098482</v>
      </c>
      <c r="I259" s="74">
        <f>7834882+86184+245600</f>
        <v>8166666</v>
      </c>
    </row>
    <row r="260" spans="1:9" s="32" customFormat="1" ht="28.5" customHeight="1">
      <c r="A260" s="16" t="s">
        <v>36</v>
      </c>
      <c r="B260" s="14">
        <v>757</v>
      </c>
      <c r="C260" s="15" t="s">
        <v>45</v>
      </c>
      <c r="D260" s="15" t="s">
        <v>55</v>
      </c>
      <c r="E260" s="15" t="s">
        <v>211</v>
      </c>
      <c r="F260" s="15" t="s">
        <v>37</v>
      </c>
      <c r="G260" s="102">
        <f>G261</f>
        <v>205592</v>
      </c>
      <c r="H260" s="74">
        <f>H261</f>
        <v>255592</v>
      </c>
      <c r="I260" s="74">
        <f>I261</f>
        <v>255592</v>
      </c>
    </row>
    <row r="261" spans="1:9" s="32" customFormat="1" ht="25.5">
      <c r="A261" s="16" t="s">
        <v>38</v>
      </c>
      <c r="B261" s="14">
        <v>757</v>
      </c>
      <c r="C261" s="15" t="s">
        <v>45</v>
      </c>
      <c r="D261" s="15" t="s">
        <v>55</v>
      </c>
      <c r="E261" s="15" t="s">
        <v>211</v>
      </c>
      <c r="F261" s="15" t="s">
        <v>39</v>
      </c>
      <c r="G261" s="74">
        <f>255592-50000</f>
        <v>205592</v>
      </c>
      <c r="H261" s="74">
        <v>255592</v>
      </c>
      <c r="I261" s="74">
        <v>255592</v>
      </c>
    </row>
    <row r="262" spans="1:9">
      <c r="A262" s="16" t="s">
        <v>64</v>
      </c>
      <c r="B262" s="14">
        <v>757</v>
      </c>
      <c r="C262" s="15" t="s">
        <v>45</v>
      </c>
      <c r="D262" s="15" t="s">
        <v>55</v>
      </c>
      <c r="E262" s="15" t="s">
        <v>211</v>
      </c>
      <c r="F262" s="15" t="s">
        <v>65</v>
      </c>
      <c r="G262" s="27">
        <f>G263</f>
        <v>300</v>
      </c>
      <c r="H262" s="27">
        <f>H263</f>
        <v>300</v>
      </c>
      <c r="I262" s="27">
        <f>I263</f>
        <v>300</v>
      </c>
    </row>
    <row r="263" spans="1:9">
      <c r="A263" s="16" t="s">
        <v>67</v>
      </c>
      <c r="B263" s="14">
        <v>757</v>
      </c>
      <c r="C263" s="15" t="s">
        <v>45</v>
      </c>
      <c r="D263" s="15" t="s">
        <v>55</v>
      </c>
      <c r="E263" s="15" t="s">
        <v>211</v>
      </c>
      <c r="F263" s="15" t="s">
        <v>68</v>
      </c>
      <c r="G263" s="27">
        <v>300</v>
      </c>
      <c r="H263" s="27">
        <v>300</v>
      </c>
      <c r="I263" s="27">
        <v>300</v>
      </c>
    </row>
    <row r="264" spans="1:9" s="32" customFormat="1" ht="12.75" customHeight="1">
      <c r="A264" s="11" t="s">
        <v>151</v>
      </c>
      <c r="B264" s="20" t="s">
        <v>52</v>
      </c>
      <c r="C264" s="7" t="s">
        <v>70</v>
      </c>
      <c r="D264" s="15"/>
      <c r="E264" s="15"/>
      <c r="F264" s="15"/>
      <c r="G264" s="74">
        <f t="shared" ref="G264:I265" si="60">G265</f>
        <v>11296401.57</v>
      </c>
      <c r="H264" s="74">
        <f t="shared" si="60"/>
        <v>1296576</v>
      </c>
      <c r="I264" s="74">
        <f t="shared" si="60"/>
        <v>1226295</v>
      </c>
    </row>
    <row r="265" spans="1:9" s="32" customFormat="1" ht="12.75" customHeight="1">
      <c r="A265" s="16" t="s">
        <v>159</v>
      </c>
      <c r="B265" s="14">
        <v>757</v>
      </c>
      <c r="C265" s="15" t="s">
        <v>70</v>
      </c>
      <c r="D265" s="15" t="s">
        <v>55</v>
      </c>
      <c r="E265" s="15"/>
      <c r="F265" s="15"/>
      <c r="G265" s="74">
        <f t="shared" si="60"/>
        <v>11296401.57</v>
      </c>
      <c r="H265" s="74">
        <f t="shared" si="60"/>
        <v>1296576</v>
      </c>
      <c r="I265" s="74">
        <f t="shared" si="60"/>
        <v>1226295</v>
      </c>
    </row>
    <row r="266" spans="1:9" s="32" customFormat="1" ht="30.75" customHeight="1">
      <c r="A266" s="144" t="s">
        <v>489</v>
      </c>
      <c r="B266" s="14">
        <v>757</v>
      </c>
      <c r="C266" s="15" t="s">
        <v>70</v>
      </c>
      <c r="D266" s="15" t="s">
        <v>55</v>
      </c>
      <c r="E266" s="15" t="s">
        <v>212</v>
      </c>
      <c r="F266" s="15"/>
      <c r="G266" s="74">
        <f>G267+G273+G270</f>
        <v>11296401.57</v>
      </c>
      <c r="H266" s="74">
        <f>H267+H273</f>
        <v>1296576</v>
      </c>
      <c r="I266" s="74">
        <f>I267+I273</f>
        <v>1226295</v>
      </c>
    </row>
    <row r="267" spans="1:9" ht="33" customHeight="1">
      <c r="A267" s="16" t="s">
        <v>192</v>
      </c>
      <c r="B267" s="14">
        <v>757</v>
      </c>
      <c r="C267" s="15" t="s">
        <v>70</v>
      </c>
      <c r="D267" s="15" t="s">
        <v>55</v>
      </c>
      <c r="E267" s="15" t="s">
        <v>424</v>
      </c>
      <c r="F267" s="15"/>
      <c r="G267" s="74">
        <f t="shared" ref="G267:I271" si="61">G268</f>
        <v>11172741.57</v>
      </c>
      <c r="H267" s="74">
        <f t="shared" si="61"/>
        <v>1296576</v>
      </c>
      <c r="I267" s="74">
        <f t="shared" si="61"/>
        <v>1226295</v>
      </c>
    </row>
    <row r="268" spans="1:9" ht="33" customHeight="1">
      <c r="A268" s="16" t="s">
        <v>154</v>
      </c>
      <c r="B268" s="14">
        <v>757</v>
      </c>
      <c r="C268" s="15" t="s">
        <v>70</v>
      </c>
      <c r="D268" s="15" t="s">
        <v>55</v>
      </c>
      <c r="E268" s="15" t="s">
        <v>424</v>
      </c>
      <c r="F268" s="15" t="s">
        <v>155</v>
      </c>
      <c r="G268" s="74">
        <f t="shared" si="61"/>
        <v>11172741.57</v>
      </c>
      <c r="H268" s="74">
        <f t="shared" si="61"/>
        <v>1296576</v>
      </c>
      <c r="I268" s="74">
        <f t="shared" si="61"/>
        <v>1226295</v>
      </c>
    </row>
    <row r="269" spans="1:9" ht="33" customHeight="1">
      <c r="A269" s="16" t="s">
        <v>156</v>
      </c>
      <c r="B269" s="14">
        <v>757</v>
      </c>
      <c r="C269" s="15" t="s">
        <v>70</v>
      </c>
      <c r="D269" s="15" t="s">
        <v>55</v>
      </c>
      <c r="E269" s="15" t="s">
        <v>424</v>
      </c>
      <c r="F269" s="15" t="s">
        <v>157</v>
      </c>
      <c r="G269" s="74">
        <f>11174913.99-2172.42</f>
        <v>11172741.57</v>
      </c>
      <c r="H269" s="74">
        <v>1296576</v>
      </c>
      <c r="I269" s="74">
        <v>1226295</v>
      </c>
    </row>
    <row r="270" spans="1:9" ht="33" hidden="1" customHeight="1">
      <c r="A270" s="16" t="s">
        <v>863</v>
      </c>
      <c r="B270" s="14">
        <v>757</v>
      </c>
      <c r="C270" s="15" t="s">
        <v>70</v>
      </c>
      <c r="D270" s="15" t="s">
        <v>55</v>
      </c>
      <c r="E270" s="15" t="s">
        <v>862</v>
      </c>
      <c r="F270" s="15"/>
      <c r="G270" s="74">
        <f t="shared" si="61"/>
        <v>0</v>
      </c>
      <c r="H270" s="74">
        <f t="shared" si="61"/>
        <v>0</v>
      </c>
      <c r="I270" s="74">
        <f t="shared" si="61"/>
        <v>0</v>
      </c>
    </row>
    <row r="271" spans="1:9" ht="33" hidden="1" customHeight="1">
      <c r="A271" s="16" t="s">
        <v>154</v>
      </c>
      <c r="B271" s="14">
        <v>757</v>
      </c>
      <c r="C271" s="15" t="s">
        <v>70</v>
      </c>
      <c r="D271" s="15" t="s">
        <v>55</v>
      </c>
      <c r="E271" s="15" t="s">
        <v>862</v>
      </c>
      <c r="F271" s="15" t="s">
        <v>155</v>
      </c>
      <c r="G271" s="74">
        <f t="shared" si="61"/>
        <v>0</v>
      </c>
      <c r="H271" s="74">
        <f t="shared" si="61"/>
        <v>0</v>
      </c>
      <c r="I271" s="74">
        <f t="shared" si="61"/>
        <v>0</v>
      </c>
    </row>
    <row r="272" spans="1:9" ht="33" hidden="1" customHeight="1">
      <c r="A272" s="16" t="s">
        <v>156</v>
      </c>
      <c r="B272" s="14">
        <v>757</v>
      </c>
      <c r="C272" s="15" t="s">
        <v>70</v>
      </c>
      <c r="D272" s="15" t="s">
        <v>55</v>
      </c>
      <c r="E272" s="15" t="s">
        <v>862</v>
      </c>
      <c r="F272" s="15" t="s">
        <v>157</v>
      </c>
      <c r="G272" s="74">
        <v>0</v>
      </c>
      <c r="H272" s="74">
        <v>0</v>
      </c>
      <c r="I272" s="74">
        <v>0</v>
      </c>
    </row>
    <row r="273" spans="1:9" ht="82.5" customHeight="1">
      <c r="A273" s="50" t="s">
        <v>426</v>
      </c>
      <c r="B273" s="14">
        <v>757</v>
      </c>
      <c r="C273" s="15" t="s">
        <v>70</v>
      </c>
      <c r="D273" s="15" t="s">
        <v>55</v>
      </c>
      <c r="E273" s="15" t="s">
        <v>425</v>
      </c>
      <c r="F273" s="15"/>
      <c r="G273" s="74">
        <f t="shared" ref="G273:I274" si="62">G274</f>
        <v>123660</v>
      </c>
      <c r="H273" s="74">
        <f t="shared" si="62"/>
        <v>0</v>
      </c>
      <c r="I273" s="74">
        <f t="shared" si="62"/>
        <v>0</v>
      </c>
    </row>
    <row r="274" spans="1:9" ht="33" customHeight="1">
      <c r="A274" s="16" t="s">
        <v>154</v>
      </c>
      <c r="B274" s="14">
        <v>757</v>
      </c>
      <c r="C274" s="15" t="s">
        <v>70</v>
      </c>
      <c r="D274" s="15" t="s">
        <v>55</v>
      </c>
      <c r="E274" s="15" t="s">
        <v>425</v>
      </c>
      <c r="F274" s="15" t="s">
        <v>155</v>
      </c>
      <c r="G274" s="74">
        <f t="shared" si="62"/>
        <v>123660</v>
      </c>
      <c r="H274" s="74">
        <f t="shared" si="62"/>
        <v>0</v>
      </c>
      <c r="I274" s="74">
        <f t="shared" si="62"/>
        <v>0</v>
      </c>
    </row>
    <row r="275" spans="1:9" ht="33" customHeight="1">
      <c r="A275" s="16" t="s">
        <v>156</v>
      </c>
      <c r="B275" s="14">
        <v>757</v>
      </c>
      <c r="C275" s="15" t="s">
        <v>70</v>
      </c>
      <c r="D275" s="15" t="s">
        <v>55</v>
      </c>
      <c r="E275" s="15" t="s">
        <v>425</v>
      </c>
      <c r="F275" s="15" t="s">
        <v>157</v>
      </c>
      <c r="G275" s="74">
        <v>123660</v>
      </c>
      <c r="H275" s="74">
        <v>0</v>
      </c>
      <c r="I275" s="74">
        <v>0</v>
      </c>
    </row>
    <row r="276" spans="1:9" s="32" customFormat="1" ht="17.25" customHeight="1">
      <c r="A276" s="5" t="s">
        <v>371</v>
      </c>
      <c r="B276" s="35">
        <v>757</v>
      </c>
      <c r="C276" s="36" t="s">
        <v>73</v>
      </c>
      <c r="D276" s="36"/>
      <c r="E276" s="36"/>
      <c r="F276" s="36"/>
      <c r="G276" s="75">
        <f>G292+G277</f>
        <v>380000</v>
      </c>
      <c r="H276" s="75">
        <f>H292+H277</f>
        <v>910000</v>
      </c>
      <c r="I276" s="75">
        <f>I292+I277</f>
        <v>962000</v>
      </c>
    </row>
    <row r="277" spans="1:9" s="32" customFormat="1" ht="17.25" hidden="1" customHeight="1">
      <c r="A277" s="163" t="s">
        <v>514</v>
      </c>
      <c r="B277" s="14">
        <v>757</v>
      </c>
      <c r="C277" s="15" t="s">
        <v>73</v>
      </c>
      <c r="D277" s="15" t="s">
        <v>19</v>
      </c>
      <c r="E277" s="36"/>
      <c r="F277" s="36"/>
      <c r="G277" s="75">
        <f>G278+G288</f>
        <v>0</v>
      </c>
      <c r="H277" s="75">
        <f>H278+H288</f>
        <v>0</v>
      </c>
      <c r="I277" s="75">
        <f>I278+I288</f>
        <v>0</v>
      </c>
    </row>
    <row r="278" spans="1:9" ht="27.75" hidden="1" customHeight="1">
      <c r="A278" s="37" t="s">
        <v>503</v>
      </c>
      <c r="B278" s="14">
        <v>757</v>
      </c>
      <c r="C278" s="15" t="s">
        <v>73</v>
      </c>
      <c r="D278" s="15" t="s">
        <v>19</v>
      </c>
      <c r="E278" s="15" t="s">
        <v>202</v>
      </c>
      <c r="F278" s="15"/>
      <c r="G278" s="74">
        <f>G280+G283+G285</f>
        <v>0</v>
      </c>
      <c r="H278" s="74">
        <f>H280+H283+H285</f>
        <v>0</v>
      </c>
      <c r="I278" s="74">
        <f>I280+I283+I285</f>
        <v>0</v>
      </c>
    </row>
    <row r="279" spans="1:9" ht="19.5" hidden="1" customHeight="1">
      <c r="A279" s="16" t="s">
        <v>32</v>
      </c>
      <c r="B279" s="14">
        <v>757</v>
      </c>
      <c r="C279" s="15" t="s">
        <v>73</v>
      </c>
      <c r="D279" s="15" t="s">
        <v>19</v>
      </c>
      <c r="E279" s="15" t="s">
        <v>41</v>
      </c>
      <c r="F279" s="15" t="s">
        <v>33</v>
      </c>
      <c r="G279" s="74"/>
      <c r="H279" s="74"/>
      <c r="I279" s="74"/>
    </row>
    <row r="280" spans="1:9" ht="39" hidden="1" customHeight="1">
      <c r="A280" s="16" t="s">
        <v>116</v>
      </c>
      <c r="B280" s="14">
        <v>757</v>
      </c>
      <c r="C280" s="15" t="s">
        <v>73</v>
      </c>
      <c r="D280" s="15" t="s">
        <v>19</v>
      </c>
      <c r="E280" s="15" t="s">
        <v>203</v>
      </c>
      <c r="F280" s="15"/>
      <c r="G280" s="74">
        <f>G281</f>
        <v>0</v>
      </c>
      <c r="H280" s="74">
        <f t="shared" ref="H280:I280" si="63">H281</f>
        <v>0</v>
      </c>
      <c r="I280" s="74">
        <f t="shared" si="63"/>
        <v>0</v>
      </c>
    </row>
    <row r="281" spans="1:9" ht="25.5" hidden="1">
      <c r="A281" s="16" t="s">
        <v>30</v>
      </c>
      <c r="B281" s="14">
        <v>757</v>
      </c>
      <c r="C281" s="15" t="s">
        <v>73</v>
      </c>
      <c r="D281" s="15" t="s">
        <v>19</v>
      </c>
      <c r="E281" s="15" t="s">
        <v>203</v>
      </c>
      <c r="F281" s="15" t="s">
        <v>31</v>
      </c>
      <c r="G281" s="74">
        <f>G282</f>
        <v>0</v>
      </c>
      <c r="H281" s="74">
        <f>H282</f>
        <v>0</v>
      </c>
      <c r="I281" s="74">
        <f>I282</f>
        <v>0</v>
      </c>
    </row>
    <row r="282" spans="1:9" ht="19.5" hidden="1" customHeight="1">
      <c r="A282" s="16" t="s">
        <v>32</v>
      </c>
      <c r="B282" s="14">
        <v>757</v>
      </c>
      <c r="C282" s="15" t="s">
        <v>73</v>
      </c>
      <c r="D282" s="15" t="s">
        <v>19</v>
      </c>
      <c r="E282" s="15" t="s">
        <v>203</v>
      </c>
      <c r="F282" s="15" t="s">
        <v>33</v>
      </c>
      <c r="G282" s="74"/>
      <c r="H282" s="74"/>
      <c r="I282" s="74"/>
    </row>
    <row r="283" spans="1:9" s="32" customFormat="1" ht="25.5" hidden="1" customHeight="1">
      <c r="A283" s="16" t="s">
        <v>30</v>
      </c>
      <c r="B283" s="14">
        <v>757</v>
      </c>
      <c r="C283" s="15" t="s">
        <v>73</v>
      </c>
      <c r="D283" s="15" t="s">
        <v>19</v>
      </c>
      <c r="E283" s="15" t="s">
        <v>567</v>
      </c>
      <c r="F283" s="15" t="s">
        <v>31</v>
      </c>
      <c r="G283" s="74">
        <f>G284</f>
        <v>0</v>
      </c>
      <c r="H283" s="74">
        <v>0</v>
      </c>
      <c r="I283" s="74">
        <v>0</v>
      </c>
    </row>
    <row r="284" spans="1:9" s="32" customFormat="1" ht="17.25" hidden="1" customHeight="1">
      <c r="A284" s="16" t="s">
        <v>32</v>
      </c>
      <c r="B284" s="14">
        <v>757</v>
      </c>
      <c r="C284" s="15" t="s">
        <v>73</v>
      </c>
      <c r="D284" s="15" t="s">
        <v>19</v>
      </c>
      <c r="E284" s="15" t="s">
        <v>567</v>
      </c>
      <c r="F284" s="15" t="s">
        <v>33</v>
      </c>
      <c r="G284" s="74"/>
      <c r="H284" s="74">
        <v>0</v>
      </c>
      <c r="I284" s="74">
        <v>0</v>
      </c>
    </row>
    <row r="285" spans="1:9" s="32" customFormat="1" ht="65.25" hidden="1" customHeight="1">
      <c r="A285" s="16" t="s">
        <v>636</v>
      </c>
      <c r="B285" s="14">
        <v>757</v>
      </c>
      <c r="C285" s="15" t="s">
        <v>73</v>
      </c>
      <c r="D285" s="15" t="s">
        <v>19</v>
      </c>
      <c r="E285" s="15" t="s">
        <v>635</v>
      </c>
      <c r="F285" s="15"/>
      <c r="G285" s="74">
        <f>G286</f>
        <v>0</v>
      </c>
      <c r="H285" s="74">
        <f t="shared" ref="H285:I285" si="64">H286</f>
        <v>0</v>
      </c>
      <c r="I285" s="74">
        <f t="shared" si="64"/>
        <v>0</v>
      </c>
    </row>
    <row r="286" spans="1:9" s="32" customFormat="1" ht="25.5" hidden="1" customHeight="1">
      <c r="A286" s="16" t="s">
        <v>30</v>
      </c>
      <c r="B286" s="14">
        <v>757</v>
      </c>
      <c r="C286" s="15" t="s">
        <v>73</v>
      </c>
      <c r="D286" s="15" t="s">
        <v>19</v>
      </c>
      <c r="E286" s="15" t="s">
        <v>635</v>
      </c>
      <c r="F286" s="15" t="s">
        <v>31</v>
      </c>
      <c r="G286" s="74">
        <f>G287</f>
        <v>0</v>
      </c>
      <c r="H286" s="74">
        <v>0</v>
      </c>
      <c r="I286" s="74">
        <v>0</v>
      </c>
    </row>
    <row r="287" spans="1:9" s="32" customFormat="1" ht="17.25" hidden="1" customHeight="1">
      <c r="A287" s="16" t="s">
        <v>32</v>
      </c>
      <c r="B287" s="14">
        <v>757</v>
      </c>
      <c r="C287" s="15" t="s">
        <v>73</v>
      </c>
      <c r="D287" s="15" t="s">
        <v>19</v>
      </c>
      <c r="E287" s="15" t="s">
        <v>635</v>
      </c>
      <c r="F287" s="15" t="s">
        <v>33</v>
      </c>
      <c r="G287" s="74"/>
      <c r="H287" s="74">
        <v>0</v>
      </c>
      <c r="I287" s="74">
        <v>0</v>
      </c>
    </row>
    <row r="288" spans="1:9" s="18" customFormat="1" ht="25.5" hidden="1">
      <c r="A288" s="16" t="s">
        <v>493</v>
      </c>
      <c r="B288" s="14">
        <v>757</v>
      </c>
      <c r="C288" s="15" t="s">
        <v>73</v>
      </c>
      <c r="D288" s="15" t="s">
        <v>19</v>
      </c>
      <c r="E288" s="15" t="s">
        <v>270</v>
      </c>
      <c r="F288" s="15"/>
      <c r="G288" s="74">
        <f>G289</f>
        <v>0</v>
      </c>
      <c r="H288" s="74">
        <f t="shared" ref="H288:I290" si="65">H289</f>
        <v>0</v>
      </c>
      <c r="I288" s="74">
        <f t="shared" si="65"/>
        <v>0</v>
      </c>
    </row>
    <row r="289" spans="1:10" s="18" customFormat="1" ht="25.5" hidden="1">
      <c r="A289" s="16" t="s">
        <v>492</v>
      </c>
      <c r="B289" s="14">
        <v>757</v>
      </c>
      <c r="C289" s="15" t="s">
        <v>73</v>
      </c>
      <c r="D289" s="15" t="s">
        <v>19</v>
      </c>
      <c r="E289" s="15" t="s">
        <v>462</v>
      </c>
      <c r="F289" s="15"/>
      <c r="G289" s="74">
        <f>G290</f>
        <v>0</v>
      </c>
      <c r="H289" s="74">
        <f t="shared" si="65"/>
        <v>0</v>
      </c>
      <c r="I289" s="74">
        <f t="shared" si="65"/>
        <v>0</v>
      </c>
    </row>
    <row r="290" spans="1:10" s="18" customFormat="1" ht="25.5" hidden="1">
      <c r="A290" s="16" t="s">
        <v>99</v>
      </c>
      <c r="B290" s="14">
        <v>757</v>
      </c>
      <c r="C290" s="15" t="s">
        <v>73</v>
      </c>
      <c r="D290" s="15" t="s">
        <v>19</v>
      </c>
      <c r="E290" s="15" t="s">
        <v>462</v>
      </c>
      <c r="F290" s="15" t="s">
        <v>359</v>
      </c>
      <c r="G290" s="74">
        <f>G291</f>
        <v>0</v>
      </c>
      <c r="H290" s="74">
        <f t="shared" si="65"/>
        <v>0</v>
      </c>
      <c r="I290" s="74">
        <f t="shared" si="65"/>
        <v>0</v>
      </c>
    </row>
    <row r="291" spans="1:10" s="18" customFormat="1" ht="89.25" hidden="1">
      <c r="A291" s="50" t="s">
        <v>434</v>
      </c>
      <c r="B291" s="14">
        <v>757</v>
      </c>
      <c r="C291" s="15" t="s">
        <v>73</v>
      </c>
      <c r="D291" s="15" t="s">
        <v>19</v>
      </c>
      <c r="E291" s="15" t="s">
        <v>462</v>
      </c>
      <c r="F291" s="15" t="s">
        <v>433</v>
      </c>
      <c r="G291" s="74">
        <f>50000-50000</f>
        <v>0</v>
      </c>
      <c r="H291" s="74"/>
      <c r="I291" s="74"/>
    </row>
    <row r="292" spans="1:10" s="33" customFormat="1" ht="15" customHeight="1">
      <c r="A292" s="16" t="s">
        <v>72</v>
      </c>
      <c r="B292" s="14">
        <v>757</v>
      </c>
      <c r="C292" s="15" t="s">
        <v>73</v>
      </c>
      <c r="D292" s="15" t="s">
        <v>28</v>
      </c>
      <c r="E292" s="39"/>
      <c r="F292" s="39"/>
      <c r="G292" s="29">
        <f>G293</f>
        <v>380000</v>
      </c>
      <c r="H292" s="29">
        <f>H293+H106</f>
        <v>910000</v>
      </c>
      <c r="I292" s="29">
        <f>I293+I106</f>
        <v>962000</v>
      </c>
    </row>
    <row r="293" spans="1:10" s="28" customFormat="1" ht="28.5" customHeight="1">
      <c r="A293" s="37" t="s">
        <v>503</v>
      </c>
      <c r="B293" s="14">
        <v>757</v>
      </c>
      <c r="C293" s="15" t="s">
        <v>73</v>
      </c>
      <c r="D293" s="15" t="s">
        <v>28</v>
      </c>
      <c r="E293" s="15" t="s">
        <v>202</v>
      </c>
      <c r="F293" s="15"/>
      <c r="G293" s="74">
        <f>G294</f>
        <v>380000</v>
      </c>
      <c r="H293" s="74">
        <f>H294</f>
        <v>910000</v>
      </c>
      <c r="I293" s="74">
        <f>I294</f>
        <v>962000</v>
      </c>
    </row>
    <row r="294" spans="1:10" s="28" customFormat="1" ht="27.75" customHeight="1">
      <c r="A294" s="37" t="s">
        <v>74</v>
      </c>
      <c r="B294" s="14">
        <v>757</v>
      </c>
      <c r="C294" s="15" t="s">
        <v>73</v>
      </c>
      <c r="D294" s="15" t="s">
        <v>28</v>
      </c>
      <c r="E294" s="15" t="s">
        <v>213</v>
      </c>
      <c r="F294" s="15"/>
      <c r="G294" s="74">
        <f>G295</f>
        <v>380000</v>
      </c>
      <c r="H294" s="74">
        <f t="shared" ref="H294:I294" si="66">H295</f>
        <v>910000</v>
      </c>
      <c r="I294" s="74">
        <f t="shared" si="66"/>
        <v>962000</v>
      </c>
    </row>
    <row r="295" spans="1:10" s="32" customFormat="1" ht="28.5" customHeight="1">
      <c r="A295" s="16" t="s">
        <v>36</v>
      </c>
      <c r="B295" s="14">
        <v>757</v>
      </c>
      <c r="C295" s="15" t="s">
        <v>73</v>
      </c>
      <c r="D295" s="15" t="s">
        <v>28</v>
      </c>
      <c r="E295" s="15" t="s">
        <v>213</v>
      </c>
      <c r="F295" s="15" t="s">
        <v>37</v>
      </c>
      <c r="G295" s="74">
        <f>G296</f>
        <v>380000</v>
      </c>
      <c r="H295" s="74">
        <f>H296</f>
        <v>910000</v>
      </c>
      <c r="I295" s="74">
        <f>I296</f>
        <v>962000</v>
      </c>
    </row>
    <row r="296" spans="1:10" s="32" customFormat="1" ht="25.5">
      <c r="A296" s="16" t="s">
        <v>38</v>
      </c>
      <c r="B296" s="14">
        <v>757</v>
      </c>
      <c r="C296" s="15" t="s">
        <v>73</v>
      </c>
      <c r="D296" s="15" t="s">
        <v>28</v>
      </c>
      <c r="E296" s="15" t="s">
        <v>213</v>
      </c>
      <c r="F296" s="15" t="s">
        <v>39</v>
      </c>
      <c r="G296" s="74">
        <f>680000-300000</f>
        <v>380000</v>
      </c>
      <c r="H296" s="74">
        <v>910000</v>
      </c>
      <c r="I296" s="74">
        <v>962000</v>
      </c>
      <c r="J296" s="31" t="e">
        <f>J297-G297</f>
        <v>#REF!</v>
      </c>
    </row>
    <row r="297" spans="1:10" s="184" customFormat="1">
      <c r="A297" s="169" t="s">
        <v>75</v>
      </c>
      <c r="B297" s="170"/>
      <c r="C297" s="171"/>
      <c r="D297" s="171"/>
      <c r="E297" s="171"/>
      <c r="F297" s="171"/>
      <c r="G297" s="172">
        <f>G23+G34+G121+G264+G276</f>
        <v>181817361.34999999</v>
      </c>
      <c r="H297" s="172">
        <f>H34+H121+H276+H264+H23</f>
        <v>173913808.88</v>
      </c>
      <c r="I297" s="172">
        <f>I34+I121+I276+I264+I23</f>
        <v>157768270.75</v>
      </c>
      <c r="J297" s="183" t="e">
        <f>G30+G39+#REF!+G90+G115+G148+G151+G186+G192+G197+G206+G259+G261+G263+G269+G275+G296+#REF!</f>
        <v>#REF!</v>
      </c>
    </row>
    <row r="298" spans="1:10" s="182" customFormat="1" ht="38.25">
      <c r="A298" s="98" t="s">
        <v>76</v>
      </c>
      <c r="B298" s="94">
        <v>763</v>
      </c>
      <c r="C298" s="95"/>
      <c r="D298" s="95"/>
      <c r="E298" s="95"/>
      <c r="F298" s="95"/>
      <c r="G298" s="96"/>
      <c r="H298" s="96"/>
      <c r="I298" s="96"/>
    </row>
    <row r="299" spans="1:10">
      <c r="A299" s="5" t="s">
        <v>18</v>
      </c>
      <c r="B299" s="6">
        <v>763</v>
      </c>
      <c r="C299" s="7" t="s">
        <v>19</v>
      </c>
      <c r="D299" s="7"/>
      <c r="E299" s="7"/>
      <c r="F299" s="7"/>
      <c r="G299" s="38">
        <f>G300+G309</f>
        <v>10031637.439999999</v>
      </c>
      <c r="H299" s="38">
        <f>H300+H309</f>
        <v>10247399.6</v>
      </c>
      <c r="I299" s="38">
        <f>I300+I309</f>
        <v>10248516.6</v>
      </c>
    </row>
    <row r="300" spans="1:10" s="33" customFormat="1" ht="51">
      <c r="A300" s="16" t="s">
        <v>77</v>
      </c>
      <c r="B300" s="14">
        <v>763</v>
      </c>
      <c r="C300" s="15" t="s">
        <v>19</v>
      </c>
      <c r="D300" s="15" t="s">
        <v>55</v>
      </c>
      <c r="E300" s="15"/>
      <c r="F300" s="39"/>
      <c r="G300" s="74">
        <f>SUM(G301)</f>
        <v>9885923.5999999996</v>
      </c>
      <c r="H300" s="74">
        <f>SUM(H301)</f>
        <v>9967399.5999999996</v>
      </c>
      <c r="I300" s="74">
        <f>SUM(I301)</f>
        <v>9968516.5999999996</v>
      </c>
    </row>
    <row r="301" spans="1:10" s="33" customFormat="1" ht="38.25">
      <c r="A301" s="16" t="s">
        <v>456</v>
      </c>
      <c r="B301" s="14">
        <v>763</v>
      </c>
      <c r="C301" s="15" t="s">
        <v>19</v>
      </c>
      <c r="D301" s="15" t="s">
        <v>55</v>
      </c>
      <c r="E301" s="15" t="s">
        <v>214</v>
      </c>
      <c r="F301" s="39"/>
      <c r="G301" s="74">
        <f>G302</f>
        <v>9885923.5999999996</v>
      </c>
      <c r="H301" s="74">
        <f>H302</f>
        <v>9967399.5999999996</v>
      </c>
      <c r="I301" s="74">
        <f>I302</f>
        <v>9968516.5999999996</v>
      </c>
    </row>
    <row r="302" spans="1:10" s="33" customFormat="1" ht="25.5">
      <c r="A302" s="16" t="s">
        <v>78</v>
      </c>
      <c r="B302" s="14">
        <v>763</v>
      </c>
      <c r="C302" s="15" t="s">
        <v>19</v>
      </c>
      <c r="D302" s="15" t="s">
        <v>55</v>
      </c>
      <c r="E302" s="15" t="s">
        <v>215</v>
      </c>
      <c r="F302" s="39"/>
      <c r="G302" s="74">
        <f>SUM(G303+G305+G308)</f>
        <v>9885923.5999999996</v>
      </c>
      <c r="H302" s="74">
        <f>SUM(H303+H305+H308)</f>
        <v>9967399.5999999996</v>
      </c>
      <c r="I302" s="74">
        <f>SUM(I303+I305+I308)</f>
        <v>9968516.5999999996</v>
      </c>
    </row>
    <row r="303" spans="1:10" ht="63.75">
      <c r="A303" s="16" t="s">
        <v>56</v>
      </c>
      <c r="B303" s="14">
        <v>763</v>
      </c>
      <c r="C303" s="15" t="s">
        <v>19</v>
      </c>
      <c r="D303" s="15" t="s">
        <v>55</v>
      </c>
      <c r="E303" s="15" t="s">
        <v>215</v>
      </c>
      <c r="F303" s="15" t="s">
        <v>59</v>
      </c>
      <c r="G303" s="74">
        <f>SUM(G304)</f>
        <v>9342856</v>
      </c>
      <c r="H303" s="74">
        <f>SUM(H304)</f>
        <v>9444382</v>
      </c>
      <c r="I303" s="74">
        <f>SUM(I304)</f>
        <v>9445499</v>
      </c>
    </row>
    <row r="304" spans="1:10" ht="25.5">
      <c r="A304" s="16" t="s">
        <v>57</v>
      </c>
      <c r="B304" s="14">
        <v>763</v>
      </c>
      <c r="C304" s="15" t="s">
        <v>19</v>
      </c>
      <c r="D304" s="15" t="s">
        <v>55</v>
      </c>
      <c r="E304" s="15" t="s">
        <v>215</v>
      </c>
      <c r="F304" s="15" t="s">
        <v>60</v>
      </c>
      <c r="G304" s="74">
        <v>9342856</v>
      </c>
      <c r="H304" s="74">
        <f>G304+101526</f>
        <v>9444382</v>
      </c>
      <c r="I304" s="74">
        <f>G304+102643</f>
        <v>9445499</v>
      </c>
    </row>
    <row r="305" spans="1:10" ht="25.5">
      <c r="A305" s="16" t="s">
        <v>36</v>
      </c>
      <c r="B305" s="14">
        <v>763</v>
      </c>
      <c r="C305" s="15" t="s">
        <v>19</v>
      </c>
      <c r="D305" s="15" t="s">
        <v>55</v>
      </c>
      <c r="E305" s="15" t="s">
        <v>215</v>
      </c>
      <c r="F305" s="15" t="s">
        <v>37</v>
      </c>
      <c r="G305" s="74">
        <f>SUM(G306)</f>
        <v>524203.6</v>
      </c>
      <c r="H305" s="74">
        <f>SUM(H306)</f>
        <v>500017.6</v>
      </c>
      <c r="I305" s="74">
        <f>SUM(I306)</f>
        <v>500017.6</v>
      </c>
    </row>
    <row r="306" spans="1:10" ht="25.5">
      <c r="A306" s="16" t="s">
        <v>38</v>
      </c>
      <c r="B306" s="14">
        <v>763</v>
      </c>
      <c r="C306" s="15" t="s">
        <v>19</v>
      </c>
      <c r="D306" s="15" t="s">
        <v>55</v>
      </c>
      <c r="E306" s="15" t="s">
        <v>215</v>
      </c>
      <c r="F306" s="15" t="s">
        <v>39</v>
      </c>
      <c r="G306" s="74">
        <f>500017.6+4136+20050</f>
        <v>524203.6</v>
      </c>
      <c r="H306" s="74">
        <v>500017.6</v>
      </c>
      <c r="I306" s="74">
        <v>500017.6</v>
      </c>
    </row>
    <row r="307" spans="1:10" ht="19.5" customHeight="1">
      <c r="A307" s="30" t="s">
        <v>64</v>
      </c>
      <c r="B307" s="14">
        <v>763</v>
      </c>
      <c r="C307" s="15" t="s">
        <v>19</v>
      </c>
      <c r="D307" s="15" t="s">
        <v>55</v>
      </c>
      <c r="E307" s="15" t="s">
        <v>215</v>
      </c>
      <c r="F307" s="15" t="s">
        <v>65</v>
      </c>
      <c r="G307" s="74">
        <f>G308</f>
        <v>18864</v>
      </c>
      <c r="H307" s="74">
        <f>H308</f>
        <v>23000</v>
      </c>
      <c r="I307" s="74">
        <f>I308</f>
        <v>23000</v>
      </c>
    </row>
    <row r="308" spans="1:10" ht="16.5" customHeight="1">
      <c r="A308" s="30" t="s">
        <v>150</v>
      </c>
      <c r="B308" s="14">
        <v>763</v>
      </c>
      <c r="C308" s="15" t="s">
        <v>19</v>
      </c>
      <c r="D308" s="15" t="s">
        <v>55</v>
      </c>
      <c r="E308" s="15" t="s">
        <v>215</v>
      </c>
      <c r="F308" s="15" t="s">
        <v>68</v>
      </c>
      <c r="G308" s="74">
        <f>23000-4136</f>
        <v>18864</v>
      </c>
      <c r="H308" s="74">
        <v>23000</v>
      </c>
      <c r="I308" s="74">
        <v>23000</v>
      </c>
    </row>
    <row r="309" spans="1:10" ht="18.75" customHeight="1">
      <c r="A309" s="40" t="s">
        <v>22</v>
      </c>
      <c r="B309" s="14">
        <v>763</v>
      </c>
      <c r="C309" s="15" t="s">
        <v>19</v>
      </c>
      <c r="D309" s="15" t="s">
        <v>23</v>
      </c>
      <c r="E309" s="15"/>
      <c r="F309" s="15"/>
      <c r="G309" s="74">
        <f>G310</f>
        <v>145713.84000000003</v>
      </c>
      <c r="H309" s="74">
        <f>H310</f>
        <v>280000</v>
      </c>
      <c r="I309" s="74">
        <f>I310</f>
        <v>280000</v>
      </c>
    </row>
    <row r="310" spans="1:10" ht="39.75" customHeight="1">
      <c r="A310" s="16" t="s">
        <v>456</v>
      </c>
      <c r="B310" s="14">
        <v>763</v>
      </c>
      <c r="C310" s="15" t="s">
        <v>19</v>
      </c>
      <c r="D310" s="15" t="s">
        <v>23</v>
      </c>
      <c r="E310" s="15" t="s">
        <v>214</v>
      </c>
      <c r="F310" s="15"/>
      <c r="G310" s="74">
        <f>G311</f>
        <v>145713.84000000003</v>
      </c>
      <c r="H310" s="74">
        <f t="shared" ref="H310:I310" si="67">H311</f>
        <v>280000</v>
      </c>
      <c r="I310" s="74">
        <f t="shared" si="67"/>
        <v>280000</v>
      </c>
    </row>
    <row r="311" spans="1:10" ht="28.5" customHeight="1">
      <c r="A311" s="16" t="s">
        <v>664</v>
      </c>
      <c r="B311" s="14">
        <v>763</v>
      </c>
      <c r="C311" s="15" t="s">
        <v>19</v>
      </c>
      <c r="D311" s="15" t="s">
        <v>23</v>
      </c>
      <c r="E311" s="15" t="s">
        <v>216</v>
      </c>
      <c r="F311" s="15"/>
      <c r="G311" s="74">
        <f>G312+G314</f>
        <v>145713.84000000003</v>
      </c>
      <c r="H311" s="74">
        <f t="shared" ref="H311:I311" si="68">H312+H314</f>
        <v>280000</v>
      </c>
      <c r="I311" s="74">
        <f t="shared" si="68"/>
        <v>280000</v>
      </c>
    </row>
    <row r="312" spans="1:10" ht="27.75" customHeight="1">
      <c r="A312" s="16" t="s">
        <v>36</v>
      </c>
      <c r="B312" s="14">
        <v>763</v>
      </c>
      <c r="C312" s="15" t="s">
        <v>19</v>
      </c>
      <c r="D312" s="15" t="s">
        <v>23</v>
      </c>
      <c r="E312" s="15" t="s">
        <v>216</v>
      </c>
      <c r="F312" s="15" t="s">
        <v>37</v>
      </c>
      <c r="G312" s="74">
        <f t="shared" ref="G312:I312" si="69">G313</f>
        <v>145713.84000000003</v>
      </c>
      <c r="H312" s="74">
        <f t="shared" si="69"/>
        <v>280000</v>
      </c>
      <c r="I312" s="74">
        <f t="shared" si="69"/>
        <v>280000</v>
      </c>
    </row>
    <row r="313" spans="1:10" ht="28.5" customHeight="1">
      <c r="A313" s="16" t="s">
        <v>38</v>
      </c>
      <c r="B313" s="14">
        <v>763</v>
      </c>
      <c r="C313" s="15" t="s">
        <v>19</v>
      </c>
      <c r="D313" s="15" t="s">
        <v>23</v>
      </c>
      <c r="E313" s="15" t="s">
        <v>216</v>
      </c>
      <c r="F313" s="15" t="s">
        <v>39</v>
      </c>
      <c r="G313" s="74">
        <f>200000+80000-55000-11711.21-67574.95</f>
        <v>145713.84000000003</v>
      </c>
      <c r="H313" s="74">
        <v>280000</v>
      </c>
      <c r="I313" s="74">
        <v>280000</v>
      </c>
    </row>
    <row r="314" spans="1:10">
      <c r="A314" s="16" t="s">
        <v>64</v>
      </c>
      <c r="B314" s="14">
        <v>763</v>
      </c>
      <c r="C314" s="15" t="s">
        <v>19</v>
      </c>
      <c r="D314" s="15" t="s">
        <v>23</v>
      </c>
      <c r="E314" s="15" t="s">
        <v>216</v>
      </c>
      <c r="F314" s="15" t="s">
        <v>65</v>
      </c>
      <c r="G314" s="102">
        <f>G315</f>
        <v>0</v>
      </c>
      <c r="H314" s="74">
        <v>0</v>
      </c>
      <c r="I314" s="74">
        <v>0</v>
      </c>
      <c r="J314" s="2"/>
    </row>
    <row r="315" spans="1:10" ht="15" customHeight="1">
      <c r="A315" s="16" t="s">
        <v>187</v>
      </c>
      <c r="B315" s="14">
        <v>763</v>
      </c>
      <c r="C315" s="15" t="s">
        <v>19</v>
      </c>
      <c r="D315" s="15" t="s">
        <v>23</v>
      </c>
      <c r="E315" s="15" t="s">
        <v>216</v>
      </c>
      <c r="F315" s="15" t="s">
        <v>188</v>
      </c>
      <c r="G315" s="102">
        <f>500000-500000</f>
        <v>0</v>
      </c>
      <c r="H315" s="74">
        <v>0</v>
      </c>
      <c r="I315" s="74">
        <v>0</v>
      </c>
      <c r="J315" s="2"/>
    </row>
    <row r="316" spans="1:10">
      <c r="A316" s="11" t="s">
        <v>88</v>
      </c>
      <c r="B316" s="6">
        <v>763</v>
      </c>
      <c r="C316" s="7" t="s">
        <v>55</v>
      </c>
      <c r="D316" s="7"/>
      <c r="E316" s="7"/>
      <c r="F316" s="7"/>
      <c r="G316" s="38">
        <f>SUM(G322)+G317</f>
        <v>1883236.1600000001</v>
      </c>
      <c r="H316" s="38">
        <f>SUM(H322)</f>
        <v>510000</v>
      </c>
      <c r="I316" s="38">
        <f>SUM(I322)</f>
        <v>510000</v>
      </c>
    </row>
    <row r="317" spans="1:10">
      <c r="A317" s="243" t="s">
        <v>828</v>
      </c>
      <c r="B317" s="14">
        <v>763</v>
      </c>
      <c r="C317" s="70" t="s">
        <v>55</v>
      </c>
      <c r="D317" s="70" t="s">
        <v>180</v>
      </c>
      <c r="E317" s="7"/>
      <c r="F317" s="7"/>
      <c r="G317" s="29">
        <f>G319</f>
        <v>660000</v>
      </c>
      <c r="H317" s="29">
        <f t="shared" ref="H317:I317" si="70">H319</f>
        <v>0</v>
      </c>
      <c r="I317" s="29">
        <f t="shared" si="70"/>
        <v>0</v>
      </c>
    </row>
    <row r="318" spans="1:10" ht="53.25" customHeight="1">
      <c r="A318" s="16" t="s">
        <v>456</v>
      </c>
      <c r="B318" s="14">
        <v>763</v>
      </c>
      <c r="C318" s="15" t="s">
        <v>55</v>
      </c>
      <c r="D318" s="15" t="s">
        <v>180</v>
      </c>
      <c r="E318" s="14" t="s">
        <v>214</v>
      </c>
      <c r="F318" s="14"/>
      <c r="G318" s="74">
        <f>G319</f>
        <v>660000</v>
      </c>
      <c r="H318" s="74">
        <f t="shared" ref="H318:I318" si="71">H319</f>
        <v>0</v>
      </c>
      <c r="I318" s="74">
        <f t="shared" si="71"/>
        <v>0</v>
      </c>
    </row>
    <row r="319" spans="1:10" ht="40.5" customHeight="1">
      <c r="A319" s="16" t="s">
        <v>827</v>
      </c>
      <c r="B319" s="14">
        <v>763</v>
      </c>
      <c r="C319" s="15" t="s">
        <v>55</v>
      </c>
      <c r="D319" s="15" t="s">
        <v>180</v>
      </c>
      <c r="E319" s="14" t="s">
        <v>839</v>
      </c>
      <c r="F319" s="14"/>
      <c r="G319" s="74">
        <f>G320</f>
        <v>660000</v>
      </c>
      <c r="H319" s="74">
        <f>H321</f>
        <v>0</v>
      </c>
      <c r="I319" s="74">
        <f>I321</f>
        <v>0</v>
      </c>
    </row>
    <row r="320" spans="1:10" ht="25.5">
      <c r="A320" s="16" t="s">
        <v>36</v>
      </c>
      <c r="B320" s="14">
        <v>763</v>
      </c>
      <c r="C320" s="15" t="s">
        <v>55</v>
      </c>
      <c r="D320" s="15" t="s">
        <v>180</v>
      </c>
      <c r="E320" s="14" t="s">
        <v>839</v>
      </c>
      <c r="F320" s="14">
        <v>200</v>
      </c>
      <c r="G320" s="74">
        <f t="shared" ref="G320:I320" si="72">G321</f>
        <v>660000</v>
      </c>
      <c r="H320" s="74">
        <f t="shared" si="72"/>
        <v>0</v>
      </c>
      <c r="I320" s="74">
        <f t="shared" si="72"/>
        <v>0</v>
      </c>
    </row>
    <row r="321" spans="1:9" ht="48" customHeight="1">
      <c r="A321" s="16" t="s">
        <v>38</v>
      </c>
      <c r="B321" s="14">
        <v>763</v>
      </c>
      <c r="C321" s="15" t="s">
        <v>55</v>
      </c>
      <c r="D321" s="15" t="s">
        <v>180</v>
      </c>
      <c r="E321" s="14" t="s">
        <v>839</v>
      </c>
      <c r="F321" s="14">
        <v>240</v>
      </c>
      <c r="G321" s="74">
        <v>660000</v>
      </c>
      <c r="H321" s="8">
        <v>0</v>
      </c>
      <c r="I321" s="8">
        <v>0</v>
      </c>
    </row>
    <row r="322" spans="1:9">
      <c r="A322" s="16" t="s">
        <v>89</v>
      </c>
      <c r="B322" s="14">
        <v>763</v>
      </c>
      <c r="C322" s="15" t="s">
        <v>55</v>
      </c>
      <c r="D322" s="15" t="s">
        <v>90</v>
      </c>
      <c r="E322" s="15"/>
      <c r="F322" s="15"/>
      <c r="G322" s="74">
        <f>G323</f>
        <v>1223236.1600000001</v>
      </c>
      <c r="H322" s="74">
        <f>H323</f>
        <v>510000</v>
      </c>
      <c r="I322" s="74">
        <f>I323</f>
        <v>510000</v>
      </c>
    </row>
    <row r="323" spans="1:9" ht="38.25">
      <c r="A323" s="16" t="s">
        <v>456</v>
      </c>
      <c r="B323" s="14">
        <v>763</v>
      </c>
      <c r="C323" s="15" t="s">
        <v>55</v>
      </c>
      <c r="D323" s="15" t="s">
        <v>90</v>
      </c>
      <c r="E323" s="15" t="s">
        <v>214</v>
      </c>
      <c r="F323" s="15"/>
      <c r="G323" s="74">
        <f>G324+G327+G330+G333++G336+G339+G342+G345+G348</f>
        <v>1223236.1600000001</v>
      </c>
      <c r="H323" s="74">
        <f>H324+H327+H339</f>
        <v>510000</v>
      </c>
      <c r="I323" s="74">
        <f>I324+I327+I339</f>
        <v>510000</v>
      </c>
    </row>
    <row r="324" spans="1:9" ht="116.25" customHeight="1">
      <c r="A324" s="86" t="s">
        <v>289</v>
      </c>
      <c r="B324" s="14">
        <v>763</v>
      </c>
      <c r="C324" s="15" t="s">
        <v>55</v>
      </c>
      <c r="D324" s="15" t="s">
        <v>90</v>
      </c>
      <c r="E324" s="15" t="s">
        <v>219</v>
      </c>
      <c r="F324" s="15"/>
      <c r="G324" s="74">
        <f>G325</f>
        <v>329286.16000000003</v>
      </c>
      <c r="H324" s="74">
        <f t="shared" ref="H324:I324" si="73">H325</f>
        <v>250000</v>
      </c>
      <c r="I324" s="74">
        <f t="shared" si="73"/>
        <v>250000</v>
      </c>
    </row>
    <row r="325" spans="1:9" ht="25.5">
      <c r="A325" s="86" t="s">
        <v>36</v>
      </c>
      <c r="B325" s="14">
        <v>763</v>
      </c>
      <c r="C325" s="15" t="s">
        <v>55</v>
      </c>
      <c r="D325" s="15" t="s">
        <v>90</v>
      </c>
      <c r="E325" s="15" t="s">
        <v>219</v>
      </c>
      <c r="F325" s="15" t="s">
        <v>37</v>
      </c>
      <c r="G325" s="74">
        <f>SUM(G326)</f>
        <v>329286.16000000003</v>
      </c>
      <c r="H325" s="74">
        <f>SUM(H326)</f>
        <v>250000</v>
      </c>
      <c r="I325" s="74">
        <f>SUM(I326)</f>
        <v>250000</v>
      </c>
    </row>
    <row r="326" spans="1:9" ht="30.75" customHeight="1">
      <c r="A326" s="86" t="s">
        <v>38</v>
      </c>
      <c r="B326" s="14">
        <v>763</v>
      </c>
      <c r="C326" s="15" t="s">
        <v>55</v>
      </c>
      <c r="D326" s="15" t="s">
        <v>90</v>
      </c>
      <c r="E326" s="15" t="s">
        <v>219</v>
      </c>
      <c r="F326" s="15" t="s">
        <v>39</v>
      </c>
      <c r="G326" s="74">
        <f>250000+79286.16</f>
        <v>329286.16000000003</v>
      </c>
      <c r="H326" s="74">
        <v>250000</v>
      </c>
      <c r="I326" s="74">
        <v>250000</v>
      </c>
    </row>
    <row r="327" spans="1:9" ht="107.25" customHeight="1">
      <c r="A327" s="204" t="s">
        <v>665</v>
      </c>
      <c r="B327" s="14">
        <v>763</v>
      </c>
      <c r="C327" s="15" t="s">
        <v>55</v>
      </c>
      <c r="D327" s="15" t="s">
        <v>90</v>
      </c>
      <c r="E327" s="15" t="s">
        <v>220</v>
      </c>
      <c r="F327" s="15"/>
      <c r="G327" s="74">
        <f>G328</f>
        <v>275000</v>
      </c>
      <c r="H327" s="74">
        <f t="shared" ref="H327:I327" si="74">H328</f>
        <v>220000</v>
      </c>
      <c r="I327" s="74">
        <f t="shared" si="74"/>
        <v>220000</v>
      </c>
    </row>
    <row r="328" spans="1:9" ht="25.5">
      <c r="A328" s="86" t="s">
        <v>36</v>
      </c>
      <c r="B328" s="14">
        <v>763</v>
      </c>
      <c r="C328" s="15" t="s">
        <v>55</v>
      </c>
      <c r="D328" s="15" t="s">
        <v>90</v>
      </c>
      <c r="E328" s="15" t="s">
        <v>220</v>
      </c>
      <c r="F328" s="15" t="s">
        <v>37</v>
      </c>
      <c r="G328" s="74">
        <f>SUM(G329)</f>
        <v>275000</v>
      </c>
      <c r="H328" s="74">
        <f>SUM(H329)</f>
        <v>220000</v>
      </c>
      <c r="I328" s="74">
        <f>SUM(I329)</f>
        <v>220000</v>
      </c>
    </row>
    <row r="329" spans="1:9" ht="25.5" customHeight="1">
      <c r="A329" s="86" t="s">
        <v>38</v>
      </c>
      <c r="B329" s="14">
        <v>763</v>
      </c>
      <c r="C329" s="15" t="s">
        <v>55</v>
      </c>
      <c r="D329" s="15" t="s">
        <v>90</v>
      </c>
      <c r="E329" s="15" t="s">
        <v>220</v>
      </c>
      <c r="F329" s="15" t="s">
        <v>39</v>
      </c>
      <c r="G329" s="74">
        <f>220000-40000+40000+55000</f>
        <v>275000</v>
      </c>
      <c r="H329" s="74">
        <v>220000</v>
      </c>
      <c r="I329" s="74">
        <v>220000</v>
      </c>
    </row>
    <row r="330" spans="1:9" ht="78" hidden="1" customHeight="1">
      <c r="A330" s="204" t="s">
        <v>618</v>
      </c>
      <c r="B330" s="14">
        <v>763</v>
      </c>
      <c r="C330" s="15" t="s">
        <v>55</v>
      </c>
      <c r="D330" s="15" t="s">
        <v>90</v>
      </c>
      <c r="E330" s="15" t="s">
        <v>586</v>
      </c>
      <c r="F330" s="15"/>
      <c r="G330" s="74">
        <f>G331</f>
        <v>0</v>
      </c>
      <c r="H330" s="74">
        <v>0</v>
      </c>
      <c r="I330" s="74">
        <v>0</v>
      </c>
    </row>
    <row r="331" spans="1:9" ht="25.5" hidden="1">
      <c r="A331" s="86" t="s">
        <v>36</v>
      </c>
      <c r="B331" s="14">
        <v>763</v>
      </c>
      <c r="C331" s="15" t="s">
        <v>55</v>
      </c>
      <c r="D331" s="15" t="s">
        <v>90</v>
      </c>
      <c r="E331" s="15" t="s">
        <v>586</v>
      </c>
      <c r="F331" s="15" t="s">
        <v>37</v>
      </c>
      <c r="G331" s="74">
        <f>SUM(G332)</f>
        <v>0</v>
      </c>
      <c r="H331" s="74">
        <f>SUM(H332)</f>
        <v>0</v>
      </c>
      <c r="I331" s="74">
        <f>SUM(I332)</f>
        <v>0</v>
      </c>
    </row>
    <row r="332" spans="1:9" ht="25.5" hidden="1" customHeight="1">
      <c r="A332" s="16" t="s">
        <v>38</v>
      </c>
      <c r="B332" s="14">
        <v>763</v>
      </c>
      <c r="C332" s="15" t="s">
        <v>55</v>
      </c>
      <c r="D332" s="15" t="s">
        <v>90</v>
      </c>
      <c r="E332" s="15" t="s">
        <v>586</v>
      </c>
      <c r="F332" s="15" t="s">
        <v>39</v>
      </c>
      <c r="G332" s="74"/>
      <c r="H332" s="74">
        <v>0</v>
      </c>
      <c r="I332" s="74">
        <v>0</v>
      </c>
    </row>
    <row r="333" spans="1:9" ht="23.25" hidden="1" customHeight="1">
      <c r="A333" s="176" t="s">
        <v>588</v>
      </c>
      <c r="B333" s="14">
        <v>763</v>
      </c>
      <c r="C333" s="15" t="s">
        <v>55</v>
      </c>
      <c r="D333" s="15" t="s">
        <v>90</v>
      </c>
      <c r="E333" s="15" t="s">
        <v>587</v>
      </c>
      <c r="F333" s="15"/>
      <c r="G333" s="74">
        <f>G334</f>
        <v>0</v>
      </c>
      <c r="H333" s="74">
        <v>0</v>
      </c>
      <c r="I333" s="74">
        <v>0</v>
      </c>
    </row>
    <row r="334" spans="1:9" ht="25.5" hidden="1">
      <c r="A334" s="16" t="s">
        <v>36</v>
      </c>
      <c r="B334" s="14">
        <v>763</v>
      </c>
      <c r="C334" s="15" t="s">
        <v>55</v>
      </c>
      <c r="D334" s="15" t="s">
        <v>90</v>
      </c>
      <c r="E334" s="15" t="s">
        <v>587</v>
      </c>
      <c r="F334" s="15" t="s">
        <v>37</v>
      </c>
      <c r="G334" s="74">
        <f>SUM(G335)</f>
        <v>0</v>
      </c>
      <c r="H334" s="74">
        <f>SUM(H335)</f>
        <v>0</v>
      </c>
      <c r="I334" s="74">
        <f>SUM(I335)</f>
        <v>0</v>
      </c>
    </row>
    <row r="335" spans="1:9" ht="25.5" hidden="1" customHeight="1">
      <c r="A335" s="16" t="s">
        <v>38</v>
      </c>
      <c r="B335" s="14">
        <v>763</v>
      </c>
      <c r="C335" s="15" t="s">
        <v>55</v>
      </c>
      <c r="D335" s="15" t="s">
        <v>90</v>
      </c>
      <c r="E335" s="15" t="s">
        <v>587</v>
      </c>
      <c r="F335" s="15" t="s">
        <v>39</v>
      </c>
      <c r="G335" s="74"/>
      <c r="H335" s="74">
        <v>0</v>
      </c>
      <c r="I335" s="74">
        <v>0</v>
      </c>
    </row>
    <row r="336" spans="1:9" ht="23.25" hidden="1" customHeight="1">
      <c r="A336" s="176" t="s">
        <v>590</v>
      </c>
      <c r="B336" s="14">
        <v>763</v>
      </c>
      <c r="C336" s="15" t="s">
        <v>55</v>
      </c>
      <c r="D336" s="15" t="s">
        <v>90</v>
      </c>
      <c r="E336" s="15" t="s">
        <v>589</v>
      </c>
      <c r="F336" s="15"/>
      <c r="G336" s="74">
        <f>G337</f>
        <v>0</v>
      </c>
      <c r="H336" s="74">
        <v>0</v>
      </c>
      <c r="I336" s="74">
        <v>0</v>
      </c>
    </row>
    <row r="337" spans="1:9" ht="25.5" hidden="1">
      <c r="A337" s="16" t="s">
        <v>36</v>
      </c>
      <c r="B337" s="14">
        <v>763</v>
      </c>
      <c r="C337" s="15" t="s">
        <v>55</v>
      </c>
      <c r="D337" s="15" t="s">
        <v>90</v>
      </c>
      <c r="E337" s="15" t="s">
        <v>589</v>
      </c>
      <c r="F337" s="15" t="s">
        <v>37</v>
      </c>
      <c r="G337" s="74">
        <f>SUM(G338)</f>
        <v>0</v>
      </c>
      <c r="H337" s="74">
        <f>SUM(H338)</f>
        <v>0</v>
      </c>
      <c r="I337" s="74">
        <f>SUM(I338)</f>
        <v>0</v>
      </c>
    </row>
    <row r="338" spans="1:9" ht="25.5" hidden="1" customHeight="1">
      <c r="A338" s="16" t="s">
        <v>38</v>
      </c>
      <c r="B338" s="14">
        <v>763</v>
      </c>
      <c r="C338" s="15" t="s">
        <v>55</v>
      </c>
      <c r="D338" s="15" t="s">
        <v>90</v>
      </c>
      <c r="E338" s="15" t="s">
        <v>589</v>
      </c>
      <c r="F338" s="15" t="s">
        <v>39</v>
      </c>
      <c r="G338" s="74"/>
      <c r="H338" s="74">
        <v>0</v>
      </c>
      <c r="I338" s="74">
        <v>0</v>
      </c>
    </row>
    <row r="339" spans="1:9" ht="34.5" customHeight="1">
      <c r="A339" s="16" t="s">
        <v>604</v>
      </c>
      <c r="B339" s="14">
        <v>763</v>
      </c>
      <c r="C339" s="15" t="s">
        <v>55</v>
      </c>
      <c r="D339" s="15" t="s">
        <v>90</v>
      </c>
      <c r="E339" s="15" t="s">
        <v>603</v>
      </c>
      <c r="F339" s="15"/>
      <c r="G339" s="74">
        <f>G340</f>
        <v>0</v>
      </c>
      <c r="H339" s="74">
        <f>SUM(H340)</f>
        <v>40000</v>
      </c>
      <c r="I339" s="74">
        <f>SUM(I340)</f>
        <v>40000</v>
      </c>
    </row>
    <row r="340" spans="1:9" ht="25.5">
      <c r="A340" s="16" t="s">
        <v>36</v>
      </c>
      <c r="B340" s="14">
        <v>763</v>
      </c>
      <c r="C340" s="15" t="s">
        <v>55</v>
      </c>
      <c r="D340" s="15" t="s">
        <v>90</v>
      </c>
      <c r="E340" s="15" t="s">
        <v>603</v>
      </c>
      <c r="F340" s="15" t="s">
        <v>37</v>
      </c>
      <c r="G340" s="74">
        <f>SUM(G341)</f>
        <v>0</v>
      </c>
      <c r="H340" s="74">
        <f>SUM(H341)</f>
        <v>40000</v>
      </c>
      <c r="I340" s="74">
        <f>SUM(I341)</f>
        <v>40000</v>
      </c>
    </row>
    <row r="341" spans="1:9" ht="30.75" customHeight="1">
      <c r="A341" s="16" t="s">
        <v>38</v>
      </c>
      <c r="B341" s="14">
        <v>763</v>
      </c>
      <c r="C341" s="15" t="s">
        <v>55</v>
      </c>
      <c r="D341" s="15" t="s">
        <v>90</v>
      </c>
      <c r="E341" s="15" t="s">
        <v>603</v>
      </c>
      <c r="F341" s="15" t="s">
        <v>39</v>
      </c>
      <c r="G341" s="74">
        <f>40000-40000</f>
        <v>0</v>
      </c>
      <c r="H341" s="74">
        <v>40000</v>
      </c>
      <c r="I341" s="74">
        <v>40000</v>
      </c>
    </row>
    <row r="342" spans="1:9" ht="34.5" hidden="1" customHeight="1">
      <c r="A342" s="16" t="s">
        <v>830</v>
      </c>
      <c r="B342" s="14">
        <v>763</v>
      </c>
      <c r="C342" s="15" t="s">
        <v>55</v>
      </c>
      <c r="D342" s="15" t="s">
        <v>90</v>
      </c>
      <c r="E342" s="15" t="s">
        <v>829</v>
      </c>
      <c r="F342" s="15"/>
      <c r="G342" s="74">
        <f>G343</f>
        <v>0</v>
      </c>
      <c r="H342" s="74">
        <f>SUM(H343)</f>
        <v>0</v>
      </c>
      <c r="I342" s="74">
        <f>SUM(I343)</f>
        <v>0</v>
      </c>
    </row>
    <row r="343" spans="1:9" ht="25.5" hidden="1">
      <c r="A343" s="16" t="s">
        <v>36</v>
      </c>
      <c r="B343" s="14">
        <v>763</v>
      </c>
      <c r="C343" s="15" t="s">
        <v>55</v>
      </c>
      <c r="D343" s="15" t="s">
        <v>90</v>
      </c>
      <c r="E343" s="15" t="s">
        <v>829</v>
      </c>
      <c r="F343" s="15" t="s">
        <v>37</v>
      </c>
      <c r="G343" s="74">
        <f>SUM(G344)</f>
        <v>0</v>
      </c>
      <c r="H343" s="74">
        <f>SUM(H344)</f>
        <v>0</v>
      </c>
      <c r="I343" s="74">
        <f>SUM(I344)</f>
        <v>0</v>
      </c>
    </row>
    <row r="344" spans="1:9" ht="30.75" hidden="1" customHeight="1">
      <c r="A344" s="16" t="s">
        <v>38</v>
      </c>
      <c r="B344" s="14">
        <v>763</v>
      </c>
      <c r="C344" s="15" t="s">
        <v>55</v>
      </c>
      <c r="D344" s="15" t="s">
        <v>90</v>
      </c>
      <c r="E344" s="15" t="s">
        <v>829</v>
      </c>
      <c r="F344" s="15" t="s">
        <v>39</v>
      </c>
      <c r="G344" s="74">
        <v>0</v>
      </c>
      <c r="H344" s="74">
        <v>0</v>
      </c>
      <c r="I344" s="74">
        <v>0</v>
      </c>
    </row>
    <row r="345" spans="1:9" ht="34.5" customHeight="1">
      <c r="A345" s="16" t="s">
        <v>841</v>
      </c>
      <c r="B345" s="14">
        <v>763</v>
      </c>
      <c r="C345" s="15" t="s">
        <v>55</v>
      </c>
      <c r="D345" s="15" t="s">
        <v>90</v>
      </c>
      <c r="E345" s="15" t="s">
        <v>840</v>
      </c>
      <c r="F345" s="15"/>
      <c r="G345" s="74">
        <f>G346</f>
        <v>19950</v>
      </c>
      <c r="H345" s="74">
        <f>SUM(H346)</f>
        <v>0</v>
      </c>
      <c r="I345" s="74">
        <f>SUM(I346)</f>
        <v>0</v>
      </c>
    </row>
    <row r="346" spans="1:9" ht="25.5">
      <c r="A346" s="16" t="s">
        <v>36</v>
      </c>
      <c r="B346" s="14">
        <v>763</v>
      </c>
      <c r="C346" s="15" t="s">
        <v>55</v>
      </c>
      <c r="D346" s="15" t="s">
        <v>90</v>
      </c>
      <c r="E346" s="15" t="s">
        <v>840</v>
      </c>
      <c r="F346" s="15" t="s">
        <v>37</v>
      </c>
      <c r="G346" s="74">
        <f>SUM(G347)</f>
        <v>19950</v>
      </c>
      <c r="H346" s="74">
        <f>SUM(H347)</f>
        <v>0</v>
      </c>
      <c r="I346" s="74">
        <f>SUM(I347)</f>
        <v>0</v>
      </c>
    </row>
    <row r="347" spans="1:9" ht="30.75" customHeight="1">
      <c r="A347" s="16" t="s">
        <v>38</v>
      </c>
      <c r="B347" s="14">
        <v>763</v>
      </c>
      <c r="C347" s="15" t="s">
        <v>55</v>
      </c>
      <c r="D347" s="15" t="s">
        <v>90</v>
      </c>
      <c r="E347" s="15" t="s">
        <v>840</v>
      </c>
      <c r="F347" s="15" t="s">
        <v>39</v>
      </c>
      <c r="G347" s="74">
        <f>40000-20050</f>
        <v>19950</v>
      </c>
      <c r="H347" s="74"/>
      <c r="I347" s="74"/>
    </row>
    <row r="348" spans="1:9" ht="34.5" customHeight="1">
      <c r="A348" s="16" t="s">
        <v>844</v>
      </c>
      <c r="B348" s="14">
        <v>763</v>
      </c>
      <c r="C348" s="15" t="s">
        <v>55</v>
      </c>
      <c r="D348" s="15" t="s">
        <v>90</v>
      </c>
      <c r="E348" s="15" t="s">
        <v>843</v>
      </c>
      <c r="F348" s="15"/>
      <c r="G348" s="74">
        <f>G349</f>
        <v>599000</v>
      </c>
      <c r="H348" s="74">
        <f>SUM(H349)</f>
        <v>0</v>
      </c>
      <c r="I348" s="74">
        <f>SUM(I349)</f>
        <v>0</v>
      </c>
    </row>
    <row r="349" spans="1:9" ht="25.5">
      <c r="A349" s="16" t="s">
        <v>36</v>
      </c>
      <c r="B349" s="14">
        <v>763</v>
      </c>
      <c r="C349" s="15" t="s">
        <v>55</v>
      </c>
      <c r="D349" s="15" t="s">
        <v>90</v>
      </c>
      <c r="E349" s="15" t="s">
        <v>843</v>
      </c>
      <c r="F349" s="15" t="s">
        <v>37</v>
      </c>
      <c r="G349" s="74">
        <f>SUM(G350)</f>
        <v>599000</v>
      </c>
      <c r="H349" s="74">
        <f>SUM(H350)</f>
        <v>0</v>
      </c>
      <c r="I349" s="74">
        <f>SUM(I350)</f>
        <v>0</v>
      </c>
    </row>
    <row r="350" spans="1:9" ht="30.75" customHeight="1">
      <c r="A350" s="16" t="s">
        <v>38</v>
      </c>
      <c r="B350" s="14">
        <v>763</v>
      </c>
      <c r="C350" s="15" t="s">
        <v>55</v>
      </c>
      <c r="D350" s="15" t="s">
        <v>90</v>
      </c>
      <c r="E350" s="15" t="s">
        <v>843</v>
      </c>
      <c r="F350" s="15" t="s">
        <v>39</v>
      </c>
      <c r="G350" s="74">
        <v>599000</v>
      </c>
      <c r="H350" s="74">
        <v>0</v>
      </c>
      <c r="I350" s="74">
        <v>0</v>
      </c>
    </row>
    <row r="351" spans="1:9" s="184" customFormat="1">
      <c r="A351" s="169" t="s">
        <v>75</v>
      </c>
      <c r="B351" s="170"/>
      <c r="C351" s="171"/>
      <c r="D351" s="171"/>
      <c r="E351" s="171"/>
      <c r="F351" s="171"/>
      <c r="G351" s="172">
        <f>G299+G316</f>
        <v>11914873.6</v>
      </c>
      <c r="H351" s="172">
        <f>H299+H316</f>
        <v>10757399.6</v>
      </c>
      <c r="I351" s="172">
        <f>I299+I316</f>
        <v>10758516.6</v>
      </c>
    </row>
    <row r="352" spans="1:9" s="185" customFormat="1" ht="34.5" customHeight="1">
      <c r="A352" s="98" t="s">
        <v>91</v>
      </c>
      <c r="B352" s="94">
        <v>774</v>
      </c>
      <c r="C352" s="95"/>
      <c r="D352" s="95"/>
      <c r="E352" s="95"/>
      <c r="F352" s="95"/>
      <c r="G352" s="96"/>
      <c r="H352" s="96"/>
      <c r="I352" s="96"/>
    </row>
    <row r="353" spans="1:12" hidden="1">
      <c r="A353" s="5" t="s">
        <v>18</v>
      </c>
      <c r="B353" s="6">
        <v>774</v>
      </c>
      <c r="C353" s="7" t="s">
        <v>19</v>
      </c>
      <c r="D353" s="7"/>
      <c r="E353" s="7"/>
      <c r="F353" s="7"/>
      <c r="G353" s="38">
        <f t="shared" ref="G353:I357" si="75">G354</f>
        <v>0</v>
      </c>
      <c r="H353" s="38">
        <f t="shared" si="75"/>
        <v>0</v>
      </c>
      <c r="I353" s="38">
        <f t="shared" si="75"/>
        <v>0</v>
      </c>
    </row>
    <row r="354" spans="1:12" ht="18.75" hidden="1" customHeight="1">
      <c r="A354" s="40" t="s">
        <v>22</v>
      </c>
      <c r="B354" s="14">
        <v>774</v>
      </c>
      <c r="C354" s="15" t="s">
        <v>19</v>
      </c>
      <c r="D354" s="15" t="s">
        <v>23</v>
      </c>
      <c r="E354" s="15"/>
      <c r="F354" s="15"/>
      <c r="G354" s="74">
        <f t="shared" si="75"/>
        <v>0</v>
      </c>
      <c r="H354" s="74">
        <f t="shared" si="75"/>
        <v>0</v>
      </c>
      <c r="I354" s="74">
        <f t="shared" si="75"/>
        <v>0</v>
      </c>
    </row>
    <row r="355" spans="1:12" s="22" customFormat="1" ht="26.25" hidden="1" customHeight="1">
      <c r="A355" s="16" t="s">
        <v>171</v>
      </c>
      <c r="B355" s="14">
        <v>774</v>
      </c>
      <c r="C355" s="15" t="s">
        <v>19</v>
      </c>
      <c r="D355" s="15" t="s">
        <v>23</v>
      </c>
      <c r="E355" s="70" t="s">
        <v>217</v>
      </c>
      <c r="F355" s="36"/>
      <c r="G355" s="74">
        <f t="shared" si="75"/>
        <v>0</v>
      </c>
      <c r="H355" s="74">
        <f t="shared" si="75"/>
        <v>0</v>
      </c>
      <c r="I355" s="74">
        <f t="shared" si="75"/>
        <v>0</v>
      </c>
      <c r="J355" s="21">
        <v>1487719</v>
      </c>
    </row>
    <row r="356" spans="1:12" s="22" customFormat="1" ht="26.25" hidden="1" customHeight="1">
      <c r="A356" s="16" t="s">
        <v>446</v>
      </c>
      <c r="B356" s="14">
        <v>774</v>
      </c>
      <c r="C356" s="15" t="s">
        <v>19</v>
      </c>
      <c r="D356" s="15" t="s">
        <v>23</v>
      </c>
      <c r="E356" s="15" t="s">
        <v>534</v>
      </c>
      <c r="F356" s="36"/>
      <c r="G356" s="74">
        <f t="shared" si="75"/>
        <v>0</v>
      </c>
      <c r="H356" s="74">
        <f t="shared" si="75"/>
        <v>0</v>
      </c>
      <c r="I356" s="74">
        <f t="shared" si="75"/>
        <v>0</v>
      </c>
      <c r="J356" s="21"/>
    </row>
    <row r="357" spans="1:12" ht="40.5" hidden="1" customHeight="1">
      <c r="A357" s="16" t="s">
        <v>446</v>
      </c>
      <c r="B357" s="14">
        <v>774</v>
      </c>
      <c r="C357" s="15" t="s">
        <v>19</v>
      </c>
      <c r="D357" s="15" t="s">
        <v>23</v>
      </c>
      <c r="E357" s="15" t="s">
        <v>445</v>
      </c>
      <c r="F357" s="15"/>
      <c r="G357" s="102">
        <f t="shared" si="75"/>
        <v>0</v>
      </c>
      <c r="H357" s="102">
        <f t="shared" si="75"/>
        <v>0</v>
      </c>
      <c r="I357" s="102">
        <f t="shared" si="75"/>
        <v>0</v>
      </c>
      <c r="J357" s="2"/>
    </row>
    <row r="358" spans="1:12" hidden="1">
      <c r="A358" s="16" t="s">
        <v>64</v>
      </c>
      <c r="B358" s="14">
        <v>774</v>
      </c>
      <c r="C358" s="15" t="s">
        <v>19</v>
      </c>
      <c r="D358" s="15" t="s">
        <v>23</v>
      </c>
      <c r="E358" s="15" t="s">
        <v>445</v>
      </c>
      <c r="F358" s="15" t="s">
        <v>65</v>
      </c>
      <c r="G358" s="102">
        <f>G359</f>
        <v>0</v>
      </c>
      <c r="H358" s="74">
        <v>0</v>
      </c>
      <c r="I358" s="74">
        <v>0</v>
      </c>
      <c r="J358" s="2"/>
    </row>
    <row r="359" spans="1:12" ht="15" hidden="1" customHeight="1">
      <c r="A359" s="16" t="s">
        <v>339</v>
      </c>
      <c r="B359" s="14">
        <v>774</v>
      </c>
      <c r="C359" s="15" t="s">
        <v>19</v>
      </c>
      <c r="D359" s="15" t="s">
        <v>23</v>
      </c>
      <c r="E359" s="15" t="s">
        <v>445</v>
      </c>
      <c r="F359" s="15" t="s">
        <v>338</v>
      </c>
      <c r="G359" s="102"/>
      <c r="H359" s="74">
        <v>0</v>
      </c>
      <c r="I359" s="74">
        <v>0</v>
      </c>
      <c r="J359" s="2"/>
    </row>
    <row r="360" spans="1:12" ht="25.5">
      <c r="A360" s="11" t="s">
        <v>175</v>
      </c>
      <c r="B360" s="6">
        <v>774</v>
      </c>
      <c r="C360" s="7" t="s">
        <v>71</v>
      </c>
      <c r="D360" s="7"/>
      <c r="E360" s="7"/>
      <c r="F360" s="7"/>
      <c r="G360" s="38">
        <f>G361</f>
        <v>100000</v>
      </c>
      <c r="H360" s="38">
        <f t="shared" ref="H360:I360" si="76">H361</f>
        <v>100000</v>
      </c>
      <c r="I360" s="38">
        <f t="shared" si="76"/>
        <v>100000</v>
      </c>
    </row>
    <row r="361" spans="1:12" s="46" customFormat="1" ht="25.5">
      <c r="A361" s="16" t="s">
        <v>346</v>
      </c>
      <c r="B361" s="14">
        <v>774</v>
      </c>
      <c r="C361" s="15" t="s">
        <v>71</v>
      </c>
      <c r="D361" s="15" t="s">
        <v>319</v>
      </c>
      <c r="E361" s="15"/>
      <c r="F361" s="15"/>
      <c r="G361" s="74">
        <f>G362</f>
        <v>100000</v>
      </c>
      <c r="H361" s="74">
        <f t="shared" ref="H361:I361" si="77">H362</f>
        <v>100000</v>
      </c>
      <c r="I361" s="74">
        <f t="shared" si="77"/>
        <v>100000</v>
      </c>
    </row>
    <row r="362" spans="1:12" ht="38.25">
      <c r="A362" s="16" t="s">
        <v>502</v>
      </c>
      <c r="B362" s="14">
        <v>774</v>
      </c>
      <c r="C362" s="15" t="s">
        <v>71</v>
      </c>
      <c r="D362" s="15" t="s">
        <v>319</v>
      </c>
      <c r="E362" s="15" t="s">
        <v>264</v>
      </c>
      <c r="F362" s="15"/>
      <c r="G362" s="74">
        <f t="shared" ref="G362:I364" si="78">G363</f>
        <v>100000</v>
      </c>
      <c r="H362" s="74">
        <f t="shared" si="78"/>
        <v>100000</v>
      </c>
      <c r="I362" s="74">
        <f t="shared" si="78"/>
        <v>100000</v>
      </c>
    </row>
    <row r="363" spans="1:12" ht="38.25">
      <c r="A363" s="16" t="s">
        <v>347</v>
      </c>
      <c r="B363" s="14">
        <v>774</v>
      </c>
      <c r="C363" s="15" t="s">
        <v>71</v>
      </c>
      <c r="D363" s="15" t="s">
        <v>319</v>
      </c>
      <c r="E363" s="15" t="s">
        <v>265</v>
      </c>
      <c r="F363" s="15"/>
      <c r="G363" s="74">
        <f>G364+G366</f>
        <v>100000</v>
      </c>
      <c r="H363" s="74">
        <f t="shared" ref="H363:I363" si="79">H364+H366</f>
        <v>100000</v>
      </c>
      <c r="I363" s="74">
        <f t="shared" si="79"/>
        <v>100000</v>
      </c>
    </row>
    <row r="364" spans="1:12" ht="25.5" hidden="1">
      <c r="A364" s="16" t="s">
        <v>38</v>
      </c>
      <c r="B364" s="14">
        <v>774</v>
      </c>
      <c r="C364" s="15" t="s">
        <v>71</v>
      </c>
      <c r="D364" s="15" t="s">
        <v>319</v>
      </c>
      <c r="E364" s="15" t="s">
        <v>265</v>
      </c>
      <c r="F364" s="15" t="s">
        <v>37</v>
      </c>
      <c r="G364" s="74">
        <f t="shared" si="78"/>
        <v>0</v>
      </c>
      <c r="H364" s="74">
        <f t="shared" si="78"/>
        <v>0</v>
      </c>
      <c r="I364" s="74">
        <f t="shared" si="78"/>
        <v>0</v>
      </c>
    </row>
    <row r="365" spans="1:12" ht="31.5" hidden="1" customHeight="1">
      <c r="A365" s="16" t="s">
        <v>38</v>
      </c>
      <c r="B365" s="14">
        <v>774</v>
      </c>
      <c r="C365" s="15" t="s">
        <v>71</v>
      </c>
      <c r="D365" s="15" t="s">
        <v>319</v>
      </c>
      <c r="E365" s="15" t="s">
        <v>265</v>
      </c>
      <c r="F365" s="15" t="s">
        <v>39</v>
      </c>
      <c r="G365" s="74"/>
      <c r="H365" s="74"/>
      <c r="I365" s="74"/>
    </row>
    <row r="366" spans="1:12" s="18" customFormat="1" ht="25.5">
      <c r="A366" s="16" t="s">
        <v>30</v>
      </c>
      <c r="B366" s="14">
        <v>774</v>
      </c>
      <c r="C366" s="15" t="s">
        <v>71</v>
      </c>
      <c r="D366" s="15" t="s">
        <v>319</v>
      </c>
      <c r="E366" s="15" t="s">
        <v>265</v>
      </c>
      <c r="F366" s="15" t="s">
        <v>31</v>
      </c>
      <c r="G366" s="74">
        <f t="shared" ref="G366:I366" si="80">G367</f>
        <v>100000</v>
      </c>
      <c r="H366" s="74">
        <f t="shared" si="80"/>
        <v>100000</v>
      </c>
      <c r="I366" s="74">
        <f t="shared" si="80"/>
        <v>100000</v>
      </c>
    </row>
    <row r="367" spans="1:12" s="18" customFormat="1">
      <c r="A367" s="16" t="s">
        <v>32</v>
      </c>
      <c r="B367" s="14">
        <v>774</v>
      </c>
      <c r="C367" s="15" t="s">
        <v>71</v>
      </c>
      <c r="D367" s="15" t="s">
        <v>319</v>
      </c>
      <c r="E367" s="15" t="s">
        <v>265</v>
      </c>
      <c r="F367" s="15" t="s">
        <v>33</v>
      </c>
      <c r="G367" s="74">
        <v>100000</v>
      </c>
      <c r="H367" s="74">
        <v>100000</v>
      </c>
      <c r="I367" s="74">
        <v>100000</v>
      </c>
      <c r="L367" s="17"/>
    </row>
    <row r="368" spans="1:12" ht="19.5" hidden="1" customHeight="1">
      <c r="A368" s="222" t="s">
        <v>179</v>
      </c>
      <c r="B368" s="35">
        <v>774</v>
      </c>
      <c r="C368" s="36" t="s">
        <v>55</v>
      </c>
      <c r="D368" s="36" t="s">
        <v>127</v>
      </c>
      <c r="E368" s="36"/>
      <c r="F368" s="36"/>
      <c r="G368" s="75">
        <f>G369</f>
        <v>0</v>
      </c>
      <c r="H368" s="75">
        <f t="shared" ref="H368:I371" si="81">H369</f>
        <v>0</v>
      </c>
      <c r="I368" s="75">
        <f t="shared" si="81"/>
        <v>0</v>
      </c>
    </row>
    <row r="369" spans="1:12" ht="47.25" hidden="1" customHeight="1">
      <c r="A369" s="86" t="s">
        <v>476</v>
      </c>
      <c r="B369" s="14">
        <v>774</v>
      </c>
      <c r="C369" s="15" t="s">
        <v>55</v>
      </c>
      <c r="D369" s="15" t="s">
        <v>127</v>
      </c>
      <c r="E369" s="15" t="s">
        <v>475</v>
      </c>
      <c r="F369" s="15"/>
      <c r="G369" s="74">
        <f>G370</f>
        <v>0</v>
      </c>
      <c r="H369" s="74">
        <f t="shared" si="81"/>
        <v>0</v>
      </c>
      <c r="I369" s="74">
        <f t="shared" si="81"/>
        <v>0</v>
      </c>
    </row>
    <row r="370" spans="1:12" ht="33.75" hidden="1" customHeight="1">
      <c r="A370" s="86" t="s">
        <v>474</v>
      </c>
      <c r="B370" s="14">
        <v>774</v>
      </c>
      <c r="C370" s="15" t="s">
        <v>55</v>
      </c>
      <c r="D370" s="15" t="s">
        <v>127</v>
      </c>
      <c r="E370" s="15" t="s">
        <v>472</v>
      </c>
      <c r="F370" s="15"/>
      <c r="G370" s="74">
        <f>G371</f>
        <v>0</v>
      </c>
      <c r="H370" s="74">
        <f t="shared" si="81"/>
        <v>0</v>
      </c>
      <c r="I370" s="74">
        <f t="shared" si="81"/>
        <v>0</v>
      </c>
    </row>
    <row r="371" spans="1:12" ht="30.75" hidden="1" customHeight="1">
      <c r="A371" s="16" t="s">
        <v>473</v>
      </c>
      <c r="B371" s="14">
        <v>774</v>
      </c>
      <c r="C371" s="15" t="s">
        <v>55</v>
      </c>
      <c r="D371" s="15" t="s">
        <v>127</v>
      </c>
      <c r="E371" s="15" t="s">
        <v>472</v>
      </c>
      <c r="F371" s="15" t="s">
        <v>37</v>
      </c>
      <c r="G371" s="74">
        <f>G372</f>
        <v>0</v>
      </c>
      <c r="H371" s="74">
        <f t="shared" si="81"/>
        <v>0</v>
      </c>
      <c r="I371" s="74">
        <f t="shared" si="81"/>
        <v>0</v>
      </c>
    </row>
    <row r="372" spans="1:12" ht="33" hidden="1" customHeight="1">
      <c r="A372" s="16" t="s">
        <v>38</v>
      </c>
      <c r="B372" s="14">
        <v>774</v>
      </c>
      <c r="C372" s="15" t="s">
        <v>55</v>
      </c>
      <c r="D372" s="15" t="s">
        <v>127</v>
      </c>
      <c r="E372" s="15" t="s">
        <v>472</v>
      </c>
      <c r="F372" s="15" t="s">
        <v>39</v>
      </c>
      <c r="G372" s="74">
        <f>63000-63000</f>
        <v>0</v>
      </c>
      <c r="H372" s="74"/>
      <c r="I372" s="74"/>
    </row>
    <row r="373" spans="1:12">
      <c r="A373" s="11" t="s">
        <v>25</v>
      </c>
      <c r="B373" s="6">
        <v>774</v>
      </c>
      <c r="C373" s="7" t="s">
        <v>26</v>
      </c>
      <c r="D373" s="7"/>
      <c r="E373" s="7"/>
      <c r="F373" s="7"/>
      <c r="G373" s="38">
        <f>G374+G439+G668+G714+G601</f>
        <v>1034897191.6500001</v>
      </c>
      <c r="H373" s="38">
        <f>H374+H439+H668+H714+H601</f>
        <v>945828630.07000017</v>
      </c>
      <c r="I373" s="38">
        <f>I374+I439+I668+I714+I601</f>
        <v>964192561.53000009</v>
      </c>
    </row>
    <row r="374" spans="1:12">
      <c r="A374" s="16" t="s">
        <v>92</v>
      </c>
      <c r="B374" s="14">
        <v>774</v>
      </c>
      <c r="C374" s="15" t="s">
        <v>26</v>
      </c>
      <c r="D374" s="15" t="s">
        <v>19</v>
      </c>
      <c r="E374" s="15"/>
      <c r="F374" s="15"/>
      <c r="G374" s="74">
        <f>G375+G421+G435+G425</f>
        <v>330660181.61000001</v>
      </c>
      <c r="H374" s="74">
        <f>H375+H421+H435</f>
        <v>295841249.81999999</v>
      </c>
      <c r="I374" s="74">
        <f>I375+I421+I435</f>
        <v>299431892.62</v>
      </c>
    </row>
    <row r="375" spans="1:12" s="18" customFormat="1" ht="25.5">
      <c r="A375" s="16" t="s">
        <v>496</v>
      </c>
      <c r="B375" s="14">
        <v>774</v>
      </c>
      <c r="C375" s="15" t="s">
        <v>26</v>
      </c>
      <c r="D375" s="15" t="s">
        <v>19</v>
      </c>
      <c r="E375" s="15" t="s">
        <v>196</v>
      </c>
      <c r="F375" s="15"/>
      <c r="G375" s="74">
        <f>G376+G394</f>
        <v>328557055.61000001</v>
      </c>
      <c r="H375" s="74">
        <f>H376+H394</f>
        <v>295841249.81999999</v>
      </c>
      <c r="I375" s="74">
        <f>I376+I394</f>
        <v>299431892.62</v>
      </c>
      <c r="L375" s="18">
        <v>299880391.80000001</v>
      </c>
    </row>
    <row r="376" spans="1:12" s="18" customFormat="1" ht="30" customHeight="1">
      <c r="A376" s="16" t="s">
        <v>93</v>
      </c>
      <c r="B376" s="15" t="s">
        <v>97</v>
      </c>
      <c r="C376" s="15" t="s">
        <v>26</v>
      </c>
      <c r="D376" s="15" t="s">
        <v>19</v>
      </c>
      <c r="E376" s="15" t="s">
        <v>222</v>
      </c>
      <c r="F376" s="15"/>
      <c r="G376" s="74">
        <f>G377+G380+G383+G386+G389+G391</f>
        <v>309412365.21000004</v>
      </c>
      <c r="H376" s="74">
        <f>H377+H380+H383+H386+H389+H391</f>
        <v>293298770.63999999</v>
      </c>
      <c r="I376" s="74">
        <f>I377+I380+I383+I386+I389+I391</f>
        <v>296638581.63999999</v>
      </c>
    </row>
    <row r="377" spans="1:12" ht="50.25" customHeight="1">
      <c r="A377" s="16" t="s">
        <v>3</v>
      </c>
      <c r="B377" s="15" t="s">
        <v>97</v>
      </c>
      <c r="C377" s="15" t="s">
        <v>26</v>
      </c>
      <c r="D377" s="15" t="s">
        <v>19</v>
      </c>
      <c r="E377" s="15" t="s">
        <v>140</v>
      </c>
      <c r="F377" s="15"/>
      <c r="G377" s="74">
        <f t="shared" ref="G377:I378" si="82">G378</f>
        <v>19609249.84</v>
      </c>
      <c r="H377" s="74">
        <f t="shared" si="82"/>
        <v>19589831.350000001</v>
      </c>
      <c r="I377" s="74">
        <f t="shared" si="82"/>
        <v>20373130.789999999</v>
      </c>
    </row>
    <row r="378" spans="1:12" s="18" customFormat="1" ht="39" customHeight="1">
      <c r="A378" s="16" t="s">
        <v>30</v>
      </c>
      <c r="B378" s="15" t="s">
        <v>97</v>
      </c>
      <c r="C378" s="15" t="s">
        <v>26</v>
      </c>
      <c r="D378" s="15" t="s">
        <v>19</v>
      </c>
      <c r="E378" s="15" t="s">
        <v>140</v>
      </c>
      <c r="F378" s="15" t="s">
        <v>31</v>
      </c>
      <c r="G378" s="74">
        <f t="shared" si="82"/>
        <v>19609249.84</v>
      </c>
      <c r="H378" s="74">
        <f t="shared" si="82"/>
        <v>19589831.350000001</v>
      </c>
      <c r="I378" s="74">
        <f t="shared" si="82"/>
        <v>20373130.789999999</v>
      </c>
    </row>
    <row r="379" spans="1:12" s="18" customFormat="1" ht="21" customHeight="1">
      <c r="A379" s="16" t="s">
        <v>32</v>
      </c>
      <c r="B379" s="15" t="s">
        <v>97</v>
      </c>
      <c r="C379" s="15" t="s">
        <v>26</v>
      </c>
      <c r="D379" s="15" t="s">
        <v>19</v>
      </c>
      <c r="E379" s="15" t="s">
        <v>140</v>
      </c>
      <c r="F379" s="15" t="s">
        <v>33</v>
      </c>
      <c r="G379" s="74">
        <v>19609249.84</v>
      </c>
      <c r="H379" s="74">
        <f>14969000+4620831.35</f>
        <v>19589831.350000001</v>
      </c>
      <c r="I379" s="74">
        <f>14969000+5404130.79</f>
        <v>20373130.789999999</v>
      </c>
      <c r="L379" s="17"/>
    </row>
    <row r="380" spans="1:12" s="18" customFormat="1" ht="21" customHeight="1">
      <c r="A380" s="16" t="s">
        <v>94</v>
      </c>
      <c r="B380" s="14">
        <v>774</v>
      </c>
      <c r="C380" s="15" t="s">
        <v>26</v>
      </c>
      <c r="D380" s="15" t="s">
        <v>19</v>
      </c>
      <c r="E380" s="15" t="s">
        <v>139</v>
      </c>
      <c r="F380" s="15"/>
      <c r="G380" s="74">
        <f t="shared" ref="G380:I381" si="83">G381</f>
        <v>188062222.5</v>
      </c>
      <c r="H380" s="74">
        <f t="shared" si="83"/>
        <v>177056612.19999999</v>
      </c>
      <c r="I380" s="74">
        <f t="shared" si="83"/>
        <v>180396423.19999999</v>
      </c>
    </row>
    <row r="381" spans="1:12" s="18" customFormat="1" ht="32.25" customHeight="1">
      <c r="A381" s="16" t="s">
        <v>30</v>
      </c>
      <c r="B381" s="14">
        <v>774</v>
      </c>
      <c r="C381" s="15" t="s">
        <v>26</v>
      </c>
      <c r="D381" s="15" t="s">
        <v>19</v>
      </c>
      <c r="E381" s="15" t="s">
        <v>139</v>
      </c>
      <c r="F381" s="15" t="s">
        <v>31</v>
      </c>
      <c r="G381" s="74">
        <f t="shared" si="83"/>
        <v>188062222.5</v>
      </c>
      <c r="H381" s="74">
        <f t="shared" si="83"/>
        <v>177056612.19999999</v>
      </c>
      <c r="I381" s="74">
        <f t="shared" si="83"/>
        <v>180396423.19999999</v>
      </c>
    </row>
    <row r="382" spans="1:12" s="18" customFormat="1">
      <c r="A382" s="16" t="s">
        <v>32</v>
      </c>
      <c r="B382" s="14">
        <v>774</v>
      </c>
      <c r="C382" s="15" t="s">
        <v>26</v>
      </c>
      <c r="D382" s="15" t="s">
        <v>19</v>
      </c>
      <c r="E382" s="15" t="s">
        <v>139</v>
      </c>
      <c r="F382" s="15" t="s">
        <v>33</v>
      </c>
      <c r="G382" s="74">
        <v>188062222.5</v>
      </c>
      <c r="H382" s="74">
        <f>154377151+22679461.2</f>
        <v>177056612.19999999</v>
      </c>
      <c r="I382" s="74">
        <f>157716962+22679461.2</f>
        <v>180396423.19999999</v>
      </c>
    </row>
    <row r="383" spans="1:12" s="18" customFormat="1" ht="25.5">
      <c r="A383" s="16" t="s">
        <v>96</v>
      </c>
      <c r="B383" s="14">
        <v>774</v>
      </c>
      <c r="C383" s="15" t="s">
        <v>26</v>
      </c>
      <c r="D383" s="15" t="s">
        <v>19</v>
      </c>
      <c r="E383" s="15" t="s">
        <v>224</v>
      </c>
      <c r="F383" s="15"/>
      <c r="G383" s="74">
        <f t="shared" ref="G383:I384" si="84">G384</f>
        <v>99727111.450000003</v>
      </c>
      <c r="H383" s="74">
        <f t="shared" si="84"/>
        <v>94660352.090000004</v>
      </c>
      <c r="I383" s="74">
        <f t="shared" si="84"/>
        <v>93877052.649999991</v>
      </c>
    </row>
    <row r="384" spans="1:12" s="18" customFormat="1" ht="25.5">
      <c r="A384" s="16" t="s">
        <v>30</v>
      </c>
      <c r="B384" s="14">
        <v>774</v>
      </c>
      <c r="C384" s="15" t="s">
        <v>26</v>
      </c>
      <c r="D384" s="15" t="s">
        <v>19</v>
      </c>
      <c r="E384" s="15" t="s">
        <v>224</v>
      </c>
      <c r="F384" s="15" t="s">
        <v>31</v>
      </c>
      <c r="G384" s="74">
        <f t="shared" si="84"/>
        <v>99727111.450000003</v>
      </c>
      <c r="H384" s="74">
        <f t="shared" si="84"/>
        <v>94660352.090000004</v>
      </c>
      <c r="I384" s="74">
        <f t="shared" si="84"/>
        <v>93877052.649999991</v>
      </c>
    </row>
    <row r="385" spans="1:9" s="18" customFormat="1">
      <c r="A385" s="16" t="s">
        <v>32</v>
      </c>
      <c r="B385" s="14">
        <v>774</v>
      </c>
      <c r="C385" s="15" t="s">
        <v>26</v>
      </c>
      <c r="D385" s="15" t="s">
        <v>19</v>
      </c>
      <c r="E385" s="15" t="s">
        <v>224</v>
      </c>
      <c r="F385" s="15" t="s">
        <v>33</v>
      </c>
      <c r="G385" s="74">
        <f>99457757.67+17582+251771.78</f>
        <v>99727111.450000003</v>
      </c>
      <c r="H385" s="74">
        <f>99281183.44-4620831.35</f>
        <v>94660352.090000004</v>
      </c>
      <c r="I385" s="74">
        <f>99281183.44-5404130.79</f>
        <v>93877052.649999991</v>
      </c>
    </row>
    <row r="386" spans="1:9" s="18" customFormat="1" ht="31.5" customHeight="1">
      <c r="A386" s="42" t="s">
        <v>129</v>
      </c>
      <c r="B386" s="15" t="s">
        <v>97</v>
      </c>
      <c r="C386" s="15" t="s">
        <v>26</v>
      </c>
      <c r="D386" s="15" t="s">
        <v>19</v>
      </c>
      <c r="E386" s="15" t="s">
        <v>233</v>
      </c>
      <c r="F386" s="15"/>
      <c r="G386" s="74">
        <f t="shared" ref="G386:I387" si="85">G387</f>
        <v>653058.45000000007</v>
      </c>
      <c r="H386" s="74">
        <f t="shared" si="85"/>
        <v>1481975</v>
      </c>
      <c r="I386" s="74">
        <f t="shared" si="85"/>
        <v>1481975</v>
      </c>
    </row>
    <row r="387" spans="1:9" s="18" customFormat="1" ht="25.5">
      <c r="A387" s="16" t="s">
        <v>30</v>
      </c>
      <c r="B387" s="15" t="s">
        <v>97</v>
      </c>
      <c r="C387" s="15" t="s">
        <v>26</v>
      </c>
      <c r="D387" s="15" t="s">
        <v>19</v>
      </c>
      <c r="E387" s="15" t="s">
        <v>233</v>
      </c>
      <c r="F387" s="15" t="s">
        <v>31</v>
      </c>
      <c r="G387" s="74">
        <f t="shared" si="85"/>
        <v>653058.45000000007</v>
      </c>
      <c r="H387" s="74">
        <f t="shared" si="85"/>
        <v>1481975</v>
      </c>
      <c r="I387" s="74">
        <f t="shared" si="85"/>
        <v>1481975</v>
      </c>
    </row>
    <row r="388" spans="1:9">
      <c r="A388" s="16" t="s">
        <v>32</v>
      </c>
      <c r="B388" s="15" t="s">
        <v>97</v>
      </c>
      <c r="C388" s="15" t="s">
        <v>26</v>
      </c>
      <c r="D388" s="15" t="s">
        <v>19</v>
      </c>
      <c r="E388" s="15" t="s">
        <v>233</v>
      </c>
      <c r="F388" s="15" t="s">
        <v>33</v>
      </c>
      <c r="G388" s="74">
        <f>831788.13-17582-130535.61-30612.07</f>
        <v>653058.45000000007</v>
      </c>
      <c r="H388" s="74">
        <v>1481975</v>
      </c>
      <c r="I388" s="74">
        <v>1481975</v>
      </c>
    </row>
    <row r="389" spans="1:9" s="3" customFormat="1" ht="42.75" customHeight="1">
      <c r="A389" s="16" t="s">
        <v>774</v>
      </c>
      <c r="B389" s="14">
        <v>774</v>
      </c>
      <c r="C389" s="15" t="s">
        <v>26</v>
      </c>
      <c r="D389" s="15" t="s">
        <v>19</v>
      </c>
      <c r="E389" s="15" t="s">
        <v>759</v>
      </c>
      <c r="F389" s="15"/>
      <c r="G389" s="74">
        <f>G390</f>
        <v>500000</v>
      </c>
      <c r="H389" s="74">
        <f>H390</f>
        <v>0</v>
      </c>
      <c r="I389" s="74">
        <f>I390</f>
        <v>0</v>
      </c>
    </row>
    <row r="390" spans="1:9" s="3" customFormat="1">
      <c r="A390" s="16" t="s">
        <v>32</v>
      </c>
      <c r="B390" s="14">
        <v>774</v>
      </c>
      <c r="C390" s="15" t="s">
        <v>26</v>
      </c>
      <c r="D390" s="15" t="s">
        <v>19</v>
      </c>
      <c r="E390" s="15" t="s">
        <v>759</v>
      </c>
      <c r="F390" s="15" t="s">
        <v>33</v>
      </c>
      <c r="G390" s="74">
        <v>500000</v>
      </c>
      <c r="H390" s="74">
        <v>0</v>
      </c>
      <c r="I390" s="74">
        <v>0</v>
      </c>
    </row>
    <row r="391" spans="1:9" s="18" customFormat="1" ht="45.75" customHeight="1">
      <c r="A391" s="42" t="s">
        <v>638</v>
      </c>
      <c r="B391" s="15" t="s">
        <v>97</v>
      </c>
      <c r="C391" s="15" t="s">
        <v>26</v>
      </c>
      <c r="D391" s="15" t="s">
        <v>19</v>
      </c>
      <c r="E391" s="15" t="s">
        <v>637</v>
      </c>
      <c r="F391" s="15"/>
      <c r="G391" s="74">
        <f t="shared" ref="G391:I392" si="86">G392</f>
        <v>860722.97</v>
      </c>
      <c r="H391" s="74">
        <f t="shared" si="86"/>
        <v>510000</v>
      </c>
      <c r="I391" s="74">
        <f t="shared" si="86"/>
        <v>510000</v>
      </c>
    </row>
    <row r="392" spans="1:9" s="18" customFormat="1" ht="25.5">
      <c r="A392" s="16" t="s">
        <v>30</v>
      </c>
      <c r="B392" s="15" t="s">
        <v>97</v>
      </c>
      <c r="C392" s="15" t="s">
        <v>26</v>
      </c>
      <c r="D392" s="15" t="s">
        <v>19</v>
      </c>
      <c r="E392" s="15" t="s">
        <v>637</v>
      </c>
      <c r="F392" s="15" t="s">
        <v>31</v>
      </c>
      <c r="G392" s="74">
        <f t="shared" si="86"/>
        <v>860722.97</v>
      </c>
      <c r="H392" s="74">
        <f t="shared" si="86"/>
        <v>510000</v>
      </c>
      <c r="I392" s="74">
        <f t="shared" si="86"/>
        <v>510000</v>
      </c>
    </row>
    <row r="393" spans="1:9">
      <c r="A393" s="16" t="s">
        <v>32</v>
      </c>
      <c r="B393" s="15" t="s">
        <v>97</v>
      </c>
      <c r="C393" s="15" t="s">
        <v>26</v>
      </c>
      <c r="D393" s="15" t="s">
        <v>19</v>
      </c>
      <c r="E393" s="15" t="s">
        <v>637</v>
      </c>
      <c r="F393" s="15" t="s">
        <v>33</v>
      </c>
      <c r="G393" s="74">
        <v>860722.97</v>
      </c>
      <c r="H393" s="74">
        <v>510000</v>
      </c>
      <c r="I393" s="74">
        <v>510000</v>
      </c>
    </row>
    <row r="394" spans="1:9" s="3" customFormat="1" ht="25.5">
      <c r="A394" s="16" t="s">
        <v>0</v>
      </c>
      <c r="B394" s="14">
        <v>774</v>
      </c>
      <c r="C394" s="15" t="s">
        <v>26</v>
      </c>
      <c r="D394" s="15" t="s">
        <v>19</v>
      </c>
      <c r="E394" s="15" t="s">
        <v>225</v>
      </c>
      <c r="F394" s="15"/>
      <c r="G394" s="74">
        <f>G400+G411+G417+G420+G412+G395</f>
        <v>19144690.399999999</v>
      </c>
      <c r="H394" s="74">
        <f t="shared" ref="H394:I394" si="87">H400+H411+H417+H420+H412+H395</f>
        <v>2542479.1800000002</v>
      </c>
      <c r="I394" s="74">
        <f t="shared" si="87"/>
        <v>2793310.98</v>
      </c>
    </row>
    <row r="395" spans="1:9" ht="25.5" customHeight="1">
      <c r="A395" s="16" t="s">
        <v>814</v>
      </c>
      <c r="B395" s="14">
        <v>774</v>
      </c>
      <c r="C395" s="15" t="s">
        <v>26</v>
      </c>
      <c r="D395" s="15" t="s">
        <v>19</v>
      </c>
      <c r="E395" s="15" t="s">
        <v>813</v>
      </c>
      <c r="F395" s="14"/>
      <c r="G395" s="74">
        <f t="shared" ref="G395:I396" si="88">G396</f>
        <v>16624219.01</v>
      </c>
      <c r="H395" s="74">
        <f t="shared" si="88"/>
        <v>0</v>
      </c>
      <c r="I395" s="74">
        <f t="shared" si="88"/>
        <v>0</v>
      </c>
    </row>
    <row r="396" spans="1:9" ht="25.5" customHeight="1">
      <c r="A396" s="16" t="s">
        <v>30</v>
      </c>
      <c r="B396" s="14">
        <v>774</v>
      </c>
      <c r="C396" s="15" t="s">
        <v>26</v>
      </c>
      <c r="D396" s="15" t="s">
        <v>19</v>
      </c>
      <c r="E396" s="15" t="s">
        <v>813</v>
      </c>
      <c r="F396" s="15" t="s">
        <v>31</v>
      </c>
      <c r="G396" s="74">
        <f t="shared" si="88"/>
        <v>16624219.01</v>
      </c>
      <c r="H396" s="74">
        <f t="shared" si="88"/>
        <v>0</v>
      </c>
      <c r="I396" s="74">
        <f t="shared" si="88"/>
        <v>0</v>
      </c>
    </row>
    <row r="397" spans="1:9" ht="25.5" customHeight="1">
      <c r="A397" s="16" t="s">
        <v>32</v>
      </c>
      <c r="B397" s="14">
        <v>774</v>
      </c>
      <c r="C397" s="15" t="s">
        <v>26</v>
      </c>
      <c r="D397" s="15" t="s">
        <v>19</v>
      </c>
      <c r="E397" s="15" t="s">
        <v>813</v>
      </c>
      <c r="F397" s="15" t="s">
        <v>33</v>
      </c>
      <c r="G397" s="74">
        <v>16624219.01</v>
      </c>
      <c r="H397" s="74">
        <v>0</v>
      </c>
      <c r="I397" s="74">
        <v>0</v>
      </c>
    </row>
    <row r="398" spans="1:9" ht="25.5" customHeight="1">
      <c r="A398" s="16" t="s">
        <v>304</v>
      </c>
      <c r="B398" s="14">
        <v>774</v>
      </c>
      <c r="C398" s="15" t="s">
        <v>26</v>
      </c>
      <c r="D398" s="15" t="s">
        <v>19</v>
      </c>
      <c r="E398" s="15" t="s">
        <v>303</v>
      </c>
      <c r="F398" s="14"/>
      <c r="G398" s="74">
        <f t="shared" ref="G398:I399" si="89">G399</f>
        <v>891349.39</v>
      </c>
      <c r="H398" s="74">
        <f t="shared" si="89"/>
        <v>891349.39</v>
      </c>
      <c r="I398" s="74">
        <f t="shared" si="89"/>
        <v>891349.39</v>
      </c>
    </row>
    <row r="399" spans="1:9" ht="25.5" customHeight="1">
      <c r="A399" s="16" t="s">
        <v>30</v>
      </c>
      <c r="B399" s="14">
        <v>774</v>
      </c>
      <c r="C399" s="15" t="s">
        <v>26</v>
      </c>
      <c r="D399" s="15" t="s">
        <v>19</v>
      </c>
      <c r="E399" s="15" t="s">
        <v>303</v>
      </c>
      <c r="F399" s="15" t="s">
        <v>31</v>
      </c>
      <c r="G399" s="74">
        <f t="shared" si="89"/>
        <v>891349.39</v>
      </c>
      <c r="H399" s="74">
        <f t="shared" si="89"/>
        <v>891349.39</v>
      </c>
      <c r="I399" s="74">
        <f t="shared" si="89"/>
        <v>891349.39</v>
      </c>
    </row>
    <row r="400" spans="1:9" ht="25.5" customHeight="1">
      <c r="A400" s="16" t="s">
        <v>32</v>
      </c>
      <c r="B400" s="14">
        <v>774</v>
      </c>
      <c r="C400" s="15" t="s">
        <v>26</v>
      </c>
      <c r="D400" s="15" t="s">
        <v>19</v>
      </c>
      <c r="E400" s="15" t="s">
        <v>303</v>
      </c>
      <c r="F400" s="15" t="s">
        <v>33</v>
      </c>
      <c r="G400" s="74">
        <v>891349.39</v>
      </c>
      <c r="H400" s="74">
        <v>891349.39</v>
      </c>
      <c r="I400" s="74">
        <v>891349.39</v>
      </c>
    </row>
    <row r="401" spans="1:9" ht="96" hidden="1" customHeight="1">
      <c r="A401" s="16" t="s">
        <v>4</v>
      </c>
      <c r="B401" s="14">
        <v>774</v>
      </c>
      <c r="C401" s="15" t="s">
        <v>26</v>
      </c>
      <c r="D401" s="15" t="s">
        <v>19</v>
      </c>
      <c r="E401" s="15" t="s">
        <v>5</v>
      </c>
      <c r="F401" s="14"/>
      <c r="G401" s="74">
        <f t="shared" ref="G401:I402" si="90">G402</f>
        <v>0</v>
      </c>
      <c r="H401" s="74">
        <f t="shared" si="90"/>
        <v>0</v>
      </c>
      <c r="I401" s="74">
        <f t="shared" si="90"/>
        <v>0</v>
      </c>
    </row>
    <row r="402" spans="1:9" ht="25.5" hidden="1" customHeight="1">
      <c r="A402" s="16" t="s">
        <v>30</v>
      </c>
      <c r="B402" s="14">
        <v>774</v>
      </c>
      <c r="C402" s="15" t="s">
        <v>26</v>
      </c>
      <c r="D402" s="15" t="s">
        <v>19</v>
      </c>
      <c r="E402" s="15" t="s">
        <v>5</v>
      </c>
      <c r="F402" s="15" t="s">
        <v>31</v>
      </c>
      <c r="G402" s="74">
        <f t="shared" si="90"/>
        <v>0</v>
      </c>
      <c r="H402" s="74">
        <f t="shared" si="90"/>
        <v>0</v>
      </c>
      <c r="I402" s="74">
        <f t="shared" si="90"/>
        <v>0</v>
      </c>
    </row>
    <row r="403" spans="1:9" ht="25.5" hidden="1" customHeight="1">
      <c r="A403" s="16" t="s">
        <v>32</v>
      </c>
      <c r="B403" s="14">
        <v>774</v>
      </c>
      <c r="C403" s="15" t="s">
        <v>26</v>
      </c>
      <c r="D403" s="15" t="s">
        <v>19</v>
      </c>
      <c r="E403" s="15" t="s">
        <v>5</v>
      </c>
      <c r="F403" s="15" t="s">
        <v>33</v>
      </c>
      <c r="G403" s="74"/>
      <c r="H403" s="74"/>
      <c r="I403" s="74"/>
    </row>
    <row r="404" spans="1:9" ht="96" hidden="1" customHeight="1">
      <c r="A404" s="50" t="s">
        <v>43</v>
      </c>
      <c r="B404" s="14">
        <v>774</v>
      </c>
      <c r="C404" s="15" t="s">
        <v>26</v>
      </c>
      <c r="D404" s="15" t="s">
        <v>19</v>
      </c>
      <c r="E404" s="15" t="s">
        <v>42</v>
      </c>
      <c r="F404" s="14"/>
      <c r="G404" s="74">
        <f t="shared" ref="G404:I405" si="91">G405</f>
        <v>0</v>
      </c>
      <c r="H404" s="74">
        <f t="shared" si="91"/>
        <v>0</v>
      </c>
      <c r="I404" s="74">
        <f t="shared" si="91"/>
        <v>0</v>
      </c>
    </row>
    <row r="405" spans="1:9" ht="25.5" hidden="1" customHeight="1">
      <c r="A405" s="16" t="s">
        <v>30</v>
      </c>
      <c r="B405" s="14">
        <v>774</v>
      </c>
      <c r="C405" s="15" t="s">
        <v>26</v>
      </c>
      <c r="D405" s="15" t="s">
        <v>19</v>
      </c>
      <c r="E405" s="15" t="s">
        <v>5</v>
      </c>
      <c r="F405" s="15" t="s">
        <v>31</v>
      </c>
      <c r="G405" s="74">
        <f t="shared" si="91"/>
        <v>0</v>
      </c>
      <c r="H405" s="74">
        <f t="shared" si="91"/>
        <v>0</v>
      </c>
      <c r="I405" s="74">
        <f t="shared" si="91"/>
        <v>0</v>
      </c>
    </row>
    <row r="406" spans="1:9" ht="25.5" hidden="1" customHeight="1">
      <c r="A406" s="16" t="s">
        <v>32</v>
      </c>
      <c r="B406" s="14">
        <v>774</v>
      </c>
      <c r="C406" s="15" t="s">
        <v>26</v>
      </c>
      <c r="D406" s="15" t="s">
        <v>19</v>
      </c>
      <c r="E406" s="15" t="s">
        <v>5</v>
      </c>
      <c r="F406" s="15" t="s">
        <v>33</v>
      </c>
      <c r="G406" s="74"/>
      <c r="H406" s="74"/>
      <c r="I406" s="74"/>
    </row>
    <row r="407" spans="1:9" ht="48" hidden="1" customHeight="1">
      <c r="A407" s="16" t="s">
        <v>399</v>
      </c>
      <c r="B407" s="14">
        <v>774</v>
      </c>
      <c r="C407" s="15" t="s">
        <v>26</v>
      </c>
      <c r="D407" s="15" t="s">
        <v>19</v>
      </c>
      <c r="E407" s="15" t="s">
        <v>395</v>
      </c>
      <c r="F407" s="15"/>
      <c r="G407" s="74">
        <f>G408</f>
        <v>0</v>
      </c>
      <c r="H407" s="74">
        <f>H408</f>
        <v>0</v>
      </c>
      <c r="I407" s="74">
        <f>I408</f>
        <v>0</v>
      </c>
    </row>
    <row r="408" spans="1:9" ht="25.5" hidden="1" customHeight="1">
      <c r="A408" s="16" t="s">
        <v>32</v>
      </c>
      <c r="B408" s="14">
        <v>774</v>
      </c>
      <c r="C408" s="15" t="s">
        <v>26</v>
      </c>
      <c r="D408" s="15" t="s">
        <v>19</v>
      </c>
      <c r="E408" s="15" t="s">
        <v>395</v>
      </c>
      <c r="F408" s="15" t="s">
        <v>33</v>
      </c>
      <c r="G408" s="74"/>
      <c r="H408" s="74"/>
      <c r="I408" s="74"/>
    </row>
    <row r="409" spans="1:9" s="3" customFormat="1">
      <c r="A409" s="16" t="s">
        <v>1</v>
      </c>
      <c r="B409" s="14">
        <v>774</v>
      </c>
      <c r="C409" s="15" t="s">
        <v>26</v>
      </c>
      <c r="D409" s="15" t="s">
        <v>19</v>
      </c>
      <c r="E409" s="15" t="s">
        <v>226</v>
      </c>
      <c r="F409" s="15"/>
      <c r="G409" s="74">
        <f t="shared" ref="G409:I410" si="92">G410</f>
        <v>1609122</v>
      </c>
      <c r="H409" s="74">
        <f t="shared" si="92"/>
        <v>1151129.79</v>
      </c>
      <c r="I409" s="74">
        <f t="shared" si="92"/>
        <v>1401961.59</v>
      </c>
    </row>
    <row r="410" spans="1:9" s="3" customFormat="1" ht="25.5">
      <c r="A410" s="16" t="s">
        <v>30</v>
      </c>
      <c r="B410" s="14">
        <v>774</v>
      </c>
      <c r="C410" s="15" t="s">
        <v>26</v>
      </c>
      <c r="D410" s="15" t="s">
        <v>19</v>
      </c>
      <c r="E410" s="15" t="s">
        <v>226</v>
      </c>
      <c r="F410" s="15" t="s">
        <v>31</v>
      </c>
      <c r="G410" s="74">
        <f t="shared" si="92"/>
        <v>1609122</v>
      </c>
      <c r="H410" s="74">
        <f t="shared" si="92"/>
        <v>1151129.79</v>
      </c>
      <c r="I410" s="74">
        <f t="shared" si="92"/>
        <v>1401961.59</v>
      </c>
    </row>
    <row r="411" spans="1:9" s="3" customFormat="1">
      <c r="A411" s="16" t="s">
        <v>32</v>
      </c>
      <c r="B411" s="14">
        <v>774</v>
      </c>
      <c r="C411" s="15" t="s">
        <v>26</v>
      </c>
      <c r="D411" s="15" t="s">
        <v>19</v>
      </c>
      <c r="E411" s="15" t="s">
        <v>226</v>
      </c>
      <c r="F411" s="15" t="s">
        <v>33</v>
      </c>
      <c r="G411" s="74">
        <f>1758129.79-20000+170812.21+354779+335974+10049.11+137507.68-1738129.79+600000</f>
        <v>1609122</v>
      </c>
      <c r="H411" s="74">
        <f>1401961.59-250831.8</f>
        <v>1151129.79</v>
      </c>
      <c r="I411" s="74">
        <v>1401961.59</v>
      </c>
    </row>
    <row r="412" spans="1:9" s="3" customFormat="1" ht="54.75" customHeight="1">
      <c r="A412" s="86" t="s">
        <v>781</v>
      </c>
      <c r="B412" s="217">
        <v>774</v>
      </c>
      <c r="C412" s="88" t="s">
        <v>26</v>
      </c>
      <c r="D412" s="88" t="s">
        <v>19</v>
      </c>
      <c r="E412" s="88" t="s">
        <v>769</v>
      </c>
      <c r="F412" s="15"/>
      <c r="G412" s="74">
        <f t="shared" ref="G412:I413" si="93">G413</f>
        <v>20000</v>
      </c>
      <c r="H412" s="74">
        <f t="shared" si="93"/>
        <v>0</v>
      </c>
      <c r="I412" s="74">
        <f t="shared" si="93"/>
        <v>0</v>
      </c>
    </row>
    <row r="413" spans="1:9" s="3" customFormat="1" ht="25.5">
      <c r="A413" s="16" t="s">
        <v>30</v>
      </c>
      <c r="B413" s="14">
        <v>774</v>
      </c>
      <c r="C413" s="15" t="s">
        <v>26</v>
      </c>
      <c r="D413" s="15" t="s">
        <v>19</v>
      </c>
      <c r="E413" s="15" t="s">
        <v>769</v>
      </c>
      <c r="F413" s="15" t="s">
        <v>31</v>
      </c>
      <c r="G413" s="74">
        <f t="shared" si="93"/>
        <v>20000</v>
      </c>
      <c r="H413" s="74">
        <f t="shared" si="93"/>
        <v>0</v>
      </c>
      <c r="I413" s="74">
        <f t="shared" si="93"/>
        <v>0</v>
      </c>
    </row>
    <row r="414" spans="1:9" s="3" customFormat="1">
      <c r="A414" s="16" t="s">
        <v>32</v>
      </c>
      <c r="B414" s="14">
        <v>774</v>
      </c>
      <c r="C414" s="15" t="s">
        <v>26</v>
      </c>
      <c r="D414" s="15" t="s">
        <v>19</v>
      </c>
      <c r="E414" s="15" t="s">
        <v>769</v>
      </c>
      <c r="F414" s="15" t="s">
        <v>33</v>
      </c>
      <c r="G414" s="74">
        <v>20000</v>
      </c>
      <c r="H414" s="74">
        <v>0</v>
      </c>
      <c r="I414" s="74">
        <v>0</v>
      </c>
    </row>
    <row r="415" spans="1:9" s="3" customFormat="1" ht="38.25">
      <c r="A415" s="16" t="s">
        <v>860</v>
      </c>
      <c r="B415" s="14">
        <v>774</v>
      </c>
      <c r="C415" s="15" t="s">
        <v>26</v>
      </c>
      <c r="D415" s="15" t="s">
        <v>19</v>
      </c>
      <c r="E415" s="15" t="s">
        <v>463</v>
      </c>
      <c r="F415" s="15"/>
      <c r="G415" s="74">
        <f>G416</f>
        <v>0</v>
      </c>
      <c r="H415" s="74">
        <f t="shared" ref="H415:I415" si="94">H416</f>
        <v>500000</v>
      </c>
      <c r="I415" s="74">
        <f t="shared" si="94"/>
        <v>500000</v>
      </c>
    </row>
    <row r="416" spans="1:9" s="3" customFormat="1" ht="33" customHeight="1">
      <c r="A416" s="16" t="s">
        <v>30</v>
      </c>
      <c r="B416" s="14">
        <v>774</v>
      </c>
      <c r="C416" s="15" t="s">
        <v>26</v>
      </c>
      <c r="D416" s="15" t="s">
        <v>19</v>
      </c>
      <c r="E416" s="15" t="s">
        <v>463</v>
      </c>
      <c r="F416" s="15" t="s">
        <v>31</v>
      </c>
      <c r="G416" s="74">
        <f>G417</f>
        <v>0</v>
      </c>
      <c r="H416" s="74">
        <f t="shared" ref="H416:I416" si="95">H417</f>
        <v>500000</v>
      </c>
      <c r="I416" s="74">
        <f t="shared" si="95"/>
        <v>500000</v>
      </c>
    </row>
    <row r="417" spans="1:9" s="3" customFormat="1">
      <c r="A417" s="16" t="s">
        <v>32</v>
      </c>
      <c r="B417" s="14">
        <v>774</v>
      </c>
      <c r="C417" s="15" t="s">
        <v>26</v>
      </c>
      <c r="D417" s="15" t="s">
        <v>19</v>
      </c>
      <c r="E417" s="15" t="s">
        <v>463</v>
      </c>
      <c r="F417" s="15" t="s">
        <v>33</v>
      </c>
      <c r="G417" s="74"/>
      <c r="H417" s="74">
        <v>500000</v>
      </c>
      <c r="I417" s="74">
        <v>500000</v>
      </c>
    </row>
    <row r="418" spans="1:9" s="3" customFormat="1" ht="30.75" hidden="1" customHeight="1">
      <c r="A418" s="16" t="s">
        <v>762</v>
      </c>
      <c r="B418" s="14">
        <v>774</v>
      </c>
      <c r="C418" s="15" t="s">
        <v>26</v>
      </c>
      <c r="D418" s="15" t="s">
        <v>19</v>
      </c>
      <c r="E418" s="15" t="s">
        <v>763</v>
      </c>
      <c r="F418" s="15"/>
      <c r="G418" s="74">
        <f>G419</f>
        <v>0</v>
      </c>
      <c r="H418" s="74">
        <f>H420</f>
        <v>0</v>
      </c>
      <c r="I418" s="74">
        <f>I420</f>
        <v>0</v>
      </c>
    </row>
    <row r="419" spans="1:9" s="3" customFormat="1" ht="29.25" hidden="1" customHeight="1">
      <c r="A419" s="16" t="s">
        <v>30</v>
      </c>
      <c r="B419" s="14">
        <v>774</v>
      </c>
      <c r="C419" s="15" t="s">
        <v>26</v>
      </c>
      <c r="D419" s="15" t="s">
        <v>19</v>
      </c>
      <c r="E419" s="15" t="s">
        <v>763</v>
      </c>
      <c r="F419" s="15" t="s">
        <v>31</v>
      </c>
      <c r="G419" s="74">
        <f>G420</f>
        <v>0</v>
      </c>
      <c r="H419" s="74">
        <v>0</v>
      </c>
      <c r="I419" s="74">
        <v>0</v>
      </c>
    </row>
    <row r="420" spans="1:9" s="3" customFormat="1" hidden="1">
      <c r="A420" s="16" t="s">
        <v>32</v>
      </c>
      <c r="B420" s="14">
        <v>774</v>
      </c>
      <c r="C420" s="15" t="s">
        <v>26</v>
      </c>
      <c r="D420" s="15" t="s">
        <v>19</v>
      </c>
      <c r="E420" s="15" t="s">
        <v>763</v>
      </c>
      <c r="F420" s="15" t="s">
        <v>33</v>
      </c>
      <c r="G420" s="74">
        <v>0</v>
      </c>
      <c r="H420" s="74">
        <v>0</v>
      </c>
      <c r="I420" s="74">
        <v>0</v>
      </c>
    </row>
    <row r="421" spans="1:9" s="18" customFormat="1" ht="25.5" customHeight="1">
      <c r="A421" s="13" t="s">
        <v>501</v>
      </c>
      <c r="B421" s="14">
        <v>774</v>
      </c>
      <c r="C421" s="15" t="s">
        <v>26</v>
      </c>
      <c r="D421" s="15" t="s">
        <v>19</v>
      </c>
      <c r="E421" s="15" t="s">
        <v>227</v>
      </c>
      <c r="F421" s="15"/>
      <c r="G421" s="74">
        <f t="shared" ref="G421:I423" si="96">G422</f>
        <v>81026</v>
      </c>
      <c r="H421" s="74">
        <f t="shared" si="96"/>
        <v>0</v>
      </c>
      <c r="I421" s="74">
        <f t="shared" si="96"/>
        <v>0</v>
      </c>
    </row>
    <row r="422" spans="1:9" s="18" customFormat="1" ht="25.5">
      <c r="A422" s="16" t="s">
        <v>103</v>
      </c>
      <c r="B422" s="15" t="s">
        <v>97</v>
      </c>
      <c r="C422" s="15" t="s">
        <v>26</v>
      </c>
      <c r="D422" s="15" t="s">
        <v>19</v>
      </c>
      <c r="E422" s="15" t="s">
        <v>228</v>
      </c>
      <c r="F422" s="15"/>
      <c r="G422" s="74">
        <f t="shared" si="96"/>
        <v>81026</v>
      </c>
      <c r="H422" s="74">
        <f t="shared" si="96"/>
        <v>0</v>
      </c>
      <c r="I422" s="74">
        <f t="shared" si="96"/>
        <v>0</v>
      </c>
    </row>
    <row r="423" spans="1:9" s="18" customFormat="1" ht="30.75" customHeight="1">
      <c r="A423" s="16" t="s">
        <v>30</v>
      </c>
      <c r="B423" s="15" t="s">
        <v>97</v>
      </c>
      <c r="C423" s="15" t="s">
        <v>26</v>
      </c>
      <c r="D423" s="15" t="s">
        <v>19</v>
      </c>
      <c r="E423" s="15" t="s">
        <v>228</v>
      </c>
      <c r="F423" s="15" t="s">
        <v>31</v>
      </c>
      <c r="G423" s="74">
        <f t="shared" si="96"/>
        <v>81026</v>
      </c>
      <c r="H423" s="74">
        <f t="shared" si="96"/>
        <v>0</v>
      </c>
      <c r="I423" s="74">
        <f t="shared" si="96"/>
        <v>0</v>
      </c>
    </row>
    <row r="424" spans="1:9" s="18" customFormat="1">
      <c r="A424" s="16" t="s">
        <v>32</v>
      </c>
      <c r="B424" s="15" t="s">
        <v>97</v>
      </c>
      <c r="C424" s="15" t="s">
        <v>26</v>
      </c>
      <c r="D424" s="15" t="s">
        <v>19</v>
      </c>
      <c r="E424" s="15" t="s">
        <v>228</v>
      </c>
      <c r="F424" s="15" t="s">
        <v>33</v>
      </c>
      <c r="G424" s="74">
        <v>81026</v>
      </c>
      <c r="H424" s="74"/>
      <c r="I424" s="74"/>
    </row>
    <row r="425" spans="1:9" s="240" customFormat="1" ht="30.75" customHeight="1">
      <c r="A425" s="37" t="s">
        <v>280</v>
      </c>
      <c r="B425" s="14">
        <v>774</v>
      </c>
      <c r="C425" s="15" t="s">
        <v>26</v>
      </c>
      <c r="D425" s="15" t="s">
        <v>19</v>
      </c>
      <c r="E425" s="15" t="s">
        <v>591</v>
      </c>
      <c r="F425" s="15"/>
      <c r="G425" s="74">
        <f>G426</f>
        <v>2000000</v>
      </c>
      <c r="H425" s="239">
        <v>0</v>
      </c>
      <c r="I425" s="239">
        <v>0</v>
      </c>
    </row>
    <row r="426" spans="1:9" ht="30.75" customHeight="1">
      <c r="A426" s="16" t="s">
        <v>280</v>
      </c>
      <c r="B426" s="14">
        <v>774</v>
      </c>
      <c r="C426" s="15" t="s">
        <v>26</v>
      </c>
      <c r="D426" s="15" t="s">
        <v>19</v>
      </c>
      <c r="E426" s="15" t="s">
        <v>592</v>
      </c>
      <c r="F426" s="15"/>
      <c r="G426" s="74">
        <f>G433</f>
        <v>2000000</v>
      </c>
      <c r="H426" s="74">
        <v>0</v>
      </c>
      <c r="I426" s="74">
        <v>0</v>
      </c>
    </row>
    <row r="427" spans="1:9" ht="30.75" hidden="1" customHeight="1">
      <c r="A427" s="16" t="s">
        <v>36</v>
      </c>
      <c r="B427" s="49">
        <v>795</v>
      </c>
      <c r="C427" s="15" t="s">
        <v>26</v>
      </c>
      <c r="D427" s="15" t="s">
        <v>19</v>
      </c>
      <c r="E427" s="15" t="s">
        <v>592</v>
      </c>
      <c r="F427" s="15" t="s">
        <v>37</v>
      </c>
      <c r="G427" s="74">
        <f>G428</f>
        <v>0</v>
      </c>
      <c r="H427" s="74">
        <v>0</v>
      </c>
      <c r="I427" s="74">
        <v>0</v>
      </c>
    </row>
    <row r="428" spans="1:9" ht="30.75" hidden="1" customHeight="1">
      <c r="A428" s="16" t="s">
        <v>38</v>
      </c>
      <c r="B428" s="49">
        <v>795</v>
      </c>
      <c r="C428" s="15" t="s">
        <v>26</v>
      </c>
      <c r="D428" s="15" t="s">
        <v>19</v>
      </c>
      <c r="E428" s="15" t="s">
        <v>592</v>
      </c>
      <c r="F428" s="15" t="s">
        <v>39</v>
      </c>
      <c r="G428" s="74">
        <f>'прил 5'!G751</f>
        <v>0</v>
      </c>
      <c r="H428" s="74">
        <v>0</v>
      </c>
      <c r="I428" s="74">
        <v>0</v>
      </c>
    </row>
    <row r="429" spans="1:9" ht="23.25" hidden="1" customHeight="1">
      <c r="A429" s="16" t="s">
        <v>154</v>
      </c>
      <c r="B429" s="14">
        <v>793</v>
      </c>
      <c r="C429" s="15" t="s">
        <v>26</v>
      </c>
      <c r="D429" s="15" t="s">
        <v>19</v>
      </c>
      <c r="E429" s="15" t="s">
        <v>592</v>
      </c>
      <c r="F429" s="15" t="s">
        <v>155</v>
      </c>
      <c r="G429" s="74">
        <f>G430</f>
        <v>0</v>
      </c>
      <c r="H429" s="74">
        <v>0</v>
      </c>
      <c r="I429" s="74">
        <v>0</v>
      </c>
    </row>
    <row r="430" spans="1:9" ht="30.75" hidden="1" customHeight="1">
      <c r="A430" s="16" t="s">
        <v>156</v>
      </c>
      <c r="B430" s="14">
        <v>793</v>
      </c>
      <c r="C430" s="15" t="s">
        <v>26</v>
      </c>
      <c r="D430" s="15" t="s">
        <v>19</v>
      </c>
      <c r="E430" s="15" t="s">
        <v>592</v>
      </c>
      <c r="F430" s="15" t="s">
        <v>157</v>
      </c>
      <c r="G430" s="74">
        <f>'прил 5'!G369</f>
        <v>0</v>
      </c>
      <c r="H430" s="74">
        <v>0</v>
      </c>
      <c r="I430" s="74">
        <v>0</v>
      </c>
    </row>
    <row r="431" spans="1:9" ht="21.75" hidden="1" customHeight="1">
      <c r="A431" s="16" t="s">
        <v>163</v>
      </c>
      <c r="B431" s="14">
        <v>793</v>
      </c>
      <c r="C431" s="15" t="s">
        <v>26</v>
      </c>
      <c r="D431" s="15" t="s">
        <v>19</v>
      </c>
      <c r="E431" s="15" t="s">
        <v>592</v>
      </c>
      <c r="F431" s="15" t="s">
        <v>164</v>
      </c>
      <c r="G431" s="74">
        <f>G432</f>
        <v>0</v>
      </c>
      <c r="H431" s="74">
        <v>0</v>
      </c>
      <c r="I431" s="74">
        <v>0</v>
      </c>
    </row>
    <row r="432" spans="1:9" ht="22.5" hidden="1" customHeight="1">
      <c r="A432" s="16" t="s">
        <v>185</v>
      </c>
      <c r="B432" s="14">
        <v>793</v>
      </c>
      <c r="C432" s="15" t="s">
        <v>26</v>
      </c>
      <c r="D432" s="15" t="s">
        <v>19</v>
      </c>
      <c r="E432" s="15" t="s">
        <v>592</v>
      </c>
      <c r="F432" s="15" t="s">
        <v>186</v>
      </c>
      <c r="G432" s="74"/>
      <c r="H432" s="74">
        <v>0</v>
      </c>
      <c r="I432" s="74">
        <v>0</v>
      </c>
    </row>
    <row r="433" spans="1:16" ht="25.5">
      <c r="A433" s="16" t="s">
        <v>30</v>
      </c>
      <c r="B433" s="14">
        <v>774</v>
      </c>
      <c r="C433" s="15" t="s">
        <v>26</v>
      </c>
      <c r="D433" s="15" t="s">
        <v>19</v>
      </c>
      <c r="E433" s="15" t="s">
        <v>592</v>
      </c>
      <c r="F433" s="15" t="s">
        <v>31</v>
      </c>
      <c r="G433" s="89">
        <f t="shared" ref="G433:I433" si="97">G434</f>
        <v>2000000</v>
      </c>
      <c r="H433" s="8">
        <f t="shared" si="97"/>
        <v>0</v>
      </c>
      <c r="I433" s="8">
        <f t="shared" si="97"/>
        <v>0</v>
      </c>
    </row>
    <row r="434" spans="1:16">
      <c r="A434" s="16" t="s">
        <v>32</v>
      </c>
      <c r="B434" s="14">
        <v>774</v>
      </c>
      <c r="C434" s="15" t="s">
        <v>26</v>
      </c>
      <c r="D434" s="15" t="s">
        <v>19</v>
      </c>
      <c r="E434" s="15" t="s">
        <v>592</v>
      </c>
      <c r="F434" s="15" t="s">
        <v>33</v>
      </c>
      <c r="G434" s="89">
        <v>2000000</v>
      </c>
      <c r="H434" s="8">
        <v>0</v>
      </c>
      <c r="I434" s="8">
        <v>0</v>
      </c>
    </row>
    <row r="435" spans="1:16" s="18" customFormat="1" ht="25.5">
      <c r="A435" s="16" t="s">
        <v>176</v>
      </c>
      <c r="B435" s="15" t="s">
        <v>97</v>
      </c>
      <c r="C435" s="15" t="s">
        <v>26</v>
      </c>
      <c r="D435" s="15" t="s">
        <v>19</v>
      </c>
      <c r="E435" s="15" t="s">
        <v>241</v>
      </c>
      <c r="F435" s="15"/>
      <c r="G435" s="74">
        <f>G436</f>
        <v>22100</v>
      </c>
      <c r="H435" s="74">
        <v>0</v>
      </c>
      <c r="I435" s="74">
        <v>0</v>
      </c>
    </row>
    <row r="436" spans="1:16" s="18" customFormat="1" ht="47.25" customHeight="1">
      <c r="A436" s="16" t="s">
        <v>176</v>
      </c>
      <c r="B436" s="15" t="s">
        <v>97</v>
      </c>
      <c r="C436" s="15" t="s">
        <v>26</v>
      </c>
      <c r="D436" s="15" t="s">
        <v>19</v>
      </c>
      <c r="E436" s="15" t="s">
        <v>285</v>
      </c>
      <c r="F436" s="15"/>
      <c r="G436" s="74">
        <f>G437</f>
        <v>22100</v>
      </c>
      <c r="H436" s="74">
        <f t="shared" ref="H436:I437" si="98">H437</f>
        <v>0</v>
      </c>
      <c r="I436" s="74">
        <f t="shared" si="98"/>
        <v>0</v>
      </c>
    </row>
    <row r="437" spans="1:16" s="18" customFormat="1" ht="25.5">
      <c r="A437" s="16" t="s">
        <v>30</v>
      </c>
      <c r="B437" s="15" t="s">
        <v>97</v>
      </c>
      <c r="C437" s="15" t="s">
        <v>26</v>
      </c>
      <c r="D437" s="15" t="s">
        <v>19</v>
      </c>
      <c r="E437" s="15" t="s">
        <v>285</v>
      </c>
      <c r="F437" s="15" t="s">
        <v>31</v>
      </c>
      <c r="G437" s="74">
        <f>G438</f>
        <v>22100</v>
      </c>
      <c r="H437" s="74">
        <f t="shared" si="98"/>
        <v>0</v>
      </c>
      <c r="I437" s="74">
        <f t="shared" si="98"/>
        <v>0</v>
      </c>
    </row>
    <row r="438" spans="1:16" s="18" customFormat="1">
      <c r="A438" s="16" t="s">
        <v>32</v>
      </c>
      <c r="B438" s="15" t="s">
        <v>97</v>
      </c>
      <c r="C438" s="15" t="s">
        <v>26</v>
      </c>
      <c r="D438" s="15" t="s">
        <v>19</v>
      </c>
      <c r="E438" s="15" t="s">
        <v>285</v>
      </c>
      <c r="F438" s="15" t="s">
        <v>33</v>
      </c>
      <c r="G438" s="74">
        <v>22100</v>
      </c>
      <c r="H438" s="74">
        <v>0</v>
      </c>
      <c r="I438" s="74">
        <v>0</v>
      </c>
    </row>
    <row r="439" spans="1:16" ht="22.5" customHeight="1">
      <c r="A439" s="13" t="s">
        <v>27</v>
      </c>
      <c r="B439" s="15" t="s">
        <v>97</v>
      </c>
      <c r="C439" s="15" t="s">
        <v>26</v>
      </c>
      <c r="D439" s="15" t="s">
        <v>28</v>
      </c>
      <c r="E439" s="15"/>
      <c r="F439" s="15"/>
      <c r="G439" s="74">
        <f>G440+G551+G559+G570+G574+G555+G577+G587+G597</f>
        <v>586084338.59000015</v>
      </c>
      <c r="H439" s="74">
        <f t="shared" ref="H439:I439" si="99">H440+H551+H559+H570+H574+H555+H577+H587</f>
        <v>537418819.56000006</v>
      </c>
      <c r="I439" s="74">
        <f t="shared" si="99"/>
        <v>550450010.23000002</v>
      </c>
    </row>
    <row r="440" spans="1:16" s="28" customFormat="1" ht="25.5">
      <c r="A440" s="16" t="s">
        <v>496</v>
      </c>
      <c r="B440" s="15" t="s">
        <v>97</v>
      </c>
      <c r="C440" s="15" t="s">
        <v>26</v>
      </c>
      <c r="D440" s="15" t="s">
        <v>28</v>
      </c>
      <c r="E440" s="15" t="s">
        <v>196</v>
      </c>
      <c r="F440" s="39"/>
      <c r="G440" s="74">
        <f>G441+G514+G547</f>
        <v>583492958.3900001</v>
      </c>
      <c r="H440" s="74">
        <f>H441+H514+H547</f>
        <v>537082845.56000006</v>
      </c>
      <c r="I440" s="74">
        <f>I441+I514+I547</f>
        <v>550114036.23000002</v>
      </c>
      <c r="M440" s="150"/>
    </row>
    <row r="441" spans="1:16" ht="30.75" customHeight="1">
      <c r="A441" s="16" t="s">
        <v>93</v>
      </c>
      <c r="B441" s="15" t="s">
        <v>97</v>
      </c>
      <c r="C441" s="15" t="s">
        <v>26</v>
      </c>
      <c r="D441" s="15" t="s">
        <v>28</v>
      </c>
      <c r="E441" s="15" t="s">
        <v>222</v>
      </c>
      <c r="F441" s="15"/>
      <c r="G441" s="74">
        <f>G445+G448+G451+G454+G493+G496+G499+G442+G478+G505+G511+G484+G487+G472+G475+G508+G462+G467+G459+G490+G504+G481</f>
        <v>575201180.75</v>
      </c>
      <c r="H441" s="74">
        <f>H445+H448+H451+H454+H493+H496+H499+H442+H478+H505+H511+H472</f>
        <v>533053194.95000005</v>
      </c>
      <c r="I441" s="74">
        <f>I445+I448+I451+I454+I493+I496+I499+I442+I478+I505+I511+I472</f>
        <v>546335217.42000008</v>
      </c>
    </row>
    <row r="442" spans="1:16" ht="50.25" hidden="1" customHeight="1">
      <c r="A442" s="16" t="s">
        <v>669</v>
      </c>
      <c r="B442" s="15" t="s">
        <v>97</v>
      </c>
      <c r="C442" s="15" t="s">
        <v>26</v>
      </c>
      <c r="D442" s="15" t="s">
        <v>28</v>
      </c>
      <c r="E442" s="15" t="s">
        <v>668</v>
      </c>
      <c r="F442" s="15"/>
      <c r="G442" s="74">
        <f t="shared" ref="G442:I443" si="100">G443</f>
        <v>0</v>
      </c>
      <c r="H442" s="74">
        <f t="shared" si="100"/>
        <v>0</v>
      </c>
      <c r="I442" s="74">
        <f t="shared" si="100"/>
        <v>0</v>
      </c>
    </row>
    <row r="443" spans="1:16" s="18" customFormat="1" ht="25.5" hidden="1">
      <c r="A443" s="16" t="s">
        <v>30</v>
      </c>
      <c r="B443" s="15" t="s">
        <v>97</v>
      </c>
      <c r="C443" s="15" t="s">
        <v>26</v>
      </c>
      <c r="D443" s="15" t="s">
        <v>28</v>
      </c>
      <c r="E443" s="15" t="s">
        <v>668</v>
      </c>
      <c r="F443" s="15" t="s">
        <v>31</v>
      </c>
      <c r="G443" s="74">
        <f t="shared" si="100"/>
        <v>0</v>
      </c>
      <c r="H443" s="74">
        <f>H444</f>
        <v>0</v>
      </c>
      <c r="I443" s="74">
        <f>I444</f>
        <v>0</v>
      </c>
      <c r="L443" s="17" t="e">
        <f>#REF!+G499</f>
        <v>#REF!</v>
      </c>
      <c r="M443" s="17" t="e">
        <f>#REF!-L443</f>
        <v>#REF!</v>
      </c>
    </row>
    <row r="444" spans="1:16" s="18" customFormat="1" hidden="1">
      <c r="A444" s="16" t="s">
        <v>32</v>
      </c>
      <c r="B444" s="15" t="s">
        <v>97</v>
      </c>
      <c r="C444" s="15" t="s">
        <v>26</v>
      </c>
      <c r="D444" s="15" t="s">
        <v>28</v>
      </c>
      <c r="E444" s="15" t="s">
        <v>668</v>
      </c>
      <c r="F444" s="15" t="s">
        <v>33</v>
      </c>
      <c r="G444" s="74"/>
      <c r="H444" s="74"/>
      <c r="I444" s="74"/>
    </row>
    <row r="445" spans="1:16" ht="50.25" customHeight="1">
      <c r="A445" s="16" t="s">
        <v>3</v>
      </c>
      <c r="B445" s="15" t="s">
        <v>97</v>
      </c>
      <c r="C445" s="15" t="s">
        <v>26</v>
      </c>
      <c r="D445" s="15" t="s">
        <v>28</v>
      </c>
      <c r="E445" s="15" t="s">
        <v>140</v>
      </c>
      <c r="F445" s="15"/>
      <c r="G445" s="74">
        <f t="shared" ref="G445:I446" si="101">G446</f>
        <v>35963535.869999997</v>
      </c>
      <c r="H445" s="74">
        <f t="shared" si="101"/>
        <v>32797165.039999999</v>
      </c>
      <c r="I445" s="74">
        <f t="shared" si="101"/>
        <v>34108559.740000002</v>
      </c>
      <c r="P445" s="2"/>
    </row>
    <row r="446" spans="1:16" s="18" customFormat="1" ht="25.5">
      <c r="A446" s="16" t="s">
        <v>30</v>
      </c>
      <c r="B446" s="15" t="s">
        <v>97</v>
      </c>
      <c r="C446" s="15" t="s">
        <v>26</v>
      </c>
      <c r="D446" s="15" t="s">
        <v>28</v>
      </c>
      <c r="E446" s="15" t="s">
        <v>140</v>
      </c>
      <c r="F446" s="15" t="s">
        <v>31</v>
      </c>
      <c r="G446" s="74">
        <f t="shared" si="101"/>
        <v>35963535.869999997</v>
      </c>
      <c r="H446" s="74">
        <f t="shared" si="101"/>
        <v>32797165.039999999</v>
      </c>
      <c r="I446" s="74">
        <f t="shared" si="101"/>
        <v>34108559.740000002</v>
      </c>
      <c r="L446" s="17">
        <f>G441+G514</f>
        <v>583383708.19000006</v>
      </c>
      <c r="M446" s="17">
        <f>L440-L446</f>
        <v>-583383708.19000006</v>
      </c>
      <c r="P446" s="17"/>
    </row>
    <row r="447" spans="1:16" s="18" customFormat="1">
      <c r="A447" s="16" t="s">
        <v>32</v>
      </c>
      <c r="B447" s="15" t="s">
        <v>97</v>
      </c>
      <c r="C447" s="15" t="s">
        <v>26</v>
      </c>
      <c r="D447" s="15" t="s">
        <v>28</v>
      </c>
      <c r="E447" s="15" t="s">
        <v>140</v>
      </c>
      <c r="F447" s="15" t="s">
        <v>33</v>
      </c>
      <c r="G447" s="74">
        <v>35963535.869999997</v>
      </c>
      <c r="H447" s="74">
        <f>25061000+7736165.04</f>
        <v>32797165.039999999</v>
      </c>
      <c r="I447" s="74">
        <f>25061000+9047559.74</f>
        <v>34108559.740000002</v>
      </c>
    </row>
    <row r="448" spans="1:16" s="18" customFormat="1" ht="15" customHeight="1">
      <c r="A448" s="16" t="s">
        <v>94</v>
      </c>
      <c r="B448" s="15" t="s">
        <v>97</v>
      </c>
      <c r="C448" s="15" t="s">
        <v>26</v>
      </c>
      <c r="D448" s="15" t="s">
        <v>28</v>
      </c>
      <c r="E448" s="15" t="s">
        <v>223</v>
      </c>
      <c r="F448" s="15"/>
      <c r="G448" s="74">
        <f t="shared" ref="G448:I449" si="102">G449</f>
        <v>359447286.5</v>
      </c>
      <c r="H448" s="74">
        <f t="shared" si="102"/>
        <v>354312417.80000001</v>
      </c>
      <c r="I448" s="74">
        <f t="shared" si="102"/>
        <v>364091682.80000001</v>
      </c>
    </row>
    <row r="449" spans="1:16" s="18" customFormat="1" ht="25.5">
      <c r="A449" s="16" t="s">
        <v>30</v>
      </c>
      <c r="B449" s="15" t="s">
        <v>97</v>
      </c>
      <c r="C449" s="15" t="s">
        <v>26</v>
      </c>
      <c r="D449" s="15" t="s">
        <v>28</v>
      </c>
      <c r="E449" s="15" t="s">
        <v>223</v>
      </c>
      <c r="F449" s="15" t="s">
        <v>31</v>
      </c>
      <c r="G449" s="74">
        <f t="shared" si="102"/>
        <v>359447286.5</v>
      </c>
      <c r="H449" s="74">
        <f t="shared" si="102"/>
        <v>354312417.80000001</v>
      </c>
      <c r="I449" s="74">
        <f t="shared" si="102"/>
        <v>364091682.80000001</v>
      </c>
      <c r="P449" s="241"/>
    </row>
    <row r="450" spans="1:16" s="18" customFormat="1">
      <c r="A450" s="16" t="s">
        <v>32</v>
      </c>
      <c r="B450" s="15" t="s">
        <v>97</v>
      </c>
      <c r="C450" s="15" t="s">
        <v>26</v>
      </c>
      <c r="D450" s="15" t="s">
        <v>28</v>
      </c>
      <c r="E450" s="15" t="s">
        <v>139</v>
      </c>
      <c r="F450" s="15" t="s">
        <v>33</v>
      </c>
      <c r="G450" s="74">
        <v>359447286.5</v>
      </c>
      <c r="H450" s="74">
        <v>354312417.80000001</v>
      </c>
      <c r="I450" s="74">
        <v>364091682.80000001</v>
      </c>
    </row>
    <row r="451" spans="1:16" s="18" customFormat="1" ht="38.25" hidden="1">
      <c r="A451" s="16" t="s">
        <v>307</v>
      </c>
      <c r="B451" s="15" t="s">
        <v>97</v>
      </c>
      <c r="C451" s="15" t="s">
        <v>26</v>
      </c>
      <c r="D451" s="15" t="s">
        <v>28</v>
      </c>
      <c r="E451" s="15" t="s">
        <v>139</v>
      </c>
      <c r="F451" s="15"/>
      <c r="G451" s="74">
        <f t="shared" ref="G451:I452" si="103">G452</f>
        <v>0</v>
      </c>
      <c r="H451" s="74">
        <f t="shared" si="103"/>
        <v>0</v>
      </c>
      <c r="I451" s="74">
        <f t="shared" si="103"/>
        <v>0</v>
      </c>
    </row>
    <row r="452" spans="1:16" s="18" customFormat="1" hidden="1">
      <c r="A452" s="16" t="s">
        <v>64</v>
      </c>
      <c r="B452" s="15" t="s">
        <v>97</v>
      </c>
      <c r="C452" s="15" t="s">
        <v>26</v>
      </c>
      <c r="D452" s="15" t="s">
        <v>28</v>
      </c>
      <c r="E452" s="15" t="s">
        <v>139</v>
      </c>
      <c r="F452" s="15" t="s">
        <v>65</v>
      </c>
      <c r="G452" s="74">
        <f t="shared" si="103"/>
        <v>0</v>
      </c>
      <c r="H452" s="74">
        <f t="shared" si="103"/>
        <v>0</v>
      </c>
      <c r="I452" s="74">
        <f t="shared" si="103"/>
        <v>0</v>
      </c>
    </row>
    <row r="453" spans="1:16" s="18" customFormat="1" hidden="1">
      <c r="A453" s="16" t="s">
        <v>187</v>
      </c>
      <c r="B453" s="15" t="s">
        <v>97</v>
      </c>
      <c r="C453" s="15" t="s">
        <v>26</v>
      </c>
      <c r="D453" s="15" t="s">
        <v>28</v>
      </c>
      <c r="E453" s="15" t="s">
        <v>139</v>
      </c>
      <c r="F453" s="15" t="s">
        <v>188</v>
      </c>
      <c r="G453" s="74"/>
      <c r="H453" s="74"/>
      <c r="I453" s="74"/>
    </row>
    <row r="454" spans="1:16" ht="57" customHeight="1">
      <c r="A454" s="86" t="s">
        <v>122</v>
      </c>
      <c r="B454" s="88" t="s">
        <v>97</v>
      </c>
      <c r="C454" s="88" t="s">
        <v>26</v>
      </c>
      <c r="D454" s="88" t="s">
        <v>28</v>
      </c>
      <c r="E454" s="88" t="s">
        <v>229</v>
      </c>
      <c r="F454" s="15"/>
      <c r="G454" s="74">
        <f>G457+G455</f>
        <v>122175538.72999999</v>
      </c>
      <c r="H454" s="74">
        <f t="shared" ref="H454:I454" si="104">H457</f>
        <v>115376473.42999999</v>
      </c>
      <c r="I454" s="74">
        <f t="shared" si="104"/>
        <v>117568068.74000001</v>
      </c>
      <c r="P454" s="242"/>
    </row>
    <row r="455" spans="1:16" ht="25.5" hidden="1">
      <c r="A455" s="16" t="s">
        <v>99</v>
      </c>
      <c r="B455" s="15" t="s">
        <v>97</v>
      </c>
      <c r="C455" s="15" t="s">
        <v>26</v>
      </c>
      <c r="D455" s="15" t="s">
        <v>28</v>
      </c>
      <c r="E455" s="15" t="s">
        <v>770</v>
      </c>
      <c r="F455" s="15" t="s">
        <v>359</v>
      </c>
      <c r="G455" s="74">
        <f>G456</f>
        <v>0</v>
      </c>
      <c r="H455" s="74">
        <f>H456</f>
        <v>0</v>
      </c>
      <c r="I455" s="74">
        <f>I456</f>
        <v>0</v>
      </c>
    </row>
    <row r="456" spans="1:16" s="3" customFormat="1" ht="89.25" hidden="1">
      <c r="A456" s="16" t="s">
        <v>434</v>
      </c>
      <c r="B456" s="14">
        <v>774</v>
      </c>
      <c r="C456" s="15" t="s">
        <v>26</v>
      </c>
      <c r="D456" s="15" t="s">
        <v>28</v>
      </c>
      <c r="E456" s="15" t="s">
        <v>770</v>
      </c>
      <c r="F456" s="15" t="s">
        <v>433</v>
      </c>
      <c r="G456" s="74"/>
      <c r="H456" s="74">
        <v>0</v>
      </c>
      <c r="I456" s="74">
        <v>0</v>
      </c>
    </row>
    <row r="457" spans="1:16" ht="25.5">
      <c r="A457" s="16" t="s">
        <v>30</v>
      </c>
      <c r="B457" s="15" t="s">
        <v>97</v>
      </c>
      <c r="C457" s="15" t="s">
        <v>26</v>
      </c>
      <c r="D457" s="15" t="s">
        <v>28</v>
      </c>
      <c r="E457" s="15" t="s">
        <v>229</v>
      </c>
      <c r="F457" s="15" t="s">
        <v>31</v>
      </c>
      <c r="G457" s="74">
        <f>G458</f>
        <v>122175538.72999999</v>
      </c>
      <c r="H457" s="74">
        <f>H458</f>
        <v>115376473.42999999</v>
      </c>
      <c r="I457" s="74">
        <f>I458</f>
        <v>117568068.74000001</v>
      </c>
    </row>
    <row r="458" spans="1:16">
      <c r="A458" s="16" t="s">
        <v>32</v>
      </c>
      <c r="B458" s="15" t="s">
        <v>97</v>
      </c>
      <c r="C458" s="15" t="s">
        <v>26</v>
      </c>
      <c r="D458" s="15" t="s">
        <v>28</v>
      </c>
      <c r="E458" s="15" t="s">
        <v>229</v>
      </c>
      <c r="F458" s="15" t="s">
        <v>33</v>
      </c>
      <c r="G458" s="74">
        <f>120123445.31+71479.73+130535.61+393051.21+747947.66+516754.21+192325</f>
        <v>122175538.72999999</v>
      </c>
      <c r="H458" s="74">
        <f>123112638.47-7736165.04</f>
        <v>115376473.42999999</v>
      </c>
      <c r="I458" s="74">
        <f>126615628.48-9047559.74</f>
        <v>117568068.74000001</v>
      </c>
    </row>
    <row r="459" spans="1:16" ht="43.5" hidden="1" customHeight="1">
      <c r="A459" s="16" t="s">
        <v>776</v>
      </c>
      <c r="B459" s="15" t="s">
        <v>97</v>
      </c>
      <c r="C459" s="15" t="s">
        <v>26</v>
      </c>
      <c r="D459" s="15" t="s">
        <v>28</v>
      </c>
      <c r="E459" s="88" t="s">
        <v>770</v>
      </c>
      <c r="F459" s="88"/>
      <c r="G459" s="74">
        <f>G460</f>
        <v>0</v>
      </c>
      <c r="H459" s="102"/>
      <c r="I459" s="102"/>
      <c r="J459" s="17"/>
    </row>
    <row r="460" spans="1:16" ht="25.5" hidden="1">
      <c r="A460" s="16" t="s">
        <v>99</v>
      </c>
      <c r="B460" s="15" t="s">
        <v>97</v>
      </c>
      <c r="C460" s="15" t="s">
        <v>26</v>
      </c>
      <c r="D460" s="15" t="s">
        <v>28</v>
      </c>
      <c r="E460" s="88" t="s">
        <v>770</v>
      </c>
      <c r="F460" s="88" t="s">
        <v>359</v>
      </c>
      <c r="G460" s="74">
        <f>G461</f>
        <v>0</v>
      </c>
      <c r="H460" s="74">
        <f>H461</f>
        <v>0</v>
      </c>
      <c r="I460" s="74">
        <f>I461</f>
        <v>0</v>
      </c>
    </row>
    <row r="461" spans="1:16" s="3" customFormat="1" ht="89.25" hidden="1">
      <c r="A461" s="16" t="s">
        <v>434</v>
      </c>
      <c r="B461" s="14">
        <v>774</v>
      </c>
      <c r="C461" s="15" t="s">
        <v>26</v>
      </c>
      <c r="D461" s="15" t="s">
        <v>28</v>
      </c>
      <c r="E461" s="88" t="s">
        <v>770</v>
      </c>
      <c r="F461" s="88" t="s">
        <v>433</v>
      </c>
      <c r="G461" s="74"/>
      <c r="H461" s="74">
        <v>0</v>
      </c>
      <c r="I461" s="74">
        <v>0</v>
      </c>
    </row>
    <row r="462" spans="1:16" ht="74.25" customHeight="1">
      <c r="A462" s="86" t="s">
        <v>799</v>
      </c>
      <c r="B462" s="88" t="s">
        <v>97</v>
      </c>
      <c r="C462" s="88" t="s">
        <v>26</v>
      </c>
      <c r="D462" s="88" t="s">
        <v>28</v>
      </c>
      <c r="E462" s="88" t="s">
        <v>797</v>
      </c>
      <c r="F462" s="15"/>
      <c r="G462" s="74">
        <f>G465+G463</f>
        <v>20000</v>
      </c>
      <c r="H462" s="74">
        <f t="shared" ref="H462:I462" si="105">H465</f>
        <v>0</v>
      </c>
      <c r="I462" s="74">
        <f t="shared" si="105"/>
        <v>0</v>
      </c>
    </row>
    <row r="463" spans="1:16" ht="25.5" hidden="1">
      <c r="A463" s="16" t="s">
        <v>99</v>
      </c>
      <c r="B463" s="15" t="s">
        <v>97</v>
      </c>
      <c r="C463" s="15" t="s">
        <v>26</v>
      </c>
      <c r="D463" s="15" t="s">
        <v>28</v>
      </c>
      <c r="E463" s="15" t="s">
        <v>770</v>
      </c>
      <c r="F463" s="15" t="s">
        <v>359</v>
      </c>
      <c r="G463" s="74">
        <f>G464</f>
        <v>0</v>
      </c>
      <c r="H463" s="74">
        <f>H464</f>
        <v>0</v>
      </c>
      <c r="I463" s="74">
        <f>I464</f>
        <v>0</v>
      </c>
    </row>
    <row r="464" spans="1:16" s="3" customFormat="1" ht="89.25" hidden="1">
      <c r="A464" s="16" t="s">
        <v>434</v>
      </c>
      <c r="B464" s="14">
        <v>774</v>
      </c>
      <c r="C464" s="15" t="s">
        <v>26</v>
      </c>
      <c r="D464" s="15" t="s">
        <v>28</v>
      </c>
      <c r="E464" s="15" t="s">
        <v>770</v>
      </c>
      <c r="F464" s="15" t="s">
        <v>433</v>
      </c>
      <c r="G464" s="74"/>
      <c r="H464" s="74">
        <v>0</v>
      </c>
      <c r="I464" s="74">
        <v>0</v>
      </c>
    </row>
    <row r="465" spans="1:9" ht="25.5">
      <c r="A465" s="16" t="s">
        <v>30</v>
      </c>
      <c r="B465" s="15" t="s">
        <v>97</v>
      </c>
      <c r="C465" s="15" t="s">
        <v>26</v>
      </c>
      <c r="D465" s="15" t="s">
        <v>28</v>
      </c>
      <c r="E465" s="15" t="s">
        <v>797</v>
      </c>
      <c r="F465" s="15" t="s">
        <v>31</v>
      </c>
      <c r="G465" s="74">
        <f>G466</f>
        <v>20000</v>
      </c>
      <c r="H465" s="74">
        <f>H466</f>
        <v>0</v>
      </c>
      <c r="I465" s="74">
        <f>I466</f>
        <v>0</v>
      </c>
    </row>
    <row r="466" spans="1:9">
      <c r="A466" s="16" t="s">
        <v>32</v>
      </c>
      <c r="B466" s="15" t="s">
        <v>97</v>
      </c>
      <c r="C466" s="15" t="s">
        <v>26</v>
      </c>
      <c r="D466" s="15" t="s">
        <v>28</v>
      </c>
      <c r="E466" s="15" t="s">
        <v>797</v>
      </c>
      <c r="F466" s="15" t="s">
        <v>33</v>
      </c>
      <c r="G466" s="74">
        <v>20000</v>
      </c>
      <c r="H466" s="74"/>
      <c r="I466" s="74"/>
    </row>
    <row r="467" spans="1:9" ht="57" customHeight="1">
      <c r="A467" s="86" t="s">
        <v>798</v>
      </c>
      <c r="B467" s="88" t="s">
        <v>97</v>
      </c>
      <c r="C467" s="88" t="s">
        <v>26</v>
      </c>
      <c r="D467" s="88" t="s">
        <v>28</v>
      </c>
      <c r="E467" s="88" t="s">
        <v>795</v>
      </c>
      <c r="F467" s="15"/>
      <c r="G467" s="74">
        <f>G470+G468</f>
        <v>1074161.6499999999</v>
      </c>
      <c r="H467" s="74">
        <f t="shared" ref="H467:I467" si="106">H470</f>
        <v>0</v>
      </c>
      <c r="I467" s="74">
        <f t="shared" si="106"/>
        <v>0</v>
      </c>
    </row>
    <row r="468" spans="1:9" ht="25.5" hidden="1">
      <c r="A468" s="16" t="s">
        <v>99</v>
      </c>
      <c r="B468" s="15" t="s">
        <v>97</v>
      </c>
      <c r="C468" s="15" t="s">
        <v>26</v>
      </c>
      <c r="D468" s="15" t="s">
        <v>28</v>
      </c>
      <c r="E468" s="15" t="s">
        <v>770</v>
      </c>
      <c r="F468" s="15" t="s">
        <v>359</v>
      </c>
      <c r="G468" s="74">
        <f>G469</f>
        <v>0</v>
      </c>
      <c r="H468" s="74">
        <f>H469</f>
        <v>0</v>
      </c>
      <c r="I468" s="74">
        <f>I469</f>
        <v>0</v>
      </c>
    </row>
    <row r="469" spans="1:9" s="3" customFormat="1" ht="89.25" hidden="1">
      <c r="A469" s="16" t="s">
        <v>434</v>
      </c>
      <c r="B469" s="14">
        <v>774</v>
      </c>
      <c r="C469" s="15" t="s">
        <v>26</v>
      </c>
      <c r="D469" s="15" t="s">
        <v>28</v>
      </c>
      <c r="E469" s="15" t="s">
        <v>770</v>
      </c>
      <c r="F469" s="15" t="s">
        <v>433</v>
      </c>
      <c r="G469" s="74"/>
      <c r="H469" s="74">
        <v>0</v>
      </c>
      <c r="I469" s="74">
        <v>0</v>
      </c>
    </row>
    <row r="470" spans="1:9" ht="25.5">
      <c r="A470" s="16" t="s">
        <v>30</v>
      </c>
      <c r="B470" s="15" t="s">
        <v>97</v>
      </c>
      <c r="C470" s="15" t="s">
        <v>26</v>
      </c>
      <c r="D470" s="15" t="s">
        <v>28</v>
      </c>
      <c r="E470" s="15" t="s">
        <v>795</v>
      </c>
      <c r="F470" s="15" t="s">
        <v>31</v>
      </c>
      <c r="G470" s="74">
        <f>G471</f>
        <v>1074161.6499999999</v>
      </c>
      <c r="H470" s="74">
        <f>H471</f>
        <v>0</v>
      </c>
      <c r="I470" s="74">
        <f>I471</f>
        <v>0</v>
      </c>
    </row>
    <row r="471" spans="1:9">
      <c r="A471" s="16" t="s">
        <v>32</v>
      </c>
      <c r="B471" s="15" t="s">
        <v>97</v>
      </c>
      <c r="C471" s="15" t="s">
        <v>26</v>
      </c>
      <c r="D471" s="15" t="s">
        <v>28</v>
      </c>
      <c r="E471" s="15" t="s">
        <v>795</v>
      </c>
      <c r="F471" s="15" t="s">
        <v>33</v>
      </c>
      <c r="G471" s="74">
        <v>1074161.6499999999</v>
      </c>
      <c r="H471" s="74"/>
      <c r="I471" s="74"/>
    </row>
    <row r="472" spans="1:9" ht="32.25" customHeight="1">
      <c r="A472" s="16" t="s">
        <v>148</v>
      </c>
      <c r="B472" s="15" t="s">
        <v>97</v>
      </c>
      <c r="C472" s="15" t="s">
        <v>26</v>
      </c>
      <c r="D472" s="15" t="s">
        <v>28</v>
      </c>
      <c r="E472" s="15" t="s">
        <v>748</v>
      </c>
      <c r="F472" s="15"/>
      <c r="G472" s="74">
        <f t="shared" ref="G472:I472" si="107">G473</f>
        <v>90000</v>
      </c>
      <c r="H472" s="74">
        <f t="shared" si="107"/>
        <v>160000</v>
      </c>
      <c r="I472" s="74">
        <f t="shared" si="107"/>
        <v>160000</v>
      </c>
    </row>
    <row r="473" spans="1:9" ht="25.5">
      <c r="A473" s="16" t="s">
        <v>30</v>
      </c>
      <c r="B473" s="15" t="s">
        <v>97</v>
      </c>
      <c r="C473" s="15" t="s">
        <v>26</v>
      </c>
      <c r="D473" s="15" t="s">
        <v>28</v>
      </c>
      <c r="E473" s="15" t="s">
        <v>748</v>
      </c>
      <c r="F473" s="15" t="s">
        <v>31</v>
      </c>
      <c r="G473" s="74">
        <f>G474</f>
        <v>90000</v>
      </c>
      <c r="H473" s="74">
        <f>H474</f>
        <v>160000</v>
      </c>
      <c r="I473" s="74">
        <f>I474</f>
        <v>160000</v>
      </c>
    </row>
    <row r="474" spans="1:9">
      <c r="A474" s="16" t="s">
        <v>32</v>
      </c>
      <c r="B474" s="15" t="s">
        <v>97</v>
      </c>
      <c r="C474" s="15" t="s">
        <v>26</v>
      </c>
      <c r="D474" s="15" t="s">
        <v>28</v>
      </c>
      <c r="E474" s="15" t="s">
        <v>748</v>
      </c>
      <c r="F474" s="15" t="s">
        <v>33</v>
      </c>
      <c r="G474" s="74">
        <f>160000-70000</f>
        <v>90000</v>
      </c>
      <c r="H474" s="74">
        <v>160000</v>
      </c>
      <c r="I474" s="74">
        <v>160000</v>
      </c>
    </row>
    <row r="475" spans="1:9" ht="16.5" hidden="1" customHeight="1">
      <c r="A475" s="16" t="s">
        <v>1</v>
      </c>
      <c r="B475" s="15" t="s">
        <v>97</v>
      </c>
      <c r="C475" s="15" t="s">
        <v>26</v>
      </c>
      <c r="D475" s="15" t="s">
        <v>28</v>
      </c>
      <c r="E475" s="15" t="s">
        <v>571</v>
      </c>
      <c r="F475" s="15"/>
      <c r="G475" s="74">
        <f t="shared" ref="G475:I475" si="108">G476</f>
        <v>0</v>
      </c>
      <c r="H475" s="74">
        <f t="shared" si="108"/>
        <v>0</v>
      </c>
      <c r="I475" s="74">
        <f t="shared" si="108"/>
        <v>0</v>
      </c>
    </row>
    <row r="476" spans="1:9" ht="24.75" hidden="1" customHeight="1">
      <c r="A476" s="16" t="s">
        <v>30</v>
      </c>
      <c r="B476" s="15" t="s">
        <v>97</v>
      </c>
      <c r="C476" s="15" t="s">
        <v>26</v>
      </c>
      <c r="D476" s="15" t="s">
        <v>28</v>
      </c>
      <c r="E476" s="15" t="s">
        <v>571</v>
      </c>
      <c r="F476" s="15" t="s">
        <v>31</v>
      </c>
      <c r="G476" s="74">
        <f>G477</f>
        <v>0</v>
      </c>
      <c r="H476" s="74">
        <f>H477</f>
        <v>0</v>
      </c>
      <c r="I476" s="74">
        <f>I477</f>
        <v>0</v>
      </c>
    </row>
    <row r="477" spans="1:9" hidden="1">
      <c r="A477" s="16" t="s">
        <v>32</v>
      </c>
      <c r="B477" s="15" t="s">
        <v>97</v>
      </c>
      <c r="C477" s="15" t="s">
        <v>26</v>
      </c>
      <c r="D477" s="15" t="s">
        <v>28</v>
      </c>
      <c r="E477" s="15" t="s">
        <v>571</v>
      </c>
      <c r="F477" s="15" t="s">
        <v>33</v>
      </c>
      <c r="G477" s="74">
        <f>432680-354779-77901</f>
        <v>0</v>
      </c>
      <c r="H477" s="74">
        <v>0</v>
      </c>
      <c r="I477" s="74">
        <v>0</v>
      </c>
    </row>
    <row r="478" spans="1:9" s="3" customFormat="1" ht="25.5" hidden="1">
      <c r="A478" s="16" t="s">
        <v>444</v>
      </c>
      <c r="B478" s="14">
        <v>774</v>
      </c>
      <c r="C478" s="15" t="s">
        <v>26</v>
      </c>
      <c r="D478" s="15" t="s">
        <v>28</v>
      </c>
      <c r="E478" s="15" t="s">
        <v>570</v>
      </c>
      <c r="F478" s="15"/>
      <c r="G478" s="74">
        <f>G480</f>
        <v>0</v>
      </c>
      <c r="H478" s="74">
        <f>H480</f>
        <v>0</v>
      </c>
      <c r="I478" s="74">
        <f>I480</f>
        <v>0</v>
      </c>
    </row>
    <row r="479" spans="1:9" ht="25.5" hidden="1">
      <c r="A479" s="16" t="s">
        <v>30</v>
      </c>
      <c r="B479" s="15" t="s">
        <v>97</v>
      </c>
      <c r="C479" s="15" t="s">
        <v>26</v>
      </c>
      <c r="D479" s="15" t="s">
        <v>28</v>
      </c>
      <c r="E479" s="15" t="s">
        <v>570</v>
      </c>
      <c r="F479" s="15" t="s">
        <v>31</v>
      </c>
      <c r="G479" s="74">
        <f>G480</f>
        <v>0</v>
      </c>
      <c r="H479" s="74">
        <f>H480</f>
        <v>0</v>
      </c>
      <c r="I479" s="74">
        <f>I480</f>
        <v>0</v>
      </c>
    </row>
    <row r="480" spans="1:9" s="3" customFormat="1" hidden="1">
      <c r="A480" s="16" t="s">
        <v>32</v>
      </c>
      <c r="B480" s="14">
        <v>774</v>
      </c>
      <c r="C480" s="15" t="s">
        <v>26</v>
      </c>
      <c r="D480" s="15" t="s">
        <v>28</v>
      </c>
      <c r="E480" s="15" t="s">
        <v>570</v>
      </c>
      <c r="F480" s="15" t="s">
        <v>33</v>
      </c>
      <c r="G480" s="74"/>
      <c r="H480" s="74">
        <v>0</v>
      </c>
      <c r="I480" s="74">
        <v>0</v>
      </c>
    </row>
    <row r="481" spans="1:9" ht="32.25" customHeight="1">
      <c r="A481" s="16" t="s">
        <v>908</v>
      </c>
      <c r="B481" s="15" t="s">
        <v>97</v>
      </c>
      <c r="C481" s="15" t="s">
        <v>26</v>
      </c>
      <c r="D481" s="15" t="s">
        <v>28</v>
      </c>
      <c r="E481" s="15" t="s">
        <v>907</v>
      </c>
      <c r="F481" s="15"/>
      <c r="G481" s="74">
        <f t="shared" ref="G481:I481" si="109">G482</f>
        <v>70000</v>
      </c>
      <c r="H481" s="74">
        <f t="shared" si="109"/>
        <v>0</v>
      </c>
      <c r="I481" s="74">
        <f t="shared" si="109"/>
        <v>0</v>
      </c>
    </row>
    <row r="482" spans="1:9" ht="25.5">
      <c r="A482" s="16" t="s">
        <v>30</v>
      </c>
      <c r="B482" s="15" t="s">
        <v>97</v>
      </c>
      <c r="C482" s="15" t="s">
        <v>26</v>
      </c>
      <c r="D482" s="15" t="s">
        <v>28</v>
      </c>
      <c r="E482" s="15" t="s">
        <v>907</v>
      </c>
      <c r="F482" s="15" t="s">
        <v>31</v>
      </c>
      <c r="G482" s="74">
        <f>G483</f>
        <v>70000</v>
      </c>
      <c r="H482" s="74">
        <f>H483</f>
        <v>0</v>
      </c>
      <c r="I482" s="74">
        <f>I483</f>
        <v>0</v>
      </c>
    </row>
    <row r="483" spans="1:9">
      <c r="A483" s="16" t="s">
        <v>32</v>
      </c>
      <c r="B483" s="15" t="s">
        <v>97</v>
      </c>
      <c r="C483" s="15" t="s">
        <v>26</v>
      </c>
      <c r="D483" s="15" t="s">
        <v>28</v>
      </c>
      <c r="E483" s="15" t="s">
        <v>907</v>
      </c>
      <c r="F483" s="15" t="s">
        <v>33</v>
      </c>
      <c r="G483" s="74">
        <v>70000</v>
      </c>
      <c r="H483" s="74"/>
      <c r="I483" s="74"/>
    </row>
    <row r="484" spans="1:9" s="3" customFormat="1" ht="88.5" customHeight="1">
      <c r="A484" s="16" t="s">
        <v>772</v>
      </c>
      <c r="B484" s="14">
        <v>774</v>
      </c>
      <c r="C484" s="15" t="s">
        <v>26</v>
      </c>
      <c r="D484" s="15" t="s">
        <v>28</v>
      </c>
      <c r="E484" s="15" t="s">
        <v>735</v>
      </c>
      <c r="F484" s="15"/>
      <c r="G484" s="74">
        <f>G486</f>
        <v>351340</v>
      </c>
      <c r="H484" s="74">
        <f>H486</f>
        <v>0</v>
      </c>
      <c r="I484" s="74">
        <f>I486</f>
        <v>0</v>
      </c>
    </row>
    <row r="485" spans="1:9" ht="25.5">
      <c r="A485" s="16" t="s">
        <v>99</v>
      </c>
      <c r="B485" s="15" t="s">
        <v>97</v>
      </c>
      <c r="C485" s="15" t="s">
        <v>26</v>
      </c>
      <c r="D485" s="15" t="s">
        <v>28</v>
      </c>
      <c r="E485" s="15" t="s">
        <v>735</v>
      </c>
      <c r="F485" s="15" t="s">
        <v>359</v>
      </c>
      <c r="G485" s="74">
        <f>G486</f>
        <v>351340</v>
      </c>
      <c r="H485" s="74">
        <f>H486</f>
        <v>0</v>
      </c>
      <c r="I485" s="74">
        <f>I486</f>
        <v>0</v>
      </c>
    </row>
    <row r="486" spans="1:9" s="3" customFormat="1" ht="89.25">
      <c r="A486" s="16" t="s">
        <v>434</v>
      </c>
      <c r="B486" s="14">
        <v>774</v>
      </c>
      <c r="C486" s="15" t="s">
        <v>26</v>
      </c>
      <c r="D486" s="15" t="s">
        <v>28</v>
      </c>
      <c r="E486" s="15" t="s">
        <v>735</v>
      </c>
      <c r="F486" s="15" t="s">
        <v>433</v>
      </c>
      <c r="G486" s="74">
        <v>351340</v>
      </c>
      <c r="H486" s="74">
        <v>0</v>
      </c>
      <c r="I486" s="74">
        <v>0</v>
      </c>
    </row>
    <row r="487" spans="1:9" s="3" customFormat="1" ht="38.25">
      <c r="A487" s="16" t="s">
        <v>737</v>
      </c>
      <c r="B487" s="14">
        <v>774</v>
      </c>
      <c r="C487" s="15" t="s">
        <v>26</v>
      </c>
      <c r="D487" s="15" t="s">
        <v>28</v>
      </c>
      <c r="E487" s="15" t="s">
        <v>736</v>
      </c>
      <c r="F487" s="15"/>
      <c r="G487" s="74">
        <f>G489</f>
        <v>480000</v>
      </c>
      <c r="H487" s="74">
        <f>H489</f>
        <v>0</v>
      </c>
      <c r="I487" s="74">
        <f>I489</f>
        <v>0</v>
      </c>
    </row>
    <row r="488" spans="1:9" ht="25.5">
      <c r="A488" s="16" t="s">
        <v>99</v>
      </c>
      <c r="B488" s="15" t="s">
        <v>97</v>
      </c>
      <c r="C488" s="15" t="s">
        <v>26</v>
      </c>
      <c r="D488" s="15" t="s">
        <v>28</v>
      </c>
      <c r="E488" s="15" t="s">
        <v>736</v>
      </c>
      <c r="F488" s="15" t="s">
        <v>359</v>
      </c>
      <c r="G488" s="74">
        <f>G489</f>
        <v>480000</v>
      </c>
      <c r="H488" s="74">
        <f>H489</f>
        <v>0</v>
      </c>
      <c r="I488" s="74">
        <f>I489</f>
        <v>0</v>
      </c>
    </row>
    <row r="489" spans="1:9" s="3" customFormat="1" ht="89.25">
      <c r="A489" s="16" t="s">
        <v>434</v>
      </c>
      <c r="B489" s="14">
        <v>774</v>
      </c>
      <c r="C489" s="15" t="s">
        <v>26</v>
      </c>
      <c r="D489" s="15" t="s">
        <v>28</v>
      </c>
      <c r="E489" s="15" t="s">
        <v>736</v>
      </c>
      <c r="F489" s="15" t="s">
        <v>433</v>
      </c>
      <c r="G489" s="74">
        <v>480000</v>
      </c>
      <c r="H489" s="74">
        <v>0</v>
      </c>
      <c r="I489" s="74">
        <v>0</v>
      </c>
    </row>
    <row r="490" spans="1:9" ht="63" customHeight="1">
      <c r="A490" s="16" t="s">
        <v>428</v>
      </c>
      <c r="B490" s="15" t="s">
        <v>97</v>
      </c>
      <c r="C490" s="15" t="s">
        <v>26</v>
      </c>
      <c r="D490" s="15" t="s">
        <v>28</v>
      </c>
      <c r="E490" s="15" t="s">
        <v>815</v>
      </c>
      <c r="F490" s="15"/>
      <c r="G490" s="74">
        <f t="shared" ref="G490:I490" si="110">G491</f>
        <v>1200000</v>
      </c>
      <c r="H490" s="74">
        <f t="shared" si="110"/>
        <v>0</v>
      </c>
      <c r="I490" s="74">
        <f t="shared" si="110"/>
        <v>0</v>
      </c>
    </row>
    <row r="491" spans="1:9" ht="25.5">
      <c r="A491" s="16" t="s">
        <v>30</v>
      </c>
      <c r="B491" s="15" t="s">
        <v>97</v>
      </c>
      <c r="C491" s="15" t="s">
        <v>26</v>
      </c>
      <c r="D491" s="15" t="s">
        <v>28</v>
      </c>
      <c r="E491" s="15" t="s">
        <v>815</v>
      </c>
      <c r="F491" s="15" t="s">
        <v>31</v>
      </c>
      <c r="G491" s="74">
        <f>G492</f>
        <v>1200000</v>
      </c>
      <c r="H491" s="74">
        <f>H492</f>
        <v>0</v>
      </c>
      <c r="I491" s="74">
        <f>I492</f>
        <v>0</v>
      </c>
    </row>
    <row r="492" spans="1:9">
      <c r="A492" s="16" t="s">
        <v>32</v>
      </c>
      <c r="B492" s="15" t="s">
        <v>97</v>
      </c>
      <c r="C492" s="15" t="s">
        <v>26</v>
      </c>
      <c r="D492" s="15" t="s">
        <v>28</v>
      </c>
      <c r="E492" s="15" t="s">
        <v>815</v>
      </c>
      <c r="F492" s="15" t="s">
        <v>33</v>
      </c>
      <c r="G492" s="74">
        <v>1200000</v>
      </c>
      <c r="H492" s="74">
        <v>0</v>
      </c>
      <c r="I492" s="74">
        <v>0</v>
      </c>
    </row>
    <row r="493" spans="1:9" s="18" customFormat="1" ht="89.25">
      <c r="A493" s="84" t="s">
        <v>383</v>
      </c>
      <c r="B493" s="15" t="s">
        <v>97</v>
      </c>
      <c r="C493" s="15" t="s">
        <v>26</v>
      </c>
      <c r="D493" s="15" t="s">
        <v>28</v>
      </c>
      <c r="E493" s="15" t="s">
        <v>691</v>
      </c>
      <c r="F493" s="15"/>
      <c r="G493" s="74">
        <f t="shared" ref="G493:I494" si="111">G494</f>
        <v>128200</v>
      </c>
      <c r="H493" s="74">
        <f t="shared" si="111"/>
        <v>127788.68</v>
      </c>
      <c r="I493" s="74">
        <f t="shared" si="111"/>
        <v>127556.14</v>
      </c>
    </row>
    <row r="494" spans="1:9" s="18" customFormat="1" ht="25.5">
      <c r="A494" s="16" t="s">
        <v>30</v>
      </c>
      <c r="B494" s="15" t="s">
        <v>97</v>
      </c>
      <c r="C494" s="15" t="s">
        <v>26</v>
      </c>
      <c r="D494" s="15" t="s">
        <v>28</v>
      </c>
      <c r="E494" s="15" t="s">
        <v>691</v>
      </c>
      <c r="F494" s="15" t="s">
        <v>31</v>
      </c>
      <c r="G494" s="74">
        <f t="shared" si="111"/>
        <v>128200</v>
      </c>
      <c r="H494" s="74">
        <f t="shared" si="111"/>
        <v>127788.68</v>
      </c>
      <c r="I494" s="74">
        <f t="shared" si="111"/>
        <v>127556.14</v>
      </c>
    </row>
    <row r="495" spans="1:9" s="18" customFormat="1">
      <c r="A495" s="16" t="s">
        <v>32</v>
      </c>
      <c r="B495" s="15" t="s">
        <v>97</v>
      </c>
      <c r="C495" s="15" t="s">
        <v>26</v>
      </c>
      <c r="D495" s="15" t="s">
        <v>28</v>
      </c>
      <c r="E495" s="15" t="s">
        <v>691</v>
      </c>
      <c r="F495" s="15" t="s">
        <v>33</v>
      </c>
      <c r="G495" s="74">
        <f>26366.89+101833.11</f>
        <v>128200</v>
      </c>
      <c r="H495" s="74">
        <f>25955.57+101833.11</f>
        <v>127788.68</v>
      </c>
      <c r="I495" s="74">
        <f>25723.03+101833.11</f>
        <v>127556.14</v>
      </c>
    </row>
    <row r="496" spans="1:9" s="3" customFormat="1" hidden="1">
      <c r="A496" s="16" t="s">
        <v>1</v>
      </c>
      <c r="B496" s="14">
        <v>774</v>
      </c>
      <c r="C496" s="15" t="s">
        <v>26</v>
      </c>
      <c r="D496" s="15" t="s">
        <v>28</v>
      </c>
      <c r="E496" s="15" t="s">
        <v>571</v>
      </c>
      <c r="F496" s="15"/>
      <c r="G496" s="74">
        <f t="shared" ref="G496:I497" si="112">G497</f>
        <v>0</v>
      </c>
      <c r="H496" s="74">
        <f t="shared" si="112"/>
        <v>0</v>
      </c>
      <c r="I496" s="74">
        <f t="shared" si="112"/>
        <v>0</v>
      </c>
    </row>
    <row r="497" spans="1:9" s="3" customFormat="1" ht="25.5" hidden="1">
      <c r="A497" s="16" t="s">
        <v>30</v>
      </c>
      <c r="B497" s="14">
        <v>774</v>
      </c>
      <c r="C497" s="15" t="s">
        <v>26</v>
      </c>
      <c r="D497" s="15" t="s">
        <v>28</v>
      </c>
      <c r="E497" s="15" t="s">
        <v>571</v>
      </c>
      <c r="F497" s="15" t="s">
        <v>31</v>
      </c>
      <c r="G497" s="74">
        <f t="shared" si="112"/>
        <v>0</v>
      </c>
      <c r="H497" s="74">
        <f t="shared" si="112"/>
        <v>0</v>
      </c>
      <c r="I497" s="74">
        <f t="shared" si="112"/>
        <v>0</v>
      </c>
    </row>
    <row r="498" spans="1:9" s="3" customFormat="1" hidden="1">
      <c r="A498" s="16" t="s">
        <v>32</v>
      </c>
      <c r="B498" s="14">
        <v>774</v>
      </c>
      <c r="C498" s="15" t="s">
        <v>26</v>
      </c>
      <c r="D498" s="15" t="s">
        <v>28</v>
      </c>
      <c r="E498" s="15" t="s">
        <v>571</v>
      </c>
      <c r="F498" s="15" t="s">
        <v>33</v>
      </c>
      <c r="G498" s="74"/>
      <c r="H498" s="74">
        <v>0</v>
      </c>
      <c r="I498" s="74">
        <v>0</v>
      </c>
    </row>
    <row r="499" spans="1:9" s="3" customFormat="1" ht="52.5" hidden="1" customHeight="1">
      <c r="A499" s="16" t="s">
        <v>428</v>
      </c>
      <c r="B499" s="14">
        <v>774</v>
      </c>
      <c r="C499" s="15" t="s">
        <v>26</v>
      </c>
      <c r="D499" s="15" t="s">
        <v>28</v>
      </c>
      <c r="E499" s="15" t="s">
        <v>634</v>
      </c>
      <c r="F499" s="15"/>
      <c r="G499" s="74">
        <f t="shared" ref="G499:I500" si="113">G500</f>
        <v>0</v>
      </c>
      <c r="H499" s="74">
        <f t="shared" si="113"/>
        <v>0</v>
      </c>
      <c r="I499" s="74">
        <f t="shared" si="113"/>
        <v>0</v>
      </c>
    </row>
    <row r="500" spans="1:9" s="3" customFormat="1" ht="25.5" hidden="1">
      <c r="A500" s="16" t="s">
        <v>30</v>
      </c>
      <c r="B500" s="14">
        <v>774</v>
      </c>
      <c r="C500" s="15" t="s">
        <v>26</v>
      </c>
      <c r="D500" s="15" t="s">
        <v>28</v>
      </c>
      <c r="E500" s="15" t="s">
        <v>634</v>
      </c>
      <c r="F500" s="15" t="s">
        <v>31</v>
      </c>
      <c r="G500" s="74">
        <f t="shared" si="113"/>
        <v>0</v>
      </c>
      <c r="H500" s="74">
        <f t="shared" si="113"/>
        <v>0</v>
      </c>
      <c r="I500" s="74">
        <f t="shared" si="113"/>
        <v>0</v>
      </c>
    </row>
    <row r="501" spans="1:9" s="3" customFormat="1" hidden="1">
      <c r="A501" s="16" t="s">
        <v>32</v>
      </c>
      <c r="B501" s="14">
        <v>774</v>
      </c>
      <c r="C501" s="15" t="s">
        <v>26</v>
      </c>
      <c r="D501" s="15" t="s">
        <v>28</v>
      </c>
      <c r="E501" s="88" t="s">
        <v>634</v>
      </c>
      <c r="F501" s="15" t="s">
        <v>33</v>
      </c>
      <c r="G501" s="74"/>
      <c r="H501" s="74"/>
      <c r="I501" s="74"/>
    </row>
    <row r="502" spans="1:9" s="18" customFormat="1" ht="89.25">
      <c r="A502" s="84" t="s">
        <v>817</v>
      </c>
      <c r="B502" s="15" t="s">
        <v>97</v>
      </c>
      <c r="C502" s="15" t="s">
        <v>26</v>
      </c>
      <c r="D502" s="15" t="s">
        <v>28</v>
      </c>
      <c r="E502" s="15" t="s">
        <v>816</v>
      </c>
      <c r="F502" s="15"/>
      <c r="G502" s="74">
        <f t="shared" ref="G502:I503" si="114">G503</f>
        <v>1803468</v>
      </c>
      <c r="H502" s="74">
        <f t="shared" si="114"/>
        <v>0</v>
      </c>
      <c r="I502" s="74">
        <f t="shared" si="114"/>
        <v>0</v>
      </c>
    </row>
    <row r="503" spans="1:9" s="18" customFormat="1" ht="25.5">
      <c r="A503" s="16" t="s">
        <v>30</v>
      </c>
      <c r="B503" s="15" t="s">
        <v>97</v>
      </c>
      <c r="C503" s="15" t="s">
        <v>26</v>
      </c>
      <c r="D503" s="15" t="s">
        <v>28</v>
      </c>
      <c r="E503" s="15" t="s">
        <v>816</v>
      </c>
      <c r="F503" s="15" t="s">
        <v>31</v>
      </c>
      <c r="G503" s="74">
        <f t="shared" si="114"/>
        <v>1803468</v>
      </c>
      <c r="H503" s="74">
        <f t="shared" si="114"/>
        <v>0</v>
      </c>
      <c r="I503" s="74">
        <f t="shared" si="114"/>
        <v>0</v>
      </c>
    </row>
    <row r="504" spans="1:9" s="18" customFormat="1">
      <c r="A504" s="16" t="s">
        <v>32</v>
      </c>
      <c r="B504" s="15" t="s">
        <v>97</v>
      </c>
      <c r="C504" s="15" t="s">
        <v>26</v>
      </c>
      <c r="D504" s="15" t="s">
        <v>28</v>
      </c>
      <c r="E504" s="15" t="s">
        <v>816</v>
      </c>
      <c r="F504" s="15" t="s">
        <v>33</v>
      </c>
      <c r="G504" s="74">
        <v>1803468</v>
      </c>
      <c r="H504" s="74"/>
      <c r="I504" s="74"/>
    </row>
    <row r="505" spans="1:9" ht="54.75" customHeight="1">
      <c r="A505" s="16" t="s">
        <v>718</v>
      </c>
      <c r="B505" s="15" t="s">
        <v>97</v>
      </c>
      <c r="C505" s="15" t="s">
        <v>26</v>
      </c>
      <c r="D505" s="15" t="s">
        <v>28</v>
      </c>
      <c r="E505" s="15" t="s">
        <v>668</v>
      </c>
      <c r="F505" s="15"/>
      <c r="G505" s="74">
        <f t="shared" ref="G505:I505" si="115">G506</f>
        <v>30779350</v>
      </c>
      <c r="H505" s="74">
        <f t="shared" si="115"/>
        <v>30279350</v>
      </c>
      <c r="I505" s="74">
        <f t="shared" si="115"/>
        <v>30279350</v>
      </c>
    </row>
    <row r="506" spans="1:9" ht="25.5">
      <c r="A506" s="16" t="s">
        <v>30</v>
      </c>
      <c r="B506" s="15" t="s">
        <v>97</v>
      </c>
      <c r="C506" s="15" t="s">
        <v>26</v>
      </c>
      <c r="D506" s="15" t="s">
        <v>28</v>
      </c>
      <c r="E506" s="15" t="s">
        <v>668</v>
      </c>
      <c r="F506" s="15" t="s">
        <v>31</v>
      </c>
      <c r="G506" s="74">
        <f>G507</f>
        <v>30779350</v>
      </c>
      <c r="H506" s="74">
        <f>H507</f>
        <v>30279350</v>
      </c>
      <c r="I506" s="74">
        <f>I507</f>
        <v>30279350</v>
      </c>
    </row>
    <row r="507" spans="1:9">
      <c r="A507" s="16" t="s">
        <v>32</v>
      </c>
      <c r="B507" s="15" t="s">
        <v>97</v>
      </c>
      <c r="C507" s="15" t="s">
        <v>26</v>
      </c>
      <c r="D507" s="15" t="s">
        <v>28</v>
      </c>
      <c r="E507" s="15" t="s">
        <v>668</v>
      </c>
      <c r="F507" s="15" t="s">
        <v>33</v>
      </c>
      <c r="G507" s="74">
        <v>30779350</v>
      </c>
      <c r="H507" s="74">
        <v>30279350</v>
      </c>
      <c r="I507" s="74">
        <v>30279350</v>
      </c>
    </row>
    <row r="508" spans="1:9" ht="46.5" customHeight="1">
      <c r="A508" s="16" t="s">
        <v>750</v>
      </c>
      <c r="B508" s="15" t="s">
        <v>97</v>
      </c>
      <c r="C508" s="15" t="s">
        <v>26</v>
      </c>
      <c r="D508" s="15" t="s">
        <v>28</v>
      </c>
      <c r="E508" s="15" t="s">
        <v>749</v>
      </c>
      <c r="F508" s="15"/>
      <c r="G508" s="74">
        <f t="shared" ref="G508:I508" si="116">G509</f>
        <v>1298350</v>
      </c>
      <c r="H508" s="74">
        <f t="shared" si="116"/>
        <v>0</v>
      </c>
      <c r="I508" s="74">
        <f t="shared" si="116"/>
        <v>0</v>
      </c>
    </row>
    <row r="509" spans="1:9" ht="39.75" customHeight="1">
      <c r="A509" s="16" t="s">
        <v>99</v>
      </c>
      <c r="B509" s="15" t="s">
        <v>97</v>
      </c>
      <c r="C509" s="15" t="s">
        <v>26</v>
      </c>
      <c r="D509" s="15" t="s">
        <v>28</v>
      </c>
      <c r="E509" s="15" t="s">
        <v>749</v>
      </c>
      <c r="F509" s="15" t="s">
        <v>31</v>
      </c>
      <c r="G509" s="74">
        <f>G510</f>
        <v>1298350</v>
      </c>
      <c r="H509" s="74">
        <f>H510</f>
        <v>0</v>
      </c>
      <c r="I509" s="74">
        <f>I510</f>
        <v>0</v>
      </c>
    </row>
    <row r="510" spans="1:9" ht="46.5" customHeight="1">
      <c r="A510" s="16" t="s">
        <v>434</v>
      </c>
      <c r="B510" s="15" t="s">
        <v>97</v>
      </c>
      <c r="C510" s="15" t="s">
        <v>26</v>
      </c>
      <c r="D510" s="15" t="s">
        <v>28</v>
      </c>
      <c r="E510" s="15" t="s">
        <v>749</v>
      </c>
      <c r="F510" s="15" t="s">
        <v>33</v>
      </c>
      <c r="G510" s="74">
        <f>1220449+77901</f>
        <v>1298350</v>
      </c>
      <c r="H510" s="74">
        <v>0</v>
      </c>
      <c r="I510" s="74">
        <v>0</v>
      </c>
    </row>
    <row r="511" spans="1:9" ht="54" customHeight="1">
      <c r="A511" s="16" t="s">
        <v>720</v>
      </c>
      <c r="B511" s="15" t="s">
        <v>97</v>
      </c>
      <c r="C511" s="15" t="s">
        <v>26</v>
      </c>
      <c r="D511" s="15" t="s">
        <v>28</v>
      </c>
      <c r="E511" s="15" t="s">
        <v>719</v>
      </c>
      <c r="F511" s="15"/>
      <c r="G511" s="74">
        <f t="shared" ref="G511:I511" si="117">G512</f>
        <v>20319950</v>
      </c>
      <c r="H511" s="74">
        <f t="shared" si="117"/>
        <v>0</v>
      </c>
      <c r="I511" s="74">
        <f t="shared" si="117"/>
        <v>0</v>
      </c>
    </row>
    <row r="512" spans="1:9" ht="46.5" customHeight="1">
      <c r="A512" s="16" t="s">
        <v>99</v>
      </c>
      <c r="B512" s="15" t="s">
        <v>97</v>
      </c>
      <c r="C512" s="15" t="s">
        <v>26</v>
      </c>
      <c r="D512" s="15" t="s">
        <v>28</v>
      </c>
      <c r="E512" s="15" t="s">
        <v>719</v>
      </c>
      <c r="F512" s="15" t="s">
        <v>359</v>
      </c>
      <c r="G512" s="74">
        <f>G513</f>
        <v>20319950</v>
      </c>
      <c r="H512" s="74">
        <f>H513</f>
        <v>0</v>
      </c>
      <c r="I512" s="74">
        <f>I513</f>
        <v>0</v>
      </c>
    </row>
    <row r="513" spans="1:9" ht="52.5" customHeight="1">
      <c r="A513" s="16" t="s">
        <v>434</v>
      </c>
      <c r="B513" s="15" t="s">
        <v>97</v>
      </c>
      <c r="C513" s="15" t="s">
        <v>26</v>
      </c>
      <c r="D513" s="15" t="s">
        <v>28</v>
      </c>
      <c r="E513" s="15" t="s">
        <v>719</v>
      </c>
      <c r="F513" s="15" t="s">
        <v>433</v>
      </c>
      <c r="G513" s="74">
        <v>20319950</v>
      </c>
      <c r="H513" s="74">
        <v>0</v>
      </c>
      <c r="I513" s="74">
        <v>0</v>
      </c>
    </row>
    <row r="514" spans="1:9" ht="25.5">
      <c r="A514" s="16" t="s">
        <v>0</v>
      </c>
      <c r="B514" s="14">
        <v>774</v>
      </c>
      <c r="C514" s="15" t="s">
        <v>26</v>
      </c>
      <c r="D514" s="15" t="s">
        <v>28</v>
      </c>
      <c r="E514" s="88" t="s">
        <v>225</v>
      </c>
      <c r="F514" s="15"/>
      <c r="G514" s="8">
        <f>G543+G525+G528+G531+G534+G537+G540+G546+G515+G518+G520</f>
        <v>8182527.4400000004</v>
      </c>
      <c r="H514" s="8">
        <f t="shared" ref="H514:I514" si="118">H543+H525+H528+H531+H534+H537+H540+H546+H515+H518</f>
        <v>3924650.6100000003</v>
      </c>
      <c r="I514" s="8">
        <f t="shared" si="118"/>
        <v>3673818.81</v>
      </c>
    </row>
    <row r="515" spans="1:9" ht="39.75" hidden="1" customHeight="1">
      <c r="A515" s="16" t="s">
        <v>122</v>
      </c>
      <c r="B515" s="15" t="s">
        <v>97</v>
      </c>
      <c r="C515" s="15" t="s">
        <v>26</v>
      </c>
      <c r="D515" s="15" t="s">
        <v>28</v>
      </c>
      <c r="E515" s="15" t="s">
        <v>670</v>
      </c>
      <c r="F515" s="15"/>
      <c r="G515" s="74">
        <f t="shared" ref="G515:I516" si="119">G516</f>
        <v>0</v>
      </c>
      <c r="H515" s="74">
        <f t="shared" si="119"/>
        <v>0</v>
      </c>
      <c r="I515" s="74">
        <f t="shared" si="119"/>
        <v>0</v>
      </c>
    </row>
    <row r="516" spans="1:9" ht="25.5" hidden="1">
      <c r="A516" s="16" t="s">
        <v>30</v>
      </c>
      <c r="B516" s="15" t="s">
        <v>97</v>
      </c>
      <c r="C516" s="15" t="s">
        <v>26</v>
      </c>
      <c r="D516" s="15" t="s">
        <v>28</v>
      </c>
      <c r="E516" s="15" t="s">
        <v>670</v>
      </c>
      <c r="F516" s="15" t="s">
        <v>31</v>
      </c>
      <c r="G516" s="74">
        <f t="shared" si="119"/>
        <v>0</v>
      </c>
      <c r="H516" s="74">
        <f t="shared" si="119"/>
        <v>0</v>
      </c>
      <c r="I516" s="74">
        <f t="shared" si="119"/>
        <v>0</v>
      </c>
    </row>
    <row r="517" spans="1:9" hidden="1">
      <c r="A517" s="16" t="s">
        <v>32</v>
      </c>
      <c r="B517" s="15" t="s">
        <v>97</v>
      </c>
      <c r="C517" s="15" t="s">
        <v>26</v>
      </c>
      <c r="D517" s="15" t="s">
        <v>28</v>
      </c>
      <c r="E517" s="15" t="s">
        <v>670</v>
      </c>
      <c r="F517" s="15" t="s">
        <v>33</v>
      </c>
      <c r="G517" s="74"/>
      <c r="H517" s="74"/>
      <c r="I517" s="74"/>
    </row>
    <row r="518" spans="1:9" s="3" customFormat="1" ht="25.5">
      <c r="A518" s="16" t="s">
        <v>442</v>
      </c>
      <c r="B518" s="14">
        <v>774</v>
      </c>
      <c r="C518" s="15" t="s">
        <v>26</v>
      </c>
      <c r="D518" s="15" t="s">
        <v>28</v>
      </c>
      <c r="E518" s="15" t="s">
        <v>463</v>
      </c>
      <c r="F518" s="15"/>
      <c r="G518" s="74">
        <f>G519</f>
        <v>0</v>
      </c>
      <c r="H518" s="74">
        <f>H519</f>
        <v>500000</v>
      </c>
      <c r="I518" s="74">
        <f>I519</f>
        <v>500000</v>
      </c>
    </row>
    <row r="519" spans="1:9" s="3" customFormat="1" ht="13.5" customHeight="1">
      <c r="A519" s="16" t="s">
        <v>32</v>
      </c>
      <c r="B519" s="14">
        <v>774</v>
      </c>
      <c r="C519" s="15" t="s">
        <v>26</v>
      </c>
      <c r="D519" s="15" t="s">
        <v>28</v>
      </c>
      <c r="E519" s="15" t="s">
        <v>463</v>
      </c>
      <c r="F519" s="15" t="s">
        <v>33</v>
      </c>
      <c r="G519" s="74">
        <v>0</v>
      </c>
      <c r="H519" s="74">
        <v>500000</v>
      </c>
      <c r="I519" s="74">
        <v>500000</v>
      </c>
    </row>
    <row r="520" spans="1:9" s="3" customFormat="1" ht="38.25">
      <c r="A520" s="16" t="s">
        <v>861</v>
      </c>
      <c r="B520" s="14">
        <v>774</v>
      </c>
      <c r="C520" s="15" t="s">
        <v>26</v>
      </c>
      <c r="D520" s="15" t="s">
        <v>28</v>
      </c>
      <c r="E520" s="88" t="s">
        <v>806</v>
      </c>
      <c r="F520" s="15"/>
      <c r="G520" s="74">
        <f t="shared" ref="G520:I521" si="120">G521</f>
        <v>315162</v>
      </c>
      <c r="H520" s="74">
        <f t="shared" si="120"/>
        <v>0</v>
      </c>
      <c r="I520" s="74">
        <f t="shared" si="120"/>
        <v>0</v>
      </c>
    </row>
    <row r="521" spans="1:9" s="3" customFormat="1" ht="25.5">
      <c r="A521" s="16" t="s">
        <v>30</v>
      </c>
      <c r="B521" s="14">
        <v>774</v>
      </c>
      <c r="C521" s="15" t="s">
        <v>26</v>
      </c>
      <c r="D521" s="15" t="s">
        <v>28</v>
      </c>
      <c r="E521" s="88" t="s">
        <v>806</v>
      </c>
      <c r="F521" s="15" t="s">
        <v>31</v>
      </c>
      <c r="G521" s="74">
        <f t="shared" si="120"/>
        <v>315162</v>
      </c>
      <c r="H521" s="74">
        <f t="shared" si="120"/>
        <v>0</v>
      </c>
      <c r="I521" s="74">
        <f t="shared" si="120"/>
        <v>0</v>
      </c>
    </row>
    <row r="522" spans="1:9" s="3" customFormat="1">
      <c r="A522" s="86" t="s">
        <v>32</v>
      </c>
      <c r="B522" s="14">
        <v>774</v>
      </c>
      <c r="C522" s="15" t="s">
        <v>26</v>
      </c>
      <c r="D522" s="15" t="s">
        <v>28</v>
      </c>
      <c r="E522" s="88" t="s">
        <v>806</v>
      </c>
      <c r="F522" s="15" t="s">
        <v>33</v>
      </c>
      <c r="G522" s="74">
        <v>315162</v>
      </c>
      <c r="H522" s="74"/>
      <c r="I522" s="74"/>
    </row>
    <row r="523" spans="1:9" s="3" customFormat="1">
      <c r="A523" s="16" t="s">
        <v>1</v>
      </c>
      <c r="B523" s="14">
        <v>774</v>
      </c>
      <c r="C523" s="15" t="s">
        <v>26</v>
      </c>
      <c r="D523" s="15" t="s">
        <v>28</v>
      </c>
      <c r="E523" s="88" t="s">
        <v>226</v>
      </c>
      <c r="F523" s="15"/>
      <c r="G523" s="74">
        <f t="shared" ref="G523:I524" si="121">G524</f>
        <v>3086257.04</v>
      </c>
      <c r="H523" s="74">
        <f t="shared" si="121"/>
        <v>0</v>
      </c>
      <c r="I523" s="74">
        <f t="shared" si="121"/>
        <v>949168.2</v>
      </c>
    </row>
    <row r="524" spans="1:9" s="3" customFormat="1" ht="25.5">
      <c r="A524" s="16" t="s">
        <v>30</v>
      </c>
      <c r="B524" s="14">
        <v>774</v>
      </c>
      <c r="C524" s="15" t="s">
        <v>26</v>
      </c>
      <c r="D524" s="15" t="s">
        <v>28</v>
      </c>
      <c r="E524" s="88" t="s">
        <v>226</v>
      </c>
      <c r="F524" s="15" t="s">
        <v>31</v>
      </c>
      <c r="G524" s="74">
        <f t="shared" si="121"/>
        <v>3086257.04</v>
      </c>
      <c r="H524" s="74">
        <f t="shared" si="121"/>
        <v>0</v>
      </c>
      <c r="I524" s="74">
        <f t="shared" si="121"/>
        <v>949168.2</v>
      </c>
    </row>
    <row r="525" spans="1:9" s="3" customFormat="1">
      <c r="A525" s="86" t="s">
        <v>32</v>
      </c>
      <c r="B525" s="14">
        <v>774</v>
      </c>
      <c r="C525" s="15" t="s">
        <v>26</v>
      </c>
      <c r="D525" s="15" t="s">
        <v>28</v>
      </c>
      <c r="E525" s="88" t="s">
        <v>226</v>
      </c>
      <c r="F525" s="15" t="s">
        <v>33</v>
      </c>
      <c r="G525" s="74">
        <v>3086257.04</v>
      </c>
      <c r="H525" s="74">
        <f>949168.2-949168.2</f>
        <v>0</v>
      </c>
      <c r="I525" s="74">
        <v>949168.2</v>
      </c>
    </row>
    <row r="526" spans="1:9" s="3" customFormat="1" ht="25.5">
      <c r="A526" s="86" t="s">
        <v>304</v>
      </c>
      <c r="B526" s="14">
        <v>774</v>
      </c>
      <c r="C526" s="15" t="s">
        <v>26</v>
      </c>
      <c r="D526" s="15" t="s">
        <v>28</v>
      </c>
      <c r="E526" s="88" t="s">
        <v>303</v>
      </c>
      <c r="F526" s="15"/>
      <c r="G526" s="74">
        <f t="shared" ref="G526:I527" si="122">G527</f>
        <v>1224650.6100000001</v>
      </c>
      <c r="H526" s="74">
        <f t="shared" si="122"/>
        <v>1224650.6100000001</v>
      </c>
      <c r="I526" s="74">
        <f t="shared" si="122"/>
        <v>1224650.6100000001</v>
      </c>
    </row>
    <row r="527" spans="1:9" s="3" customFormat="1" ht="25.5">
      <c r="A527" s="86" t="s">
        <v>30</v>
      </c>
      <c r="B527" s="14">
        <v>774</v>
      </c>
      <c r="C527" s="15" t="s">
        <v>26</v>
      </c>
      <c r="D527" s="15" t="s">
        <v>28</v>
      </c>
      <c r="E527" s="88" t="s">
        <v>303</v>
      </c>
      <c r="F527" s="15" t="s">
        <v>31</v>
      </c>
      <c r="G527" s="74">
        <f t="shared" si="122"/>
        <v>1224650.6100000001</v>
      </c>
      <c r="H527" s="74">
        <f t="shared" si="122"/>
        <v>1224650.6100000001</v>
      </c>
      <c r="I527" s="74">
        <f t="shared" si="122"/>
        <v>1224650.6100000001</v>
      </c>
    </row>
    <row r="528" spans="1:9" s="3" customFormat="1">
      <c r="A528" s="86" t="s">
        <v>32</v>
      </c>
      <c r="B528" s="14">
        <v>774</v>
      </c>
      <c r="C528" s="15" t="s">
        <v>26</v>
      </c>
      <c r="D528" s="15" t="s">
        <v>28</v>
      </c>
      <c r="E528" s="88" t="s">
        <v>303</v>
      </c>
      <c r="F528" s="15" t="s">
        <v>33</v>
      </c>
      <c r="G528" s="74">
        <v>1224650.6100000001</v>
      </c>
      <c r="H528" s="74">
        <v>1224650.6100000001</v>
      </c>
      <c r="I528" s="74">
        <v>1224650.6100000001</v>
      </c>
    </row>
    <row r="529" spans="1:9" s="3" customFormat="1" ht="33" customHeight="1">
      <c r="A529" s="86" t="s">
        <v>761</v>
      </c>
      <c r="B529" s="14">
        <v>774</v>
      </c>
      <c r="C529" s="15" t="s">
        <v>26</v>
      </c>
      <c r="D529" s="15" t="s">
        <v>28</v>
      </c>
      <c r="E529" s="15" t="s">
        <v>760</v>
      </c>
      <c r="F529" s="15"/>
      <c r="G529" s="74">
        <f t="shared" ref="G529:I536" si="123">G530</f>
        <v>500000</v>
      </c>
      <c r="H529" s="74">
        <f t="shared" si="123"/>
        <v>0</v>
      </c>
      <c r="I529" s="74">
        <f t="shared" si="123"/>
        <v>0</v>
      </c>
    </row>
    <row r="530" spans="1:9" s="3" customFormat="1" ht="25.5">
      <c r="A530" s="86" t="s">
        <v>30</v>
      </c>
      <c r="B530" s="14">
        <v>774</v>
      </c>
      <c r="C530" s="15" t="s">
        <v>26</v>
      </c>
      <c r="D530" s="15" t="s">
        <v>28</v>
      </c>
      <c r="E530" s="15" t="s">
        <v>760</v>
      </c>
      <c r="F530" s="15" t="s">
        <v>31</v>
      </c>
      <c r="G530" s="74">
        <f t="shared" si="123"/>
        <v>500000</v>
      </c>
      <c r="H530" s="74">
        <f t="shared" si="123"/>
        <v>0</v>
      </c>
      <c r="I530" s="74">
        <f t="shared" si="123"/>
        <v>0</v>
      </c>
    </row>
    <row r="531" spans="1:9" s="3" customFormat="1">
      <c r="A531" s="86" t="s">
        <v>32</v>
      </c>
      <c r="B531" s="14">
        <v>774</v>
      </c>
      <c r="C531" s="15" t="s">
        <v>26</v>
      </c>
      <c r="D531" s="15" t="s">
        <v>28</v>
      </c>
      <c r="E531" s="15" t="s">
        <v>760</v>
      </c>
      <c r="F531" s="15" t="s">
        <v>33</v>
      </c>
      <c r="G531" s="74">
        <v>500000</v>
      </c>
      <c r="H531" s="74">
        <v>0</v>
      </c>
      <c r="I531" s="74">
        <v>0</v>
      </c>
    </row>
    <row r="532" spans="1:9" s="3" customFormat="1" ht="54.75" hidden="1" customHeight="1">
      <c r="A532" s="86" t="s">
        <v>781</v>
      </c>
      <c r="B532" s="14">
        <v>774</v>
      </c>
      <c r="C532" s="15" t="s">
        <v>26</v>
      </c>
      <c r="D532" s="15" t="s">
        <v>28</v>
      </c>
      <c r="E532" s="120" t="s">
        <v>769</v>
      </c>
      <c r="F532" s="15"/>
      <c r="G532" s="74">
        <f t="shared" si="123"/>
        <v>0</v>
      </c>
      <c r="H532" s="74">
        <f t="shared" si="123"/>
        <v>0</v>
      </c>
      <c r="I532" s="74">
        <f t="shared" si="123"/>
        <v>0</v>
      </c>
    </row>
    <row r="533" spans="1:9" s="3" customFormat="1" ht="25.5" hidden="1">
      <c r="A533" s="16" t="s">
        <v>30</v>
      </c>
      <c r="B533" s="14">
        <v>774</v>
      </c>
      <c r="C533" s="15" t="s">
        <v>26</v>
      </c>
      <c r="D533" s="15" t="s">
        <v>28</v>
      </c>
      <c r="E533" s="15" t="s">
        <v>769</v>
      </c>
      <c r="F533" s="15" t="s">
        <v>31</v>
      </c>
      <c r="G533" s="74">
        <f t="shared" si="123"/>
        <v>0</v>
      </c>
      <c r="H533" s="74">
        <f t="shared" si="123"/>
        <v>0</v>
      </c>
      <c r="I533" s="74">
        <f t="shared" si="123"/>
        <v>0</v>
      </c>
    </row>
    <row r="534" spans="1:9" s="3" customFormat="1" hidden="1">
      <c r="A534" s="16" t="s">
        <v>32</v>
      </c>
      <c r="B534" s="14">
        <v>774</v>
      </c>
      <c r="C534" s="15" t="s">
        <v>26</v>
      </c>
      <c r="D534" s="15" t="s">
        <v>28</v>
      </c>
      <c r="E534" s="15" t="s">
        <v>769</v>
      </c>
      <c r="F534" s="15" t="s">
        <v>33</v>
      </c>
      <c r="G534" s="74"/>
      <c r="H534" s="74">
        <v>0</v>
      </c>
      <c r="I534" s="74">
        <v>0</v>
      </c>
    </row>
    <row r="535" spans="1:9" s="3" customFormat="1" ht="49.5" customHeight="1">
      <c r="A535" s="16" t="s">
        <v>782</v>
      </c>
      <c r="B535" s="14">
        <v>774</v>
      </c>
      <c r="C535" s="15" t="s">
        <v>26</v>
      </c>
      <c r="D535" s="15" t="s">
        <v>28</v>
      </c>
      <c r="E535" s="88" t="s">
        <v>771</v>
      </c>
      <c r="F535" s="15"/>
      <c r="G535" s="74">
        <f t="shared" si="123"/>
        <v>1056457.79</v>
      </c>
      <c r="H535" s="74">
        <f t="shared" si="123"/>
        <v>1200000</v>
      </c>
      <c r="I535" s="74">
        <f t="shared" si="123"/>
        <v>0</v>
      </c>
    </row>
    <row r="536" spans="1:9" s="3" customFormat="1" ht="25.5">
      <c r="A536" s="16" t="s">
        <v>30</v>
      </c>
      <c r="B536" s="14">
        <v>774</v>
      </c>
      <c r="C536" s="15" t="s">
        <v>26</v>
      </c>
      <c r="D536" s="15" t="s">
        <v>28</v>
      </c>
      <c r="E536" s="15" t="s">
        <v>771</v>
      </c>
      <c r="F536" s="15" t="s">
        <v>31</v>
      </c>
      <c r="G536" s="74">
        <f t="shared" si="123"/>
        <v>1056457.79</v>
      </c>
      <c r="H536" s="74">
        <f t="shared" si="123"/>
        <v>1200000</v>
      </c>
      <c r="I536" s="74">
        <f t="shared" si="123"/>
        <v>0</v>
      </c>
    </row>
    <row r="537" spans="1:9" s="3" customFormat="1">
      <c r="A537" s="16" t="s">
        <v>32</v>
      </c>
      <c r="B537" s="14">
        <v>774</v>
      </c>
      <c r="C537" s="15" t="s">
        <v>26</v>
      </c>
      <c r="D537" s="15" t="s">
        <v>28</v>
      </c>
      <c r="E537" s="15" t="s">
        <v>771</v>
      </c>
      <c r="F537" s="15" t="s">
        <v>33</v>
      </c>
      <c r="G537" s="74">
        <f>435000+320000+315000-13542.21</f>
        <v>1056457.79</v>
      </c>
      <c r="H537" s="74">
        <v>1200000</v>
      </c>
      <c r="I537" s="74">
        <v>0</v>
      </c>
    </row>
    <row r="538" spans="1:9" s="3" customFormat="1" ht="38.25" hidden="1" customHeight="1">
      <c r="A538" s="16" t="s">
        <v>660</v>
      </c>
      <c r="B538" s="14">
        <v>774</v>
      </c>
      <c r="C538" s="15" t="s">
        <v>26</v>
      </c>
      <c r="D538" s="15" t="s">
        <v>28</v>
      </c>
      <c r="E538" s="15" t="s">
        <v>659</v>
      </c>
      <c r="F538" s="15"/>
      <c r="G538" s="74">
        <f t="shared" ref="G538:I539" si="124">G539</f>
        <v>0</v>
      </c>
      <c r="H538" s="74">
        <f t="shared" si="124"/>
        <v>0</v>
      </c>
      <c r="I538" s="74">
        <f t="shared" si="124"/>
        <v>0</v>
      </c>
    </row>
    <row r="539" spans="1:9" s="3" customFormat="1" ht="25.5" hidden="1" customHeight="1">
      <c r="A539" s="16" t="s">
        <v>30</v>
      </c>
      <c r="B539" s="14">
        <v>774</v>
      </c>
      <c r="C539" s="15" t="s">
        <v>26</v>
      </c>
      <c r="D539" s="15" t="s">
        <v>28</v>
      </c>
      <c r="E539" s="15" t="s">
        <v>659</v>
      </c>
      <c r="F539" s="15" t="s">
        <v>31</v>
      </c>
      <c r="G539" s="74">
        <f t="shared" si="124"/>
        <v>0</v>
      </c>
      <c r="H539" s="74">
        <f t="shared" si="124"/>
        <v>0</v>
      </c>
      <c r="I539" s="74">
        <f t="shared" si="124"/>
        <v>0</v>
      </c>
    </row>
    <row r="540" spans="1:9" s="3" customFormat="1" ht="12.75" hidden="1" customHeight="1">
      <c r="A540" s="16" t="s">
        <v>32</v>
      </c>
      <c r="B540" s="14">
        <v>774</v>
      </c>
      <c r="C540" s="15" t="s">
        <v>26</v>
      </c>
      <c r="D540" s="15" t="s">
        <v>28</v>
      </c>
      <c r="E540" s="15" t="s">
        <v>659</v>
      </c>
      <c r="F540" s="15" t="s">
        <v>33</v>
      </c>
      <c r="G540" s="74"/>
      <c r="H540" s="74"/>
      <c r="I540" s="74"/>
    </row>
    <row r="541" spans="1:9" ht="38.25">
      <c r="A541" s="16" t="s">
        <v>427</v>
      </c>
      <c r="B541" s="14">
        <v>774</v>
      </c>
      <c r="C541" s="15" t="s">
        <v>26</v>
      </c>
      <c r="D541" s="15" t="s">
        <v>28</v>
      </c>
      <c r="E541" s="88" t="s">
        <v>874</v>
      </c>
      <c r="F541" s="15"/>
      <c r="G541" s="8">
        <f>G542</f>
        <v>2000000</v>
      </c>
      <c r="H541" s="8">
        <f t="shared" ref="G541:I545" si="125">H542</f>
        <v>1000000</v>
      </c>
      <c r="I541" s="8">
        <f t="shared" si="125"/>
        <v>1000000</v>
      </c>
    </row>
    <row r="542" spans="1:9" ht="25.5">
      <c r="A542" s="16" t="s">
        <v>30</v>
      </c>
      <c r="B542" s="14">
        <v>774</v>
      </c>
      <c r="C542" s="15" t="s">
        <v>26</v>
      </c>
      <c r="D542" s="15" t="s">
        <v>28</v>
      </c>
      <c r="E542" s="88" t="s">
        <v>874</v>
      </c>
      <c r="F542" s="15" t="s">
        <v>31</v>
      </c>
      <c r="G542" s="8">
        <f t="shared" si="125"/>
        <v>2000000</v>
      </c>
      <c r="H542" s="8">
        <f t="shared" si="125"/>
        <v>1000000</v>
      </c>
      <c r="I542" s="8">
        <f t="shared" si="125"/>
        <v>1000000</v>
      </c>
    </row>
    <row r="543" spans="1:9">
      <c r="A543" s="16" t="s">
        <v>32</v>
      </c>
      <c r="B543" s="14">
        <v>774</v>
      </c>
      <c r="C543" s="15" t="s">
        <v>26</v>
      </c>
      <c r="D543" s="15" t="s">
        <v>28</v>
      </c>
      <c r="E543" s="88" t="s">
        <v>874</v>
      </c>
      <c r="F543" s="15" t="s">
        <v>33</v>
      </c>
      <c r="G543" s="8">
        <v>2000000</v>
      </c>
      <c r="H543" s="8">
        <v>1000000</v>
      </c>
      <c r="I543" s="8">
        <v>1000000</v>
      </c>
    </row>
    <row r="544" spans="1:9" hidden="1">
      <c r="A544" s="16" t="s">
        <v>765</v>
      </c>
      <c r="B544" s="14">
        <v>774</v>
      </c>
      <c r="C544" s="15" t="s">
        <v>26</v>
      </c>
      <c r="D544" s="15" t="s">
        <v>28</v>
      </c>
      <c r="E544" s="88" t="s">
        <v>766</v>
      </c>
      <c r="F544" s="15"/>
      <c r="G544" s="8">
        <f>G545</f>
        <v>0</v>
      </c>
      <c r="H544" s="8">
        <f t="shared" si="125"/>
        <v>0</v>
      </c>
      <c r="I544" s="8">
        <f t="shared" si="125"/>
        <v>0</v>
      </c>
    </row>
    <row r="545" spans="1:9" ht="25.5" hidden="1">
      <c r="A545" s="16" t="s">
        <v>30</v>
      </c>
      <c r="B545" s="14">
        <v>774</v>
      </c>
      <c r="C545" s="15" t="s">
        <v>26</v>
      </c>
      <c r="D545" s="15" t="s">
        <v>28</v>
      </c>
      <c r="E545" s="88" t="s">
        <v>766</v>
      </c>
      <c r="F545" s="15" t="s">
        <v>31</v>
      </c>
      <c r="G545" s="8">
        <f t="shared" si="125"/>
        <v>0</v>
      </c>
      <c r="H545" s="8">
        <f t="shared" si="125"/>
        <v>0</v>
      </c>
      <c r="I545" s="8">
        <f t="shared" si="125"/>
        <v>0</v>
      </c>
    </row>
    <row r="546" spans="1:9" hidden="1">
      <c r="A546" s="16" t="s">
        <v>32</v>
      </c>
      <c r="B546" s="14">
        <v>774</v>
      </c>
      <c r="C546" s="15" t="s">
        <v>26</v>
      </c>
      <c r="D546" s="15" t="s">
        <v>28</v>
      </c>
      <c r="E546" s="88" t="s">
        <v>766</v>
      </c>
      <c r="F546" s="15" t="s">
        <v>33</v>
      </c>
      <c r="G546" s="8"/>
      <c r="H546" s="8"/>
      <c r="I546" s="8"/>
    </row>
    <row r="547" spans="1:9" s="3" customFormat="1" ht="30" customHeight="1">
      <c r="A547" s="86" t="s">
        <v>24</v>
      </c>
      <c r="B547" s="14">
        <v>774</v>
      </c>
      <c r="C547" s="15" t="s">
        <v>26</v>
      </c>
      <c r="D547" s="15" t="s">
        <v>28</v>
      </c>
      <c r="E547" s="15" t="s">
        <v>231</v>
      </c>
      <c r="F547" s="15"/>
      <c r="G547" s="74">
        <f t="shared" ref="G547:I549" si="126">G548</f>
        <v>109250.2</v>
      </c>
      <c r="H547" s="74">
        <f t="shared" si="126"/>
        <v>105000</v>
      </c>
      <c r="I547" s="74">
        <f t="shared" si="126"/>
        <v>105000</v>
      </c>
    </row>
    <row r="548" spans="1:9" s="3" customFormat="1" ht="24.75" customHeight="1">
      <c r="A548" s="86" t="s">
        <v>148</v>
      </c>
      <c r="B548" s="14">
        <v>774</v>
      </c>
      <c r="C548" s="15" t="s">
        <v>26</v>
      </c>
      <c r="D548" s="15" t="s">
        <v>28</v>
      </c>
      <c r="E548" s="15" t="s">
        <v>232</v>
      </c>
      <c r="F548" s="15"/>
      <c r="G548" s="74">
        <f t="shared" si="126"/>
        <v>109250.2</v>
      </c>
      <c r="H548" s="74">
        <f t="shared" si="126"/>
        <v>105000</v>
      </c>
      <c r="I548" s="74">
        <f t="shared" si="126"/>
        <v>105000</v>
      </c>
    </row>
    <row r="549" spans="1:9" s="18" customFormat="1" ht="25.5">
      <c r="A549" s="86" t="s">
        <v>30</v>
      </c>
      <c r="B549" s="15" t="s">
        <v>97</v>
      </c>
      <c r="C549" s="15" t="s">
        <v>26</v>
      </c>
      <c r="D549" s="15" t="s">
        <v>28</v>
      </c>
      <c r="E549" s="15" t="s">
        <v>232</v>
      </c>
      <c r="F549" s="15" t="s">
        <v>31</v>
      </c>
      <c r="G549" s="74">
        <f t="shared" si="126"/>
        <v>109250.2</v>
      </c>
      <c r="H549" s="74">
        <f t="shared" si="126"/>
        <v>105000</v>
      </c>
      <c r="I549" s="74">
        <f t="shared" si="126"/>
        <v>105000</v>
      </c>
    </row>
    <row r="550" spans="1:9" s="18" customFormat="1">
      <c r="A550" s="86" t="s">
        <v>32</v>
      </c>
      <c r="B550" s="15" t="s">
        <v>97</v>
      </c>
      <c r="C550" s="15" t="s">
        <v>26</v>
      </c>
      <c r="D550" s="15" t="s">
        <v>28</v>
      </c>
      <c r="E550" s="15" t="s">
        <v>232</v>
      </c>
      <c r="F550" s="15" t="s">
        <v>33</v>
      </c>
      <c r="G550" s="74">
        <v>109250.2</v>
      </c>
      <c r="H550" s="74">
        <v>105000</v>
      </c>
      <c r="I550" s="74">
        <v>105000</v>
      </c>
    </row>
    <row r="551" spans="1:9" s="18" customFormat="1" ht="25.5" customHeight="1">
      <c r="A551" s="203" t="s">
        <v>501</v>
      </c>
      <c r="B551" s="14">
        <v>774</v>
      </c>
      <c r="C551" s="15" t="s">
        <v>26</v>
      </c>
      <c r="D551" s="15" t="s">
        <v>28</v>
      </c>
      <c r="E551" s="15" t="s">
        <v>227</v>
      </c>
      <c r="F551" s="15"/>
      <c r="G551" s="74">
        <f t="shared" ref="G551:I553" si="127">G552</f>
        <v>0</v>
      </c>
      <c r="H551" s="74">
        <f t="shared" si="127"/>
        <v>335974</v>
      </c>
      <c r="I551" s="74">
        <f t="shared" si="127"/>
        <v>335974</v>
      </c>
    </row>
    <row r="552" spans="1:9" s="18" customFormat="1" ht="25.5">
      <c r="A552" s="86" t="s">
        <v>103</v>
      </c>
      <c r="B552" s="15" t="s">
        <v>97</v>
      </c>
      <c r="C552" s="15" t="s">
        <v>26</v>
      </c>
      <c r="D552" s="15" t="s">
        <v>28</v>
      </c>
      <c r="E552" s="15" t="s">
        <v>228</v>
      </c>
      <c r="F552" s="15"/>
      <c r="G552" s="74">
        <f t="shared" si="127"/>
        <v>0</v>
      </c>
      <c r="H552" s="74">
        <f t="shared" si="127"/>
        <v>335974</v>
      </c>
      <c r="I552" s="74">
        <f t="shared" si="127"/>
        <v>335974</v>
      </c>
    </row>
    <row r="553" spans="1:9" s="18" customFormat="1" ht="30.75" customHeight="1">
      <c r="A553" s="86" t="s">
        <v>30</v>
      </c>
      <c r="B553" s="15" t="s">
        <v>97</v>
      </c>
      <c r="C553" s="15" t="s">
        <v>26</v>
      </c>
      <c r="D553" s="15" t="s">
        <v>28</v>
      </c>
      <c r="E553" s="15" t="s">
        <v>228</v>
      </c>
      <c r="F553" s="15" t="s">
        <v>31</v>
      </c>
      <c r="G553" s="74">
        <f t="shared" si="127"/>
        <v>0</v>
      </c>
      <c r="H553" s="74">
        <f t="shared" si="127"/>
        <v>335974</v>
      </c>
      <c r="I553" s="74">
        <f t="shared" si="127"/>
        <v>335974</v>
      </c>
    </row>
    <row r="554" spans="1:9" s="18" customFormat="1">
      <c r="A554" s="86" t="s">
        <v>32</v>
      </c>
      <c r="B554" s="15" t="s">
        <v>97</v>
      </c>
      <c r="C554" s="15" t="s">
        <v>26</v>
      </c>
      <c r="D554" s="15" t="s">
        <v>28</v>
      </c>
      <c r="E554" s="15" t="s">
        <v>228</v>
      </c>
      <c r="F554" s="15" t="s">
        <v>33</v>
      </c>
      <c r="G554" s="74">
        <f>335974-335974</f>
        <v>0</v>
      </c>
      <c r="H554" s="74">
        <v>335974</v>
      </c>
      <c r="I554" s="74">
        <v>335974</v>
      </c>
    </row>
    <row r="555" spans="1:9" s="18" customFormat="1" ht="38.25">
      <c r="A555" s="86" t="s">
        <v>476</v>
      </c>
      <c r="B555" s="15" t="s">
        <v>97</v>
      </c>
      <c r="C555" s="15" t="s">
        <v>26</v>
      </c>
      <c r="D555" s="15" t="s">
        <v>28</v>
      </c>
      <c r="E555" s="15" t="s">
        <v>475</v>
      </c>
      <c r="F555" s="15"/>
      <c r="G555" s="74">
        <f>G556</f>
        <v>110000</v>
      </c>
      <c r="H555" s="74">
        <f t="shared" ref="H555:I557" si="128">H556</f>
        <v>0</v>
      </c>
      <c r="I555" s="74">
        <f t="shared" si="128"/>
        <v>0</v>
      </c>
    </row>
    <row r="556" spans="1:9" s="18" customFormat="1" ht="52.5" customHeight="1">
      <c r="A556" s="16" t="s">
        <v>777</v>
      </c>
      <c r="B556" s="15" t="s">
        <v>97</v>
      </c>
      <c r="C556" s="15" t="s">
        <v>26</v>
      </c>
      <c r="D556" s="15" t="s">
        <v>28</v>
      </c>
      <c r="E556" s="15" t="s">
        <v>778</v>
      </c>
      <c r="F556" s="15"/>
      <c r="G556" s="74">
        <f>G557</f>
        <v>110000</v>
      </c>
      <c r="H556" s="74">
        <f t="shared" si="128"/>
        <v>0</v>
      </c>
      <c r="I556" s="74">
        <f t="shared" si="128"/>
        <v>0</v>
      </c>
    </row>
    <row r="557" spans="1:9" s="18" customFormat="1" ht="25.5">
      <c r="A557" s="16" t="s">
        <v>99</v>
      </c>
      <c r="B557" s="15" t="s">
        <v>97</v>
      </c>
      <c r="C557" s="15" t="s">
        <v>26</v>
      </c>
      <c r="D557" s="15" t="s">
        <v>28</v>
      </c>
      <c r="E557" s="15" t="s">
        <v>778</v>
      </c>
      <c r="F557" s="15" t="s">
        <v>359</v>
      </c>
      <c r="G557" s="74">
        <f>G558</f>
        <v>110000</v>
      </c>
      <c r="H557" s="74">
        <f t="shared" si="128"/>
        <v>0</v>
      </c>
      <c r="I557" s="74">
        <f t="shared" si="128"/>
        <v>0</v>
      </c>
    </row>
    <row r="558" spans="1:9" s="18" customFormat="1" ht="89.25">
      <c r="A558" s="50" t="s">
        <v>434</v>
      </c>
      <c r="B558" s="15" t="s">
        <v>97</v>
      </c>
      <c r="C558" s="15" t="s">
        <v>26</v>
      </c>
      <c r="D558" s="15" t="s">
        <v>28</v>
      </c>
      <c r="E558" s="15" t="s">
        <v>778</v>
      </c>
      <c r="F558" s="15" t="s">
        <v>433</v>
      </c>
      <c r="G558" s="74">
        <v>110000</v>
      </c>
      <c r="H558" s="74">
        <v>0</v>
      </c>
      <c r="I558" s="74">
        <v>0</v>
      </c>
    </row>
    <row r="559" spans="1:9" s="18" customFormat="1" ht="38.25" hidden="1">
      <c r="A559" s="86" t="s">
        <v>476</v>
      </c>
      <c r="B559" s="15" t="s">
        <v>97</v>
      </c>
      <c r="C559" s="15" t="s">
        <v>26</v>
      </c>
      <c r="D559" s="15" t="s">
        <v>28</v>
      </c>
      <c r="E559" s="15" t="s">
        <v>475</v>
      </c>
      <c r="F559" s="15"/>
      <c r="G559" s="74">
        <f>G560</f>
        <v>0</v>
      </c>
      <c r="H559" s="74">
        <f t="shared" ref="H559:I559" si="129">H560</f>
        <v>0</v>
      </c>
      <c r="I559" s="74">
        <f t="shared" si="129"/>
        <v>0</v>
      </c>
    </row>
    <row r="560" spans="1:9" s="18" customFormat="1" ht="52.5" hidden="1" customHeight="1">
      <c r="A560" s="16" t="s">
        <v>777</v>
      </c>
      <c r="B560" s="15" t="s">
        <v>97</v>
      </c>
      <c r="C560" s="15" t="s">
        <v>26</v>
      </c>
      <c r="D560" s="15" t="s">
        <v>28</v>
      </c>
      <c r="E560" s="15" t="s">
        <v>778</v>
      </c>
      <c r="F560" s="15"/>
      <c r="G560" s="74">
        <f>G561</f>
        <v>0</v>
      </c>
      <c r="H560" s="74">
        <f t="shared" ref="H560:I560" si="130">H561</f>
        <v>0</v>
      </c>
      <c r="I560" s="74">
        <f t="shared" si="130"/>
        <v>0</v>
      </c>
    </row>
    <row r="561" spans="1:10" s="18" customFormat="1" ht="25.5" hidden="1">
      <c r="A561" s="16" t="s">
        <v>99</v>
      </c>
      <c r="B561" s="15" t="s">
        <v>97</v>
      </c>
      <c r="C561" s="15" t="s">
        <v>26</v>
      </c>
      <c r="D561" s="15" t="s">
        <v>28</v>
      </c>
      <c r="E561" s="15" t="s">
        <v>778</v>
      </c>
      <c r="F561" s="15" t="s">
        <v>359</v>
      </c>
      <c r="G561" s="74">
        <f>G562</f>
        <v>0</v>
      </c>
      <c r="H561" s="74">
        <f t="shared" ref="H561:I561" si="131">H562</f>
        <v>0</v>
      </c>
      <c r="I561" s="74">
        <f t="shared" si="131"/>
        <v>0</v>
      </c>
    </row>
    <row r="562" spans="1:10" s="18" customFormat="1" ht="89.25" hidden="1">
      <c r="A562" s="50" t="s">
        <v>434</v>
      </c>
      <c r="B562" s="15" t="s">
        <v>97</v>
      </c>
      <c r="C562" s="15" t="s">
        <v>26</v>
      </c>
      <c r="D562" s="15" t="s">
        <v>28</v>
      </c>
      <c r="E562" s="15" t="s">
        <v>778</v>
      </c>
      <c r="F562" s="15" t="s">
        <v>433</v>
      </c>
      <c r="G562" s="74"/>
      <c r="H562" s="74"/>
      <c r="I562" s="74"/>
    </row>
    <row r="563" spans="1:10" s="18" customFormat="1" ht="51" hidden="1">
      <c r="A563" s="16" t="s">
        <v>533</v>
      </c>
      <c r="B563" s="15" t="s">
        <v>97</v>
      </c>
      <c r="C563" s="15" t="s">
        <v>26</v>
      </c>
      <c r="D563" s="15" t="s">
        <v>28</v>
      </c>
      <c r="E563" s="15" t="s">
        <v>221</v>
      </c>
      <c r="F563" s="15"/>
      <c r="G563" s="74">
        <f>G564</f>
        <v>0</v>
      </c>
      <c r="H563" s="74">
        <f>H564+H567</f>
        <v>0</v>
      </c>
      <c r="I563" s="74">
        <f t="shared" ref="H563:I565" si="132">I564</f>
        <v>0</v>
      </c>
    </row>
    <row r="564" spans="1:10" s="18" customFormat="1" ht="25.5" hidden="1">
      <c r="A564" s="16" t="s">
        <v>525</v>
      </c>
      <c r="B564" s="15" t="s">
        <v>97</v>
      </c>
      <c r="C564" s="15" t="s">
        <v>26</v>
      </c>
      <c r="D564" s="15" t="s">
        <v>28</v>
      </c>
      <c r="E564" s="15" t="s">
        <v>524</v>
      </c>
      <c r="F564" s="15"/>
      <c r="G564" s="74">
        <f>G565</f>
        <v>0</v>
      </c>
      <c r="H564" s="74">
        <f t="shared" si="132"/>
        <v>0</v>
      </c>
      <c r="I564" s="74">
        <f t="shared" si="132"/>
        <v>0</v>
      </c>
    </row>
    <row r="565" spans="1:10" s="18" customFormat="1" ht="36" hidden="1" customHeight="1">
      <c r="A565" s="16" t="s">
        <v>99</v>
      </c>
      <c r="B565" s="15" t="s">
        <v>97</v>
      </c>
      <c r="C565" s="15" t="s">
        <v>26</v>
      </c>
      <c r="D565" s="15" t="s">
        <v>28</v>
      </c>
      <c r="E565" s="15" t="s">
        <v>524</v>
      </c>
      <c r="F565" s="15" t="s">
        <v>359</v>
      </c>
      <c r="G565" s="74">
        <f>G566</f>
        <v>0</v>
      </c>
      <c r="H565" s="74">
        <f t="shared" si="132"/>
        <v>0</v>
      </c>
      <c r="I565" s="74">
        <f t="shared" si="132"/>
        <v>0</v>
      </c>
    </row>
    <row r="566" spans="1:10" s="18" customFormat="1" ht="99" hidden="1" customHeight="1">
      <c r="A566" s="50" t="s">
        <v>434</v>
      </c>
      <c r="B566" s="15" t="s">
        <v>97</v>
      </c>
      <c r="C566" s="15" t="s">
        <v>26</v>
      </c>
      <c r="D566" s="15" t="s">
        <v>28</v>
      </c>
      <c r="E566" s="15" t="s">
        <v>524</v>
      </c>
      <c r="F566" s="15" t="s">
        <v>433</v>
      </c>
      <c r="G566" s="74">
        <v>0</v>
      </c>
      <c r="H566" s="74"/>
      <c r="I566" s="74">
        <v>0</v>
      </c>
    </row>
    <row r="567" spans="1:10" s="18" customFormat="1" ht="25.5" hidden="1">
      <c r="A567" s="16" t="s">
        <v>527</v>
      </c>
      <c r="B567" s="15" t="s">
        <v>97</v>
      </c>
      <c r="C567" s="15" t="s">
        <v>26</v>
      </c>
      <c r="D567" s="15" t="s">
        <v>28</v>
      </c>
      <c r="E567" s="15" t="s">
        <v>526</v>
      </c>
      <c r="F567" s="15"/>
      <c r="G567" s="74">
        <f>G568</f>
        <v>0</v>
      </c>
      <c r="H567" s="74">
        <f t="shared" ref="H567:I568" si="133">H568</f>
        <v>0</v>
      </c>
      <c r="I567" s="74">
        <f t="shared" si="133"/>
        <v>0</v>
      </c>
    </row>
    <row r="568" spans="1:10" s="18" customFormat="1" ht="36" hidden="1" customHeight="1">
      <c r="A568" s="16" t="s">
        <v>99</v>
      </c>
      <c r="B568" s="15" t="s">
        <v>97</v>
      </c>
      <c r="C568" s="15" t="s">
        <v>26</v>
      </c>
      <c r="D568" s="15" t="s">
        <v>28</v>
      </c>
      <c r="E568" s="15" t="s">
        <v>526</v>
      </c>
      <c r="F568" s="15" t="s">
        <v>359</v>
      </c>
      <c r="G568" s="74">
        <f>G569</f>
        <v>0</v>
      </c>
      <c r="H568" s="74">
        <f t="shared" si="133"/>
        <v>0</v>
      </c>
      <c r="I568" s="74">
        <f t="shared" si="133"/>
        <v>0</v>
      </c>
    </row>
    <row r="569" spans="1:10" s="18" customFormat="1" ht="99" hidden="1" customHeight="1">
      <c r="A569" s="50" t="s">
        <v>434</v>
      </c>
      <c r="B569" s="15" t="s">
        <v>97</v>
      </c>
      <c r="C569" s="15" t="s">
        <v>26</v>
      </c>
      <c r="D569" s="15" t="s">
        <v>28</v>
      </c>
      <c r="E569" s="15" t="s">
        <v>526</v>
      </c>
      <c r="F569" s="15" t="s">
        <v>433</v>
      </c>
      <c r="G569" s="74">
        <v>0</v>
      </c>
      <c r="H569" s="74"/>
      <c r="I569" s="74">
        <v>0</v>
      </c>
    </row>
    <row r="570" spans="1:10" s="80" customFormat="1" ht="24.75" hidden="1" customHeight="1">
      <c r="A570" s="37" t="s">
        <v>176</v>
      </c>
      <c r="B570" s="15" t="s">
        <v>97</v>
      </c>
      <c r="C570" s="15" t="s">
        <v>26</v>
      </c>
      <c r="D570" s="15" t="s">
        <v>28</v>
      </c>
      <c r="E570" s="15" t="s">
        <v>241</v>
      </c>
      <c r="F570" s="79"/>
      <c r="G570" s="74">
        <f>G571</f>
        <v>0</v>
      </c>
      <c r="H570" s="74">
        <v>0</v>
      </c>
      <c r="I570" s="74">
        <v>0</v>
      </c>
      <c r="J570" s="162">
        <v>1000000</v>
      </c>
    </row>
    <row r="571" spans="1:10" ht="25.5" hidden="1">
      <c r="A571" s="207" t="s">
        <v>176</v>
      </c>
      <c r="B571" s="15" t="s">
        <v>97</v>
      </c>
      <c r="C571" s="15" t="s">
        <v>26</v>
      </c>
      <c r="D571" s="15" t="s">
        <v>28</v>
      </c>
      <c r="E571" s="15" t="s">
        <v>285</v>
      </c>
      <c r="F571" s="14"/>
      <c r="G571" s="74">
        <f>G572</f>
        <v>0</v>
      </c>
      <c r="H571" s="74">
        <v>0</v>
      </c>
      <c r="I571" s="74">
        <v>0</v>
      </c>
      <c r="J571" s="2"/>
    </row>
    <row r="572" spans="1:10" hidden="1">
      <c r="A572" s="86" t="s">
        <v>64</v>
      </c>
      <c r="B572" s="15" t="s">
        <v>97</v>
      </c>
      <c r="C572" s="15" t="s">
        <v>26</v>
      </c>
      <c r="D572" s="15" t="s">
        <v>28</v>
      </c>
      <c r="E572" s="15" t="s">
        <v>285</v>
      </c>
      <c r="F572" s="15" t="s">
        <v>31</v>
      </c>
      <c r="G572" s="74">
        <f>G573</f>
        <v>0</v>
      </c>
      <c r="H572" s="74">
        <f>H573</f>
        <v>0</v>
      </c>
      <c r="I572" s="74">
        <f>I573</f>
        <v>0</v>
      </c>
      <c r="J572" s="2"/>
    </row>
    <row r="573" spans="1:10" ht="19.5" hidden="1" customHeight="1">
      <c r="A573" s="86" t="s">
        <v>187</v>
      </c>
      <c r="B573" s="15" t="s">
        <v>97</v>
      </c>
      <c r="C573" s="15" t="s">
        <v>26</v>
      </c>
      <c r="D573" s="15" t="s">
        <v>28</v>
      </c>
      <c r="E573" s="15" t="s">
        <v>285</v>
      </c>
      <c r="F573" s="15" t="s">
        <v>33</v>
      </c>
      <c r="G573" s="74"/>
      <c r="H573" s="74">
        <f>'прил 5'!H211</f>
        <v>0</v>
      </c>
      <c r="I573" s="74">
        <f>'прил 5'!I211</f>
        <v>0</v>
      </c>
      <c r="J573" s="2"/>
    </row>
    <row r="574" spans="1:10" ht="30" hidden="1" customHeight="1">
      <c r="A574" s="86" t="s">
        <v>344</v>
      </c>
      <c r="B574" s="15" t="s">
        <v>97</v>
      </c>
      <c r="C574" s="15" t="s">
        <v>26</v>
      </c>
      <c r="D574" s="15" t="s">
        <v>28</v>
      </c>
      <c r="E574" s="15" t="s">
        <v>218</v>
      </c>
      <c r="F574" s="15"/>
      <c r="G574" s="74">
        <f>G575</f>
        <v>0</v>
      </c>
      <c r="H574" s="74"/>
      <c r="I574" s="74"/>
      <c r="J574" s="2"/>
    </row>
    <row r="575" spans="1:10" ht="29.25" hidden="1" customHeight="1">
      <c r="A575" s="16" t="s">
        <v>30</v>
      </c>
      <c r="B575" s="15" t="s">
        <v>97</v>
      </c>
      <c r="C575" s="15" t="s">
        <v>26</v>
      </c>
      <c r="D575" s="15" t="s">
        <v>28</v>
      </c>
      <c r="E575" s="15" t="s">
        <v>218</v>
      </c>
      <c r="F575" s="15" t="s">
        <v>31</v>
      </c>
      <c r="G575" s="74">
        <f>G576</f>
        <v>0</v>
      </c>
      <c r="H575" s="74"/>
      <c r="I575" s="74"/>
      <c r="J575" s="2"/>
    </row>
    <row r="576" spans="1:10" ht="19.5" hidden="1" customHeight="1">
      <c r="A576" s="16" t="s">
        <v>32</v>
      </c>
      <c r="B576" s="15" t="s">
        <v>97</v>
      </c>
      <c r="C576" s="15" t="s">
        <v>26</v>
      </c>
      <c r="D576" s="15" t="s">
        <v>28</v>
      </c>
      <c r="E576" s="15" t="s">
        <v>218</v>
      </c>
      <c r="F576" s="15" t="s">
        <v>33</v>
      </c>
      <c r="G576" s="74"/>
      <c r="H576" s="74"/>
      <c r="I576" s="74"/>
      <c r="J576" s="2"/>
    </row>
    <row r="577" spans="1:9" s="240" customFormat="1" ht="30.75" customHeight="1">
      <c r="A577" s="37" t="s">
        <v>280</v>
      </c>
      <c r="B577" s="15" t="s">
        <v>97</v>
      </c>
      <c r="C577" s="15" t="s">
        <v>26</v>
      </c>
      <c r="D577" s="15" t="s">
        <v>28</v>
      </c>
      <c r="E577" s="15" t="s">
        <v>591</v>
      </c>
      <c r="F577" s="15"/>
      <c r="G577" s="74">
        <f>G578</f>
        <v>2397674</v>
      </c>
      <c r="H577" s="239">
        <v>0</v>
      </c>
      <c r="I577" s="239">
        <v>0</v>
      </c>
    </row>
    <row r="578" spans="1:9" ht="30.75" customHeight="1">
      <c r="A578" s="16" t="s">
        <v>280</v>
      </c>
      <c r="B578" s="15" t="s">
        <v>97</v>
      </c>
      <c r="C578" s="15" t="s">
        <v>26</v>
      </c>
      <c r="D578" s="15" t="s">
        <v>28</v>
      </c>
      <c r="E578" s="15" t="s">
        <v>592</v>
      </c>
      <c r="F578" s="15"/>
      <c r="G578" s="74">
        <f>G585</f>
        <v>2397674</v>
      </c>
      <c r="H578" s="74">
        <v>0</v>
      </c>
      <c r="I578" s="74">
        <v>0</v>
      </c>
    </row>
    <row r="579" spans="1:9" ht="30.75" hidden="1" customHeight="1">
      <c r="A579" s="16" t="s">
        <v>36</v>
      </c>
      <c r="B579" s="15" t="s">
        <v>97</v>
      </c>
      <c r="C579" s="15" t="s">
        <v>26</v>
      </c>
      <c r="D579" s="15" t="s">
        <v>28</v>
      </c>
      <c r="E579" s="15" t="s">
        <v>592</v>
      </c>
      <c r="F579" s="15" t="s">
        <v>37</v>
      </c>
      <c r="G579" s="74">
        <f>G580</f>
        <v>40000</v>
      </c>
      <c r="H579" s="74">
        <v>0</v>
      </c>
      <c r="I579" s="74">
        <v>0</v>
      </c>
    </row>
    <row r="580" spans="1:9" ht="30.75" hidden="1" customHeight="1">
      <c r="A580" s="16" t="s">
        <v>38</v>
      </c>
      <c r="B580" s="15" t="s">
        <v>97</v>
      </c>
      <c r="C580" s="15" t="s">
        <v>26</v>
      </c>
      <c r="D580" s="15" t="s">
        <v>28</v>
      </c>
      <c r="E580" s="15" t="s">
        <v>592</v>
      </c>
      <c r="F580" s="15" t="s">
        <v>39</v>
      </c>
      <c r="G580" s="74">
        <f>'прил 5'!G913</f>
        <v>40000</v>
      </c>
      <c r="H580" s="74">
        <v>0</v>
      </c>
      <c r="I580" s="74">
        <v>0</v>
      </c>
    </row>
    <row r="581" spans="1:9" ht="23.25" hidden="1" customHeight="1">
      <c r="A581" s="16" t="s">
        <v>154</v>
      </c>
      <c r="B581" s="15" t="s">
        <v>97</v>
      </c>
      <c r="C581" s="15" t="s">
        <v>26</v>
      </c>
      <c r="D581" s="15" t="s">
        <v>28</v>
      </c>
      <c r="E581" s="15" t="s">
        <v>592</v>
      </c>
      <c r="F581" s="15" t="s">
        <v>155</v>
      </c>
      <c r="G581" s="74">
        <f>G582</f>
        <v>1224650.6100000001</v>
      </c>
      <c r="H581" s="74">
        <v>0</v>
      </c>
      <c r="I581" s="74">
        <v>0</v>
      </c>
    </row>
    <row r="582" spans="1:9" ht="30.75" hidden="1" customHeight="1">
      <c r="A582" s="16" t="s">
        <v>156</v>
      </c>
      <c r="B582" s="15" t="s">
        <v>97</v>
      </c>
      <c r="C582" s="15" t="s">
        <v>26</v>
      </c>
      <c r="D582" s="15" t="s">
        <v>28</v>
      </c>
      <c r="E582" s="15" t="s">
        <v>592</v>
      </c>
      <c r="F582" s="15" t="s">
        <v>157</v>
      </c>
      <c r="G582" s="74">
        <f>'прил 5'!G527</f>
        <v>1224650.6100000001</v>
      </c>
      <c r="H582" s="74">
        <v>0</v>
      </c>
      <c r="I582" s="74">
        <v>0</v>
      </c>
    </row>
    <row r="583" spans="1:9" ht="21.75" hidden="1" customHeight="1">
      <c r="A583" s="16" t="s">
        <v>163</v>
      </c>
      <c r="B583" s="15" t="s">
        <v>97</v>
      </c>
      <c r="C583" s="15" t="s">
        <v>26</v>
      </c>
      <c r="D583" s="15" t="s">
        <v>28</v>
      </c>
      <c r="E583" s="15" t="s">
        <v>592</v>
      </c>
      <c r="F583" s="15" t="s">
        <v>164</v>
      </c>
      <c r="G583" s="74">
        <f>G584</f>
        <v>0</v>
      </c>
      <c r="H583" s="74">
        <v>0</v>
      </c>
      <c r="I583" s="74">
        <v>0</v>
      </c>
    </row>
    <row r="584" spans="1:9" ht="22.5" hidden="1" customHeight="1">
      <c r="A584" s="16" t="s">
        <v>185</v>
      </c>
      <c r="B584" s="15" t="s">
        <v>97</v>
      </c>
      <c r="C584" s="15" t="s">
        <v>26</v>
      </c>
      <c r="D584" s="15" t="s">
        <v>28</v>
      </c>
      <c r="E584" s="15" t="s">
        <v>592</v>
      </c>
      <c r="F584" s="15" t="s">
        <v>186</v>
      </c>
      <c r="G584" s="74"/>
      <c r="H584" s="74">
        <v>0</v>
      </c>
      <c r="I584" s="74">
        <v>0</v>
      </c>
    </row>
    <row r="585" spans="1:9" ht="25.5">
      <c r="A585" s="16" t="s">
        <v>30</v>
      </c>
      <c r="B585" s="15" t="s">
        <v>97</v>
      </c>
      <c r="C585" s="15" t="s">
        <v>26</v>
      </c>
      <c r="D585" s="15" t="s">
        <v>28</v>
      </c>
      <c r="E585" s="15" t="s">
        <v>592</v>
      </c>
      <c r="F585" s="15" t="s">
        <v>31</v>
      </c>
      <c r="G585" s="8">
        <f t="shared" ref="G585:I585" si="134">G586</f>
        <v>2397674</v>
      </c>
      <c r="H585" s="8">
        <f t="shared" si="134"/>
        <v>0</v>
      </c>
      <c r="I585" s="8">
        <f t="shared" si="134"/>
        <v>0</v>
      </c>
    </row>
    <row r="586" spans="1:9">
      <c r="A586" s="16" t="s">
        <v>32</v>
      </c>
      <c r="B586" s="15" t="s">
        <v>97</v>
      </c>
      <c r="C586" s="15" t="s">
        <v>26</v>
      </c>
      <c r="D586" s="15" t="s">
        <v>28</v>
      </c>
      <c r="E586" s="15" t="s">
        <v>592</v>
      </c>
      <c r="F586" s="15" t="s">
        <v>33</v>
      </c>
      <c r="G586" s="8">
        <f>2471948-74274</f>
        <v>2397674</v>
      </c>
      <c r="H586" s="8">
        <v>0</v>
      </c>
      <c r="I586" s="8">
        <v>0</v>
      </c>
    </row>
    <row r="587" spans="1:9" s="240" customFormat="1" ht="30.75" customHeight="1">
      <c r="A587" s="37" t="s">
        <v>176</v>
      </c>
      <c r="B587" s="15" t="s">
        <v>97</v>
      </c>
      <c r="C587" s="15" t="s">
        <v>26</v>
      </c>
      <c r="D587" s="15" t="s">
        <v>28</v>
      </c>
      <c r="E587" s="15" t="s">
        <v>241</v>
      </c>
      <c r="F587" s="15"/>
      <c r="G587" s="74">
        <f>G588</f>
        <v>23706.2</v>
      </c>
      <c r="H587" s="239">
        <v>0</v>
      </c>
      <c r="I587" s="239">
        <v>0</v>
      </c>
    </row>
    <row r="588" spans="1:9" ht="30.75" customHeight="1">
      <c r="A588" s="16" t="s">
        <v>176</v>
      </c>
      <c r="B588" s="15" t="s">
        <v>97</v>
      </c>
      <c r="C588" s="15" t="s">
        <v>26</v>
      </c>
      <c r="D588" s="15" t="s">
        <v>28</v>
      </c>
      <c r="E588" s="15" t="s">
        <v>875</v>
      </c>
      <c r="F588" s="15"/>
      <c r="G588" s="74">
        <f>G595</f>
        <v>23706.2</v>
      </c>
      <c r="H588" s="74">
        <v>0</v>
      </c>
      <c r="I588" s="74">
        <v>0</v>
      </c>
    </row>
    <row r="589" spans="1:9" ht="30.75" hidden="1" customHeight="1">
      <c r="A589" s="16" t="s">
        <v>36</v>
      </c>
      <c r="B589" s="15" t="s">
        <v>97</v>
      </c>
      <c r="C589" s="15" t="s">
        <v>26</v>
      </c>
      <c r="D589" s="15" t="s">
        <v>28</v>
      </c>
      <c r="E589" s="15" t="s">
        <v>592</v>
      </c>
      <c r="F589" s="15" t="s">
        <v>37</v>
      </c>
      <c r="G589" s="74">
        <f>G590</f>
        <v>6224605.6299999999</v>
      </c>
      <c r="H589" s="74">
        <v>0</v>
      </c>
      <c r="I589" s="74">
        <v>0</v>
      </c>
    </row>
    <row r="590" spans="1:9" ht="30.75" hidden="1" customHeight="1">
      <c r="A590" s="16" t="s">
        <v>38</v>
      </c>
      <c r="B590" s="15" t="s">
        <v>97</v>
      </c>
      <c r="C590" s="15" t="s">
        <v>26</v>
      </c>
      <c r="D590" s="15" t="s">
        <v>28</v>
      </c>
      <c r="E590" s="15" t="s">
        <v>592</v>
      </c>
      <c r="F590" s="15" t="s">
        <v>39</v>
      </c>
      <c r="G590" s="74">
        <f>'прил 5'!G923</f>
        <v>6224605.6299999999</v>
      </c>
      <c r="H590" s="74">
        <v>0</v>
      </c>
      <c r="I590" s="74">
        <v>0</v>
      </c>
    </row>
    <row r="591" spans="1:9" ht="23.25" hidden="1" customHeight="1">
      <c r="A591" s="16" t="s">
        <v>154</v>
      </c>
      <c r="B591" s="15" t="s">
        <v>97</v>
      </c>
      <c r="C591" s="15" t="s">
        <v>26</v>
      </c>
      <c r="D591" s="15" t="s">
        <v>28</v>
      </c>
      <c r="E591" s="15" t="s">
        <v>592</v>
      </c>
      <c r="F591" s="15" t="s">
        <v>155</v>
      </c>
      <c r="G591" s="74">
        <f>G592</f>
        <v>1056457.79</v>
      </c>
      <c r="H591" s="74">
        <v>0</v>
      </c>
      <c r="I591" s="74">
        <v>0</v>
      </c>
    </row>
    <row r="592" spans="1:9" ht="30.75" hidden="1" customHeight="1">
      <c r="A592" s="16" t="s">
        <v>156</v>
      </c>
      <c r="B592" s="15" t="s">
        <v>97</v>
      </c>
      <c r="C592" s="15" t="s">
        <v>26</v>
      </c>
      <c r="D592" s="15" t="s">
        <v>28</v>
      </c>
      <c r="E592" s="15" t="s">
        <v>592</v>
      </c>
      <c r="F592" s="15" t="s">
        <v>157</v>
      </c>
      <c r="G592" s="74">
        <f>'прил 5'!G537</f>
        <v>1056457.79</v>
      </c>
      <c r="H592" s="74">
        <v>0</v>
      </c>
      <c r="I592" s="74">
        <v>0</v>
      </c>
    </row>
    <row r="593" spans="1:9" ht="21.75" hidden="1" customHeight="1">
      <c r="A593" s="16" t="s">
        <v>163</v>
      </c>
      <c r="B593" s="15" t="s">
        <v>97</v>
      </c>
      <c r="C593" s="15" t="s">
        <v>26</v>
      </c>
      <c r="D593" s="15" t="s">
        <v>28</v>
      </c>
      <c r="E593" s="15" t="s">
        <v>592</v>
      </c>
      <c r="F593" s="15" t="s">
        <v>164</v>
      </c>
      <c r="G593" s="74">
        <f>G594</f>
        <v>0</v>
      </c>
      <c r="H593" s="74">
        <v>0</v>
      </c>
      <c r="I593" s="74">
        <v>0</v>
      </c>
    </row>
    <row r="594" spans="1:9" ht="22.5" hidden="1" customHeight="1">
      <c r="A594" s="16" t="s">
        <v>185</v>
      </c>
      <c r="B594" s="15" t="s">
        <v>97</v>
      </c>
      <c r="C594" s="15" t="s">
        <v>26</v>
      </c>
      <c r="D594" s="15" t="s">
        <v>28</v>
      </c>
      <c r="E594" s="15" t="s">
        <v>592</v>
      </c>
      <c r="F594" s="15" t="s">
        <v>186</v>
      </c>
      <c r="G594" s="74"/>
      <c r="H594" s="74">
        <v>0</v>
      </c>
      <c r="I594" s="74">
        <v>0</v>
      </c>
    </row>
    <row r="595" spans="1:9" ht="25.5">
      <c r="A595" s="16" t="s">
        <v>30</v>
      </c>
      <c r="B595" s="15" t="s">
        <v>97</v>
      </c>
      <c r="C595" s="15" t="s">
        <v>26</v>
      </c>
      <c r="D595" s="15" t="s">
        <v>28</v>
      </c>
      <c r="E595" s="15" t="s">
        <v>875</v>
      </c>
      <c r="F595" s="15" t="s">
        <v>31</v>
      </c>
      <c r="G595" s="8">
        <f t="shared" ref="G595:I595" si="135">G596</f>
        <v>23706.2</v>
      </c>
      <c r="H595" s="8">
        <f t="shared" si="135"/>
        <v>0</v>
      </c>
      <c r="I595" s="8">
        <f t="shared" si="135"/>
        <v>0</v>
      </c>
    </row>
    <row r="596" spans="1:9">
      <c r="A596" s="16" t="s">
        <v>32</v>
      </c>
      <c r="B596" s="15" t="s">
        <v>97</v>
      </c>
      <c r="C596" s="15" t="s">
        <v>26</v>
      </c>
      <c r="D596" s="15" t="s">
        <v>28</v>
      </c>
      <c r="E596" s="15" t="s">
        <v>875</v>
      </c>
      <c r="F596" s="15" t="s">
        <v>33</v>
      </c>
      <c r="G596" s="8">
        <v>23706.2</v>
      </c>
      <c r="H596" s="8">
        <v>0</v>
      </c>
      <c r="I596" s="8">
        <v>0</v>
      </c>
    </row>
    <row r="597" spans="1:9" s="33" customFormat="1" ht="27" customHeight="1">
      <c r="A597" s="86" t="s">
        <v>102</v>
      </c>
      <c r="B597" s="14">
        <v>774</v>
      </c>
      <c r="C597" s="15" t="s">
        <v>26</v>
      </c>
      <c r="D597" s="15" t="s">
        <v>28</v>
      </c>
      <c r="E597" s="14" t="s">
        <v>217</v>
      </c>
      <c r="F597" s="15"/>
      <c r="G597" s="74">
        <f>G598</f>
        <v>60000</v>
      </c>
      <c r="H597" s="74">
        <f t="shared" ref="H597:I598" si="136">H598</f>
        <v>0</v>
      </c>
      <c r="I597" s="74">
        <f t="shared" si="136"/>
        <v>0</v>
      </c>
    </row>
    <row r="598" spans="1:9" ht="19.5" customHeight="1">
      <c r="A598" s="86" t="s">
        <v>878</v>
      </c>
      <c r="B598" s="14">
        <v>774</v>
      </c>
      <c r="C598" s="15" t="s">
        <v>26</v>
      </c>
      <c r="D598" s="15" t="s">
        <v>28</v>
      </c>
      <c r="E598" s="15" t="s">
        <v>879</v>
      </c>
      <c r="F598" s="15"/>
      <c r="G598" s="74">
        <f>G599</f>
        <v>60000</v>
      </c>
      <c r="H598" s="74">
        <f t="shared" si="136"/>
        <v>0</v>
      </c>
      <c r="I598" s="74">
        <f t="shared" si="136"/>
        <v>0</v>
      </c>
    </row>
    <row r="599" spans="1:9" ht="30.75" customHeight="1">
      <c r="A599" s="16" t="s">
        <v>30</v>
      </c>
      <c r="B599" s="14">
        <v>774</v>
      </c>
      <c r="C599" s="15" t="s">
        <v>26</v>
      </c>
      <c r="D599" s="15" t="s">
        <v>28</v>
      </c>
      <c r="E599" s="15" t="s">
        <v>879</v>
      </c>
      <c r="F599" s="15" t="s">
        <v>31</v>
      </c>
      <c r="G599" s="74">
        <f>G600</f>
        <v>60000</v>
      </c>
      <c r="H599" s="74">
        <f>H600</f>
        <v>0</v>
      </c>
      <c r="I599" s="74">
        <f>I600</f>
        <v>0</v>
      </c>
    </row>
    <row r="600" spans="1:9" ht="18.75" customHeight="1">
      <c r="A600" s="16" t="s">
        <v>32</v>
      </c>
      <c r="B600" s="14">
        <v>774</v>
      </c>
      <c r="C600" s="15" t="s">
        <v>26</v>
      </c>
      <c r="D600" s="15" t="s">
        <v>28</v>
      </c>
      <c r="E600" s="15" t="s">
        <v>879</v>
      </c>
      <c r="F600" s="15" t="s">
        <v>33</v>
      </c>
      <c r="G600" s="74">
        <f>30000+30000</f>
        <v>60000</v>
      </c>
      <c r="H600" s="74">
        <v>0</v>
      </c>
      <c r="I600" s="74">
        <v>0</v>
      </c>
    </row>
    <row r="601" spans="1:9" ht="18.75" customHeight="1">
      <c r="A601" s="16" t="s">
        <v>98</v>
      </c>
      <c r="B601" s="14">
        <v>774</v>
      </c>
      <c r="C601" s="15" t="s">
        <v>26</v>
      </c>
      <c r="D601" s="15" t="s">
        <v>71</v>
      </c>
      <c r="E601" s="15"/>
      <c r="F601" s="14"/>
      <c r="G601" s="74">
        <f>G602+G650+G646+G658+G665</f>
        <v>98359165.780000001</v>
      </c>
      <c r="H601" s="74">
        <f t="shared" ref="H601:I601" si="137">H602+H650+H646</f>
        <v>93155969.349999994</v>
      </c>
      <c r="I601" s="74">
        <f t="shared" si="137"/>
        <v>94750793.349999979</v>
      </c>
    </row>
    <row r="602" spans="1:9" s="28" customFormat="1" ht="25.5">
      <c r="A602" s="16" t="s">
        <v>496</v>
      </c>
      <c r="B602" s="15" t="s">
        <v>97</v>
      </c>
      <c r="C602" s="15" t="s">
        <v>26</v>
      </c>
      <c r="D602" s="15" t="s">
        <v>71</v>
      </c>
      <c r="E602" s="15" t="s">
        <v>196</v>
      </c>
      <c r="F602" s="39"/>
      <c r="G602" s="74">
        <f>G603+G642+G632+G619</f>
        <v>94997985.579999998</v>
      </c>
      <c r="H602" s="74">
        <f t="shared" ref="H602:I602" si="138">H603+H642+H632+H619</f>
        <v>93155969.349999994</v>
      </c>
      <c r="I602" s="74">
        <f t="shared" si="138"/>
        <v>94750793.349999979</v>
      </c>
    </row>
    <row r="603" spans="1:9" ht="30.75" customHeight="1">
      <c r="A603" s="16" t="s">
        <v>93</v>
      </c>
      <c r="B603" s="15" t="s">
        <v>97</v>
      </c>
      <c r="C603" s="15" t="s">
        <v>26</v>
      </c>
      <c r="D603" s="15" t="s">
        <v>71</v>
      </c>
      <c r="E603" s="15" t="s">
        <v>222</v>
      </c>
      <c r="F603" s="15"/>
      <c r="G603" s="74">
        <f>G607+G610+G604+G625+G616+G622+G613</f>
        <v>94470808.489999995</v>
      </c>
      <c r="H603" s="74">
        <f t="shared" ref="H603:I603" si="139">H607+H610+H604+H625+H616+H622</f>
        <v>91813750.140000001</v>
      </c>
      <c r="I603" s="74">
        <f t="shared" si="139"/>
        <v>93408574.139999986</v>
      </c>
    </row>
    <row r="604" spans="1:9" ht="45" customHeight="1">
      <c r="A604" s="16" t="s">
        <v>3</v>
      </c>
      <c r="B604" s="15" t="s">
        <v>97</v>
      </c>
      <c r="C604" s="15" t="s">
        <v>26</v>
      </c>
      <c r="D604" s="15" t="s">
        <v>71</v>
      </c>
      <c r="E604" s="15" t="s">
        <v>140</v>
      </c>
      <c r="F604" s="15"/>
      <c r="G604" s="74">
        <f t="shared" ref="G604:I605" si="140">G605</f>
        <v>1178210</v>
      </c>
      <c r="H604" s="74">
        <f t="shared" si="140"/>
        <v>953003.61</v>
      </c>
      <c r="I604" s="74">
        <f t="shared" si="140"/>
        <v>991109.46</v>
      </c>
    </row>
    <row r="605" spans="1:9" s="18" customFormat="1" ht="25.5">
      <c r="A605" s="16" t="s">
        <v>30</v>
      </c>
      <c r="B605" s="15" t="s">
        <v>97</v>
      </c>
      <c r="C605" s="15" t="s">
        <v>26</v>
      </c>
      <c r="D605" s="15" t="s">
        <v>71</v>
      </c>
      <c r="E605" s="15" t="s">
        <v>140</v>
      </c>
      <c r="F605" s="15" t="s">
        <v>31</v>
      </c>
      <c r="G605" s="74">
        <f t="shared" si="140"/>
        <v>1178210</v>
      </c>
      <c r="H605" s="74">
        <f t="shared" si="140"/>
        <v>953003.61</v>
      </c>
      <c r="I605" s="74">
        <f t="shared" si="140"/>
        <v>991109.46</v>
      </c>
    </row>
    <row r="606" spans="1:9" s="18" customFormat="1">
      <c r="A606" s="16" t="s">
        <v>32</v>
      </c>
      <c r="B606" s="15" t="s">
        <v>97</v>
      </c>
      <c r="C606" s="15" t="s">
        <v>26</v>
      </c>
      <c r="D606" s="15" t="s">
        <v>71</v>
      </c>
      <c r="E606" s="15" t="s">
        <v>140</v>
      </c>
      <c r="F606" s="15" t="s">
        <v>33</v>
      </c>
      <c r="G606" s="74">
        <v>1178210</v>
      </c>
      <c r="H606" s="74">
        <f>728210+224793.61</f>
        <v>953003.61</v>
      </c>
      <c r="I606" s="74">
        <f>728210+262899.46</f>
        <v>991109.46</v>
      </c>
    </row>
    <row r="607" spans="1:9" s="18" customFormat="1" ht="15" customHeight="1">
      <c r="A607" s="16" t="s">
        <v>94</v>
      </c>
      <c r="B607" s="15" t="s">
        <v>97</v>
      </c>
      <c r="C607" s="15" t="s">
        <v>26</v>
      </c>
      <c r="D607" s="15" t="s">
        <v>71</v>
      </c>
      <c r="E607" s="15" t="s">
        <v>139</v>
      </c>
      <c r="F607" s="15"/>
      <c r="G607" s="74">
        <f t="shared" ref="G607:I617" si="141">G608</f>
        <v>62343259.299999997</v>
      </c>
      <c r="H607" s="74">
        <f t="shared" si="141"/>
        <v>62477678.299999997</v>
      </c>
      <c r="I607" s="74">
        <f t="shared" si="141"/>
        <v>63829526.299999997</v>
      </c>
    </row>
    <row r="608" spans="1:9" s="18" customFormat="1" ht="25.5">
      <c r="A608" s="16" t="s">
        <v>30</v>
      </c>
      <c r="B608" s="15" t="s">
        <v>97</v>
      </c>
      <c r="C608" s="15" t="s">
        <v>26</v>
      </c>
      <c r="D608" s="15" t="s">
        <v>71</v>
      </c>
      <c r="E608" s="15" t="s">
        <v>139</v>
      </c>
      <c r="F608" s="15" t="s">
        <v>31</v>
      </c>
      <c r="G608" s="74">
        <f t="shared" si="141"/>
        <v>62343259.299999997</v>
      </c>
      <c r="H608" s="74">
        <f t="shared" si="141"/>
        <v>62477678.299999997</v>
      </c>
      <c r="I608" s="74">
        <f t="shared" si="141"/>
        <v>63829526.299999997</v>
      </c>
    </row>
    <row r="609" spans="1:16" s="18" customFormat="1">
      <c r="A609" s="16" t="s">
        <v>32</v>
      </c>
      <c r="B609" s="15" t="s">
        <v>97</v>
      </c>
      <c r="C609" s="15" t="s">
        <v>26</v>
      </c>
      <c r="D609" s="15" t="s">
        <v>71</v>
      </c>
      <c r="E609" s="15" t="s">
        <v>139</v>
      </c>
      <c r="F609" s="15" t="s">
        <v>33</v>
      </c>
      <c r="G609" s="74">
        <f>62352499-9239.7</f>
        <v>62343259.299999997</v>
      </c>
      <c r="H609" s="74">
        <f>62486918-9239.7</f>
        <v>62477678.299999997</v>
      </c>
      <c r="I609" s="74">
        <f>63838766-9239.7</f>
        <v>63829526.299999997</v>
      </c>
    </row>
    <row r="610" spans="1:16" ht="25.5">
      <c r="A610" s="16" t="s">
        <v>29</v>
      </c>
      <c r="B610" s="15" t="s">
        <v>97</v>
      </c>
      <c r="C610" s="15" t="s">
        <v>26</v>
      </c>
      <c r="D610" s="15" t="s">
        <v>71</v>
      </c>
      <c r="E610" s="15" t="s">
        <v>230</v>
      </c>
      <c r="F610" s="15"/>
      <c r="G610" s="74">
        <f t="shared" ref="G610:I611" si="142">G611</f>
        <v>16636865.750000002</v>
      </c>
      <c r="H610" s="74">
        <f t="shared" si="142"/>
        <v>14417808.23</v>
      </c>
      <c r="I610" s="74">
        <f t="shared" si="142"/>
        <v>14379702.379999999</v>
      </c>
    </row>
    <row r="611" spans="1:16" ht="25.5">
      <c r="A611" s="16" t="s">
        <v>30</v>
      </c>
      <c r="B611" s="15" t="s">
        <v>97</v>
      </c>
      <c r="C611" s="15" t="s">
        <v>26</v>
      </c>
      <c r="D611" s="15" t="s">
        <v>71</v>
      </c>
      <c r="E611" s="15" t="s">
        <v>230</v>
      </c>
      <c r="F611" s="15" t="s">
        <v>31</v>
      </c>
      <c r="G611" s="74">
        <f t="shared" si="142"/>
        <v>16636865.750000002</v>
      </c>
      <c r="H611" s="74">
        <f t="shared" si="142"/>
        <v>14417808.23</v>
      </c>
      <c r="I611" s="74">
        <f t="shared" si="142"/>
        <v>14379702.379999999</v>
      </c>
    </row>
    <row r="612" spans="1:16">
      <c r="A612" s="16" t="s">
        <v>32</v>
      </c>
      <c r="B612" s="15" t="s">
        <v>97</v>
      </c>
      <c r="C612" s="15" t="s">
        <v>26</v>
      </c>
      <c r="D612" s="15" t="s">
        <v>71</v>
      </c>
      <c r="E612" s="15" t="s">
        <v>230</v>
      </c>
      <c r="F612" s="15" t="s">
        <v>33</v>
      </c>
      <c r="G612" s="74">
        <f>15534481.75-1660.7+45627.31+9000+305041.56+744375.83</f>
        <v>16636865.750000002</v>
      </c>
      <c r="H612" s="74">
        <f>14642601.84-224793.61</f>
        <v>14417808.23</v>
      </c>
      <c r="I612" s="74">
        <f>14642601.84-262899.46</f>
        <v>14379702.379999999</v>
      </c>
    </row>
    <row r="613" spans="1:16" s="3" customFormat="1" ht="25.5">
      <c r="A613" s="16" t="s">
        <v>700</v>
      </c>
      <c r="B613" s="14">
        <v>774</v>
      </c>
      <c r="C613" s="15" t="s">
        <v>26</v>
      </c>
      <c r="D613" s="15" t="s">
        <v>71</v>
      </c>
      <c r="E613" s="88" t="s">
        <v>751</v>
      </c>
      <c r="F613" s="15"/>
      <c r="G613" s="74">
        <f t="shared" ref="G613:I614" si="143">G614</f>
        <v>676415</v>
      </c>
      <c r="H613" s="74">
        <f t="shared" si="143"/>
        <v>0</v>
      </c>
      <c r="I613" s="74">
        <f t="shared" si="143"/>
        <v>0</v>
      </c>
    </row>
    <row r="614" spans="1:16" s="3" customFormat="1" ht="25.5">
      <c r="A614" s="16" t="s">
        <v>30</v>
      </c>
      <c r="B614" s="14">
        <v>774</v>
      </c>
      <c r="C614" s="15" t="s">
        <v>26</v>
      </c>
      <c r="D614" s="15" t="s">
        <v>71</v>
      </c>
      <c r="E614" s="88" t="s">
        <v>751</v>
      </c>
      <c r="F614" s="15" t="s">
        <v>31</v>
      </c>
      <c r="G614" s="74">
        <f t="shared" si="143"/>
        <v>676415</v>
      </c>
      <c r="H614" s="74">
        <f t="shared" si="143"/>
        <v>0</v>
      </c>
      <c r="I614" s="74">
        <f t="shared" si="143"/>
        <v>0</v>
      </c>
    </row>
    <row r="615" spans="1:16" s="3" customFormat="1">
      <c r="A615" s="16" t="s">
        <v>32</v>
      </c>
      <c r="B615" s="14">
        <v>774</v>
      </c>
      <c r="C615" s="15" t="s">
        <v>26</v>
      </c>
      <c r="D615" s="15" t="s">
        <v>71</v>
      </c>
      <c r="E615" s="88" t="s">
        <v>751</v>
      </c>
      <c r="F615" s="15" t="s">
        <v>33</v>
      </c>
      <c r="G615" s="74">
        <f>522008+154407</f>
        <v>676415</v>
      </c>
      <c r="H615" s="74">
        <v>0</v>
      </c>
      <c r="I615" s="74">
        <v>0</v>
      </c>
    </row>
    <row r="616" spans="1:16" s="18" customFormat="1" ht="53.25" customHeight="1">
      <c r="A616" s="16" t="s">
        <v>658</v>
      </c>
      <c r="B616" s="15" t="s">
        <v>97</v>
      </c>
      <c r="C616" s="15" t="s">
        <v>26</v>
      </c>
      <c r="D616" s="15" t="s">
        <v>71</v>
      </c>
      <c r="E616" s="15" t="s">
        <v>657</v>
      </c>
      <c r="F616" s="15"/>
      <c r="G616" s="74">
        <f t="shared" si="141"/>
        <v>11216231.699999999</v>
      </c>
      <c r="H616" s="74">
        <f t="shared" si="141"/>
        <v>11240391.699999999</v>
      </c>
      <c r="I616" s="74">
        <f t="shared" si="141"/>
        <v>11483367.699999999</v>
      </c>
      <c r="P616" s="17"/>
    </row>
    <row r="617" spans="1:16" s="18" customFormat="1" ht="25.5">
      <c r="A617" s="16" t="s">
        <v>30</v>
      </c>
      <c r="B617" s="15" t="s">
        <v>97</v>
      </c>
      <c r="C617" s="15" t="s">
        <v>26</v>
      </c>
      <c r="D617" s="15" t="s">
        <v>71</v>
      </c>
      <c r="E617" s="15" t="s">
        <v>657</v>
      </c>
      <c r="F617" s="15" t="s">
        <v>31</v>
      </c>
      <c r="G617" s="74">
        <f t="shared" si="141"/>
        <v>11216231.699999999</v>
      </c>
      <c r="H617" s="74">
        <f t="shared" si="141"/>
        <v>11240391.699999999</v>
      </c>
      <c r="I617" s="74">
        <f t="shared" si="141"/>
        <v>11483367.699999999</v>
      </c>
    </row>
    <row r="618" spans="1:16" s="18" customFormat="1">
      <c r="A618" s="16" t="s">
        <v>32</v>
      </c>
      <c r="B618" s="15" t="s">
        <v>97</v>
      </c>
      <c r="C618" s="15" t="s">
        <v>26</v>
      </c>
      <c r="D618" s="15" t="s">
        <v>71</v>
      </c>
      <c r="E618" s="15" t="s">
        <v>657</v>
      </c>
      <c r="F618" s="15" t="s">
        <v>33</v>
      </c>
      <c r="G618" s="74">
        <f>11206992+9239.7</f>
        <v>11216231.699999999</v>
      </c>
      <c r="H618" s="74">
        <f>11231152+9239.7</f>
        <v>11240391.699999999</v>
      </c>
      <c r="I618" s="74">
        <f>11474128+9239.7</f>
        <v>11483367.699999999</v>
      </c>
    </row>
    <row r="619" spans="1:16" ht="16.5" hidden="1" customHeight="1">
      <c r="A619" s="16" t="s">
        <v>1</v>
      </c>
      <c r="B619" s="14">
        <v>774</v>
      </c>
      <c r="C619" s="15" t="s">
        <v>26</v>
      </c>
      <c r="D619" s="15" t="s">
        <v>71</v>
      </c>
      <c r="E619" s="15" t="s">
        <v>226</v>
      </c>
      <c r="F619" s="15"/>
      <c r="G619" s="74">
        <f t="shared" ref="G619:I620" si="144">G620</f>
        <v>0</v>
      </c>
      <c r="H619" s="74">
        <f t="shared" si="144"/>
        <v>0</v>
      </c>
      <c r="I619" s="74">
        <f t="shared" si="144"/>
        <v>0</v>
      </c>
    </row>
    <row r="620" spans="1:16" ht="25.5" hidden="1">
      <c r="A620" s="16" t="s">
        <v>30</v>
      </c>
      <c r="B620" s="14">
        <v>774</v>
      </c>
      <c r="C620" s="15" t="s">
        <v>26</v>
      </c>
      <c r="D620" s="15" t="s">
        <v>71</v>
      </c>
      <c r="E620" s="15" t="s">
        <v>226</v>
      </c>
      <c r="F620" s="15" t="s">
        <v>31</v>
      </c>
      <c r="G620" s="74">
        <f t="shared" si="144"/>
        <v>0</v>
      </c>
      <c r="H620" s="74">
        <f t="shared" si="144"/>
        <v>0</v>
      </c>
      <c r="I620" s="74">
        <f t="shared" si="144"/>
        <v>0</v>
      </c>
    </row>
    <row r="621" spans="1:16" ht="15" hidden="1" customHeight="1">
      <c r="A621" s="16" t="s">
        <v>32</v>
      </c>
      <c r="B621" s="14">
        <v>774</v>
      </c>
      <c r="C621" s="15" t="s">
        <v>26</v>
      </c>
      <c r="D621" s="15" t="s">
        <v>71</v>
      </c>
      <c r="E621" s="15" t="s">
        <v>226</v>
      </c>
      <c r="F621" s="15" t="s">
        <v>33</v>
      </c>
      <c r="G621" s="74">
        <f>310000+29000-339000</f>
        <v>0</v>
      </c>
      <c r="H621" s="74">
        <f>310000+29000-339000</f>
        <v>0</v>
      </c>
      <c r="I621" s="74">
        <f>310000+29000-339000</f>
        <v>0</v>
      </c>
    </row>
    <row r="622" spans="1:16" s="18" customFormat="1" ht="53.25" hidden="1" customHeight="1">
      <c r="A622" s="16" t="s">
        <v>673</v>
      </c>
      <c r="B622" s="15" t="s">
        <v>97</v>
      </c>
      <c r="C622" s="15" t="s">
        <v>26</v>
      </c>
      <c r="D622" s="15" t="s">
        <v>71</v>
      </c>
      <c r="E622" s="15" t="s">
        <v>672</v>
      </c>
      <c r="F622" s="15"/>
      <c r="G622" s="74">
        <f t="shared" ref="G622:I623" si="145">G623</f>
        <v>0</v>
      </c>
      <c r="H622" s="74">
        <f t="shared" si="145"/>
        <v>0</v>
      </c>
      <c r="I622" s="74">
        <f t="shared" si="145"/>
        <v>0</v>
      </c>
    </row>
    <row r="623" spans="1:16" s="18" customFormat="1" ht="25.5" hidden="1">
      <c r="A623" s="16" t="s">
        <v>30</v>
      </c>
      <c r="B623" s="15" t="s">
        <v>97</v>
      </c>
      <c r="C623" s="15" t="s">
        <v>26</v>
      </c>
      <c r="D623" s="15" t="s">
        <v>71</v>
      </c>
      <c r="E623" s="15" t="s">
        <v>672</v>
      </c>
      <c r="F623" s="15" t="s">
        <v>31</v>
      </c>
      <c r="G623" s="74">
        <f t="shared" si="145"/>
        <v>0</v>
      </c>
      <c r="H623" s="74">
        <f t="shared" si="145"/>
        <v>0</v>
      </c>
      <c r="I623" s="74">
        <f t="shared" si="145"/>
        <v>0</v>
      </c>
    </row>
    <row r="624" spans="1:16" s="18" customFormat="1" hidden="1">
      <c r="A624" s="16" t="s">
        <v>32</v>
      </c>
      <c r="B624" s="15" t="s">
        <v>97</v>
      </c>
      <c r="C624" s="15" t="s">
        <v>26</v>
      </c>
      <c r="D624" s="15" t="s">
        <v>71</v>
      </c>
      <c r="E624" s="15" t="s">
        <v>672</v>
      </c>
      <c r="F624" s="15" t="s">
        <v>33</v>
      </c>
      <c r="G624" s="74"/>
      <c r="H624" s="74"/>
      <c r="I624" s="74"/>
    </row>
    <row r="625" spans="1:9" ht="39.75" customHeight="1">
      <c r="A625" s="16" t="s">
        <v>656</v>
      </c>
      <c r="B625" s="14">
        <v>774</v>
      </c>
      <c r="C625" s="15" t="s">
        <v>26</v>
      </c>
      <c r="D625" s="15" t="s">
        <v>71</v>
      </c>
      <c r="E625" s="15" t="s">
        <v>671</v>
      </c>
      <c r="F625" s="15"/>
      <c r="G625" s="74">
        <f>G626+G630</f>
        <v>2419826.7400000002</v>
      </c>
      <c r="H625" s="74">
        <f t="shared" ref="H625:I625" si="146">H626+H630</f>
        <v>2724868.3000000003</v>
      </c>
      <c r="I625" s="74">
        <f t="shared" si="146"/>
        <v>2724868.3000000003</v>
      </c>
    </row>
    <row r="626" spans="1:9" ht="34.5" customHeight="1">
      <c r="A626" s="16" t="s">
        <v>30</v>
      </c>
      <c r="B626" s="14">
        <v>774</v>
      </c>
      <c r="C626" s="15" t="s">
        <v>26</v>
      </c>
      <c r="D626" s="15" t="s">
        <v>71</v>
      </c>
      <c r="E626" s="15" t="s">
        <v>671</v>
      </c>
      <c r="F626" s="15" t="s">
        <v>31</v>
      </c>
      <c r="G626" s="74">
        <f>G627+G628+G629</f>
        <v>2419826.7400000002</v>
      </c>
      <c r="H626" s="74">
        <f t="shared" ref="H626:I626" si="147">H627+H628+H629</f>
        <v>2648607.8000000003</v>
      </c>
      <c r="I626" s="74">
        <f t="shared" si="147"/>
        <v>2648607.8000000003</v>
      </c>
    </row>
    <row r="627" spans="1:9" ht="15" customHeight="1">
      <c r="A627" s="16" t="s">
        <v>32</v>
      </c>
      <c r="B627" s="14">
        <v>774</v>
      </c>
      <c r="C627" s="15" t="s">
        <v>26</v>
      </c>
      <c r="D627" s="15" t="s">
        <v>71</v>
      </c>
      <c r="E627" s="15" t="s">
        <v>671</v>
      </c>
      <c r="F627" s="15" t="s">
        <v>33</v>
      </c>
      <c r="G627" s="74">
        <f>2723207.6-76260.5-76260.5-76260.5+1660.7-76260.06</f>
        <v>2419826.7400000002</v>
      </c>
      <c r="H627" s="74">
        <f>2723207.6-76260.5-76260.5-76260.5+1660.7</f>
        <v>2496086.8000000003</v>
      </c>
      <c r="I627" s="74">
        <f>2723207.6-76260.5-76260.5-76260.5+1660.7</f>
        <v>2496086.8000000003</v>
      </c>
    </row>
    <row r="628" spans="1:9" ht="15" customHeight="1">
      <c r="A628" s="16" t="s">
        <v>655</v>
      </c>
      <c r="B628" s="14">
        <v>774</v>
      </c>
      <c r="C628" s="15" t="s">
        <v>26</v>
      </c>
      <c r="D628" s="15" t="s">
        <v>71</v>
      </c>
      <c r="E628" s="15" t="s">
        <v>671</v>
      </c>
      <c r="F628" s="15" t="s">
        <v>654</v>
      </c>
      <c r="G628" s="74">
        <f>76260.5-76260.5</f>
        <v>0</v>
      </c>
      <c r="H628" s="74">
        <v>76260.5</v>
      </c>
      <c r="I628" s="74">
        <v>76260.5</v>
      </c>
    </row>
    <row r="629" spans="1:9" ht="36" customHeight="1">
      <c r="A629" s="16" t="s">
        <v>9</v>
      </c>
      <c r="B629" s="14">
        <v>774</v>
      </c>
      <c r="C629" s="15" t="s">
        <v>26</v>
      </c>
      <c r="D629" s="15" t="s">
        <v>71</v>
      </c>
      <c r="E629" s="15" t="s">
        <v>671</v>
      </c>
      <c r="F629" s="15" t="s">
        <v>8</v>
      </c>
      <c r="G629" s="74">
        <f>76260.5-76260.5</f>
        <v>0</v>
      </c>
      <c r="H629" s="74">
        <v>76260.5</v>
      </c>
      <c r="I629" s="74">
        <v>76260.5</v>
      </c>
    </row>
    <row r="630" spans="1:9" ht="15" customHeight="1">
      <c r="A630" s="16" t="s">
        <v>64</v>
      </c>
      <c r="B630" s="14">
        <v>774</v>
      </c>
      <c r="C630" s="15" t="s">
        <v>26</v>
      </c>
      <c r="D630" s="15" t="s">
        <v>71</v>
      </c>
      <c r="E630" s="15" t="s">
        <v>671</v>
      </c>
      <c r="F630" s="15" t="s">
        <v>65</v>
      </c>
      <c r="G630" s="74">
        <f>G631</f>
        <v>0</v>
      </c>
      <c r="H630" s="74">
        <f t="shared" ref="H630:I630" si="148">H631</f>
        <v>76260.5</v>
      </c>
      <c r="I630" s="74">
        <f t="shared" si="148"/>
        <v>76260.5</v>
      </c>
    </row>
    <row r="631" spans="1:9" ht="51.75" customHeight="1">
      <c r="A631" s="16" t="s">
        <v>447</v>
      </c>
      <c r="B631" s="14">
        <v>774</v>
      </c>
      <c r="C631" s="15" t="s">
        <v>26</v>
      </c>
      <c r="D631" s="15" t="s">
        <v>71</v>
      </c>
      <c r="E631" s="15" t="s">
        <v>671</v>
      </c>
      <c r="F631" s="15" t="s">
        <v>352</v>
      </c>
      <c r="G631" s="74">
        <f>76260.5-76260.5</f>
        <v>0</v>
      </c>
      <c r="H631" s="74">
        <v>76260.5</v>
      </c>
      <c r="I631" s="74">
        <v>76260.5</v>
      </c>
    </row>
    <row r="632" spans="1:9" ht="35.25" customHeight="1">
      <c r="A632" s="16" t="s">
        <v>0</v>
      </c>
      <c r="B632" s="14">
        <v>774</v>
      </c>
      <c r="C632" s="15" t="s">
        <v>26</v>
      </c>
      <c r="D632" s="15" t="s">
        <v>71</v>
      </c>
      <c r="E632" s="15" t="s">
        <v>225</v>
      </c>
      <c r="F632" s="15"/>
      <c r="G632" s="74">
        <f>G633+G636+G639</f>
        <v>79427.289999999994</v>
      </c>
      <c r="H632" s="74">
        <f t="shared" ref="H632:I632" si="149">H633+H636</f>
        <v>890219.21</v>
      </c>
      <c r="I632" s="74">
        <f t="shared" si="149"/>
        <v>890219.21</v>
      </c>
    </row>
    <row r="633" spans="1:9" s="3" customFormat="1">
      <c r="A633" s="16" t="s">
        <v>1</v>
      </c>
      <c r="B633" s="14">
        <v>774</v>
      </c>
      <c r="C633" s="15" t="s">
        <v>26</v>
      </c>
      <c r="D633" s="15" t="s">
        <v>71</v>
      </c>
      <c r="E633" s="88" t="s">
        <v>226</v>
      </c>
      <c r="F633" s="15"/>
      <c r="G633" s="74">
        <f t="shared" ref="G633:I634" si="150">G634</f>
        <v>0</v>
      </c>
      <c r="H633" s="74">
        <f t="shared" si="150"/>
        <v>890219.21</v>
      </c>
      <c r="I633" s="74">
        <f t="shared" si="150"/>
        <v>890219.21</v>
      </c>
    </row>
    <row r="634" spans="1:9" s="3" customFormat="1" ht="25.5">
      <c r="A634" s="16" t="s">
        <v>30</v>
      </c>
      <c r="B634" s="14">
        <v>774</v>
      </c>
      <c r="C634" s="15" t="s">
        <v>26</v>
      </c>
      <c r="D634" s="15" t="s">
        <v>71</v>
      </c>
      <c r="E634" s="88" t="s">
        <v>226</v>
      </c>
      <c r="F634" s="15" t="s">
        <v>31</v>
      </c>
      <c r="G634" s="74">
        <f t="shared" si="150"/>
        <v>0</v>
      </c>
      <c r="H634" s="74">
        <f t="shared" si="150"/>
        <v>890219.21</v>
      </c>
      <c r="I634" s="74">
        <f t="shared" si="150"/>
        <v>890219.21</v>
      </c>
    </row>
    <row r="635" spans="1:9" s="3" customFormat="1">
      <c r="A635" s="16" t="s">
        <v>32</v>
      </c>
      <c r="B635" s="14">
        <v>774</v>
      </c>
      <c r="C635" s="15" t="s">
        <v>26</v>
      </c>
      <c r="D635" s="15" t="s">
        <v>71</v>
      </c>
      <c r="E635" s="88" t="s">
        <v>226</v>
      </c>
      <c r="F635" s="15" t="s">
        <v>33</v>
      </c>
      <c r="G635" s="74">
        <f>325219.21-170812.21-154407</f>
        <v>0</v>
      </c>
      <c r="H635" s="74">
        <v>890219.21</v>
      </c>
      <c r="I635" s="74">
        <v>890219.21</v>
      </c>
    </row>
    <row r="636" spans="1:9" s="3" customFormat="1" ht="25.5" hidden="1">
      <c r="A636" s="16" t="s">
        <v>304</v>
      </c>
      <c r="B636" s="14">
        <v>774</v>
      </c>
      <c r="C636" s="15" t="s">
        <v>26</v>
      </c>
      <c r="D636" s="15" t="s">
        <v>71</v>
      </c>
      <c r="E636" s="15" t="s">
        <v>303</v>
      </c>
      <c r="F636" s="15"/>
      <c r="G636" s="74">
        <f t="shared" ref="G636:I637" si="151">G637</f>
        <v>0</v>
      </c>
      <c r="H636" s="74">
        <f t="shared" si="151"/>
        <v>0</v>
      </c>
      <c r="I636" s="74">
        <f t="shared" si="151"/>
        <v>0</v>
      </c>
    </row>
    <row r="637" spans="1:9" s="3" customFormat="1" ht="25.5" hidden="1">
      <c r="A637" s="16" t="s">
        <v>30</v>
      </c>
      <c r="B637" s="14">
        <v>774</v>
      </c>
      <c r="C637" s="15" t="s">
        <v>26</v>
      </c>
      <c r="D637" s="15" t="s">
        <v>71</v>
      </c>
      <c r="E637" s="15" t="s">
        <v>303</v>
      </c>
      <c r="F637" s="15" t="s">
        <v>31</v>
      </c>
      <c r="G637" s="74">
        <f t="shared" si="151"/>
        <v>0</v>
      </c>
      <c r="H637" s="74">
        <f t="shared" si="151"/>
        <v>0</v>
      </c>
      <c r="I637" s="74">
        <f t="shared" si="151"/>
        <v>0</v>
      </c>
    </row>
    <row r="638" spans="1:9" s="3" customFormat="1" hidden="1">
      <c r="A638" s="16" t="s">
        <v>32</v>
      </c>
      <c r="B638" s="14">
        <v>774</v>
      </c>
      <c r="C638" s="15" t="s">
        <v>26</v>
      </c>
      <c r="D638" s="15" t="s">
        <v>71</v>
      </c>
      <c r="E638" s="15" t="s">
        <v>303</v>
      </c>
      <c r="F638" s="15" t="s">
        <v>33</v>
      </c>
      <c r="G638" s="74"/>
      <c r="H638" s="74"/>
      <c r="I638" s="74"/>
    </row>
    <row r="639" spans="1:9" s="3" customFormat="1" ht="51.75" customHeight="1">
      <c r="A639" s="16" t="s">
        <v>757</v>
      </c>
      <c r="B639" s="14">
        <v>774</v>
      </c>
      <c r="C639" s="15" t="s">
        <v>26</v>
      </c>
      <c r="D639" s="15" t="s">
        <v>71</v>
      </c>
      <c r="E639" s="88" t="s">
        <v>758</v>
      </c>
      <c r="F639" s="15"/>
      <c r="G639" s="74">
        <f t="shared" ref="G639:I640" si="152">G640</f>
        <v>79427.289999999994</v>
      </c>
      <c r="H639" s="74">
        <f t="shared" si="152"/>
        <v>0</v>
      </c>
      <c r="I639" s="74">
        <f t="shared" si="152"/>
        <v>0</v>
      </c>
    </row>
    <row r="640" spans="1:9" s="3" customFormat="1" ht="25.5">
      <c r="A640" s="16" t="s">
        <v>30</v>
      </c>
      <c r="B640" s="14">
        <v>774</v>
      </c>
      <c r="C640" s="15" t="s">
        <v>26</v>
      </c>
      <c r="D640" s="15" t="s">
        <v>71</v>
      </c>
      <c r="E640" s="88" t="s">
        <v>758</v>
      </c>
      <c r="F640" s="15" t="s">
        <v>31</v>
      </c>
      <c r="G640" s="74">
        <f t="shared" si="152"/>
        <v>79427.289999999994</v>
      </c>
      <c r="H640" s="74">
        <f t="shared" si="152"/>
        <v>0</v>
      </c>
      <c r="I640" s="74">
        <f t="shared" si="152"/>
        <v>0</v>
      </c>
    </row>
    <row r="641" spans="1:9" s="3" customFormat="1">
      <c r="A641" s="16" t="s">
        <v>32</v>
      </c>
      <c r="B641" s="14">
        <v>774</v>
      </c>
      <c r="C641" s="15" t="s">
        <v>26</v>
      </c>
      <c r="D641" s="15" t="s">
        <v>71</v>
      </c>
      <c r="E641" s="88" t="s">
        <v>758</v>
      </c>
      <c r="F641" s="15" t="s">
        <v>33</v>
      </c>
      <c r="G641" s="74">
        <v>79427.289999999994</v>
      </c>
      <c r="H641" s="74">
        <v>0</v>
      </c>
      <c r="I641" s="74">
        <v>0</v>
      </c>
    </row>
    <row r="642" spans="1:9" ht="25.5">
      <c r="A642" s="16" t="s">
        <v>24</v>
      </c>
      <c r="B642" s="15" t="s">
        <v>97</v>
      </c>
      <c r="C642" s="15" t="s">
        <v>26</v>
      </c>
      <c r="D642" s="15" t="s">
        <v>71</v>
      </c>
      <c r="E642" s="15" t="s">
        <v>231</v>
      </c>
      <c r="F642" s="15"/>
      <c r="G642" s="74">
        <f t="shared" ref="G642:I644" si="153">G643</f>
        <v>447749.8</v>
      </c>
      <c r="H642" s="74">
        <f t="shared" si="153"/>
        <v>452000</v>
      </c>
      <c r="I642" s="74">
        <f t="shared" si="153"/>
        <v>452000</v>
      </c>
    </row>
    <row r="643" spans="1:9" ht="27" customHeight="1">
      <c r="A643" s="16" t="s">
        <v>148</v>
      </c>
      <c r="B643" s="15" t="s">
        <v>97</v>
      </c>
      <c r="C643" s="15" t="s">
        <v>26</v>
      </c>
      <c r="D643" s="15" t="s">
        <v>71</v>
      </c>
      <c r="E643" s="15" t="s">
        <v>232</v>
      </c>
      <c r="F643" s="15"/>
      <c r="G643" s="74">
        <f t="shared" si="153"/>
        <v>447749.8</v>
      </c>
      <c r="H643" s="74">
        <f t="shared" si="153"/>
        <v>452000</v>
      </c>
      <c r="I643" s="74">
        <f t="shared" si="153"/>
        <v>452000</v>
      </c>
    </row>
    <row r="644" spans="1:9" ht="25.5">
      <c r="A644" s="16" t="s">
        <v>30</v>
      </c>
      <c r="B644" s="15" t="s">
        <v>97</v>
      </c>
      <c r="C644" s="15" t="s">
        <v>26</v>
      </c>
      <c r="D644" s="15" t="s">
        <v>71</v>
      </c>
      <c r="E644" s="15" t="s">
        <v>232</v>
      </c>
      <c r="F644" s="15" t="s">
        <v>31</v>
      </c>
      <c r="G644" s="74">
        <f t="shared" si="153"/>
        <v>447749.8</v>
      </c>
      <c r="H644" s="74">
        <f t="shared" si="153"/>
        <v>452000</v>
      </c>
      <c r="I644" s="74">
        <f t="shared" si="153"/>
        <v>452000</v>
      </c>
    </row>
    <row r="645" spans="1:9">
      <c r="A645" s="16" t="s">
        <v>32</v>
      </c>
      <c r="B645" s="15" t="s">
        <v>97</v>
      </c>
      <c r="C645" s="15" t="s">
        <v>26</v>
      </c>
      <c r="D645" s="15" t="s">
        <v>71</v>
      </c>
      <c r="E645" s="15" t="s">
        <v>232</v>
      </c>
      <c r="F645" s="15" t="s">
        <v>33</v>
      </c>
      <c r="G645" s="74">
        <v>447749.8</v>
      </c>
      <c r="H645" s="74">
        <v>452000</v>
      </c>
      <c r="I645" s="74">
        <v>452000</v>
      </c>
    </row>
    <row r="646" spans="1:9" ht="35.25" hidden="1" customHeight="1">
      <c r="A646" s="37" t="s">
        <v>503</v>
      </c>
      <c r="B646" s="15" t="s">
        <v>97</v>
      </c>
      <c r="C646" s="15" t="s">
        <v>26</v>
      </c>
      <c r="D646" s="15" t="s">
        <v>71</v>
      </c>
      <c r="E646" s="15" t="s">
        <v>202</v>
      </c>
      <c r="F646" s="15"/>
      <c r="G646" s="74">
        <f>G647</f>
        <v>0</v>
      </c>
      <c r="H646" s="74">
        <f t="shared" ref="H646:I646" si="154">H647</f>
        <v>0</v>
      </c>
      <c r="I646" s="74">
        <f t="shared" si="154"/>
        <v>0</v>
      </c>
    </row>
    <row r="647" spans="1:9" ht="36" hidden="1" customHeight="1">
      <c r="A647" s="16" t="s">
        <v>639</v>
      </c>
      <c r="B647" s="15" t="s">
        <v>97</v>
      </c>
      <c r="C647" s="15" t="s">
        <v>26</v>
      </c>
      <c r="D647" s="15" t="s">
        <v>71</v>
      </c>
      <c r="E647" s="15" t="s">
        <v>567</v>
      </c>
      <c r="F647" s="15"/>
      <c r="G647" s="74">
        <f>G648</f>
        <v>0</v>
      </c>
      <c r="H647" s="74">
        <f>H648+H650</f>
        <v>0</v>
      </c>
      <c r="I647" s="74">
        <f>I648+I650</f>
        <v>0</v>
      </c>
    </row>
    <row r="648" spans="1:9" ht="25.5" hidden="1">
      <c r="A648" s="16" t="s">
        <v>30</v>
      </c>
      <c r="B648" s="15" t="s">
        <v>97</v>
      </c>
      <c r="C648" s="15" t="s">
        <v>26</v>
      </c>
      <c r="D648" s="15" t="s">
        <v>71</v>
      </c>
      <c r="E648" s="15" t="s">
        <v>567</v>
      </c>
      <c r="F648" s="15" t="s">
        <v>31</v>
      </c>
      <c r="G648" s="74">
        <f>G649</f>
        <v>0</v>
      </c>
      <c r="H648" s="74">
        <f>H649</f>
        <v>0</v>
      </c>
      <c r="I648" s="74">
        <f>I649</f>
        <v>0</v>
      </c>
    </row>
    <row r="649" spans="1:9" ht="19.5" hidden="1" customHeight="1">
      <c r="A649" s="16" t="s">
        <v>32</v>
      </c>
      <c r="B649" s="15" t="s">
        <v>97</v>
      </c>
      <c r="C649" s="15" t="s">
        <v>26</v>
      </c>
      <c r="D649" s="15" t="s">
        <v>71</v>
      </c>
      <c r="E649" s="15" t="s">
        <v>567</v>
      </c>
      <c r="F649" s="15" t="s">
        <v>33</v>
      </c>
      <c r="G649" s="74"/>
      <c r="H649" s="74"/>
      <c r="I649" s="74"/>
    </row>
    <row r="650" spans="1:9" ht="47.25" hidden="1" customHeight="1">
      <c r="A650" s="16" t="s">
        <v>476</v>
      </c>
      <c r="B650" s="15" t="s">
        <v>97</v>
      </c>
      <c r="C650" s="15" t="s">
        <v>26</v>
      </c>
      <c r="D650" s="15" t="s">
        <v>71</v>
      </c>
      <c r="E650" s="15" t="s">
        <v>475</v>
      </c>
      <c r="F650" s="15"/>
      <c r="G650" s="74">
        <f>G651</f>
        <v>0</v>
      </c>
      <c r="H650" s="74">
        <f>H651</f>
        <v>0</v>
      </c>
      <c r="I650" s="74">
        <f>I651</f>
        <v>0</v>
      </c>
    </row>
    <row r="651" spans="1:9" ht="74.25" hidden="1" customHeight="1">
      <c r="A651" s="16" t="s">
        <v>633</v>
      </c>
      <c r="B651" s="15" t="s">
        <v>97</v>
      </c>
      <c r="C651" s="15" t="s">
        <v>26</v>
      </c>
      <c r="D651" s="15" t="s">
        <v>71</v>
      </c>
      <c r="E651" s="15" t="s">
        <v>632</v>
      </c>
      <c r="F651" s="15"/>
      <c r="G651" s="74">
        <f>G652</f>
        <v>0</v>
      </c>
      <c r="H651" s="74">
        <f t="shared" ref="H651:I652" si="155">H652</f>
        <v>0</v>
      </c>
      <c r="I651" s="74">
        <f t="shared" si="155"/>
        <v>0</v>
      </c>
    </row>
    <row r="652" spans="1:9" ht="31.5" hidden="1" customHeight="1">
      <c r="A652" s="16" t="s">
        <v>30</v>
      </c>
      <c r="B652" s="15" t="s">
        <v>97</v>
      </c>
      <c r="C652" s="15" t="s">
        <v>26</v>
      </c>
      <c r="D652" s="15" t="s">
        <v>71</v>
      </c>
      <c r="E652" s="15" t="s">
        <v>632</v>
      </c>
      <c r="F652" s="15" t="s">
        <v>31</v>
      </c>
      <c r="G652" s="74">
        <f>G653</f>
        <v>0</v>
      </c>
      <c r="H652" s="74">
        <f t="shared" si="155"/>
        <v>0</v>
      </c>
      <c r="I652" s="74">
        <f t="shared" si="155"/>
        <v>0</v>
      </c>
    </row>
    <row r="653" spans="1:9" ht="17.25" hidden="1" customHeight="1">
      <c r="A653" s="16" t="s">
        <v>32</v>
      </c>
      <c r="B653" s="15" t="s">
        <v>97</v>
      </c>
      <c r="C653" s="15" t="s">
        <v>26</v>
      </c>
      <c r="D653" s="15" t="s">
        <v>71</v>
      </c>
      <c r="E653" s="15" t="s">
        <v>632</v>
      </c>
      <c r="F653" s="15" t="s">
        <v>33</v>
      </c>
      <c r="G653" s="74"/>
      <c r="H653" s="118"/>
      <c r="I653" s="118"/>
    </row>
    <row r="654" spans="1:9" s="28" customFormat="1" ht="28.5" hidden="1" customHeight="1">
      <c r="A654" s="37"/>
      <c r="B654" s="14"/>
      <c r="C654" s="15"/>
      <c r="D654" s="15"/>
      <c r="E654" s="15"/>
      <c r="F654" s="15"/>
      <c r="G654" s="74"/>
      <c r="H654" s="74"/>
      <c r="I654" s="74"/>
    </row>
    <row r="655" spans="1:9" s="28" customFormat="1" ht="27.75" hidden="1" customHeight="1">
      <c r="A655" s="37"/>
      <c r="B655" s="14"/>
      <c r="C655" s="15"/>
      <c r="D655" s="15"/>
      <c r="E655" s="15"/>
      <c r="F655" s="15"/>
      <c r="G655" s="74"/>
      <c r="H655" s="74"/>
      <c r="I655" s="74"/>
    </row>
    <row r="656" spans="1:9" s="32" customFormat="1" ht="28.5" hidden="1" customHeight="1">
      <c r="A656" s="16"/>
      <c r="B656" s="14"/>
      <c r="C656" s="15"/>
      <c r="D656" s="15"/>
      <c r="E656" s="15"/>
      <c r="F656" s="15"/>
      <c r="G656" s="74"/>
      <c r="H656" s="74"/>
      <c r="I656" s="74"/>
    </row>
    <row r="657" spans="1:10" s="32" customFormat="1" hidden="1">
      <c r="A657" s="16"/>
      <c r="B657" s="14"/>
      <c r="C657" s="15"/>
      <c r="D657" s="15"/>
      <c r="E657" s="15"/>
      <c r="F657" s="15"/>
      <c r="G657" s="74"/>
      <c r="H657" s="74"/>
      <c r="I657" s="74"/>
      <c r="J657" s="31"/>
    </row>
    <row r="658" spans="1:10" s="28" customFormat="1" ht="28.5" customHeight="1">
      <c r="A658" s="37" t="s">
        <v>503</v>
      </c>
      <c r="B658" s="15" t="s">
        <v>97</v>
      </c>
      <c r="C658" s="15" t="s">
        <v>26</v>
      </c>
      <c r="D658" s="15" t="s">
        <v>71</v>
      </c>
      <c r="E658" s="15" t="s">
        <v>202</v>
      </c>
      <c r="F658" s="15"/>
      <c r="G658" s="74">
        <f>G659+G662</f>
        <v>3027972</v>
      </c>
      <c r="H658" s="74">
        <f>H659</f>
        <v>0</v>
      </c>
      <c r="I658" s="74">
        <f>I659</f>
        <v>0</v>
      </c>
    </row>
    <row r="659" spans="1:10" s="28" customFormat="1" ht="27.75" hidden="1" customHeight="1">
      <c r="A659" s="37" t="s">
        <v>728</v>
      </c>
      <c r="B659" s="15" t="s">
        <v>97</v>
      </c>
      <c r="C659" s="15" t="s">
        <v>26</v>
      </c>
      <c r="D659" s="15" t="s">
        <v>71</v>
      </c>
      <c r="E659" s="15" t="s">
        <v>727</v>
      </c>
      <c r="F659" s="15"/>
      <c r="G659" s="74">
        <f>G660</f>
        <v>0</v>
      </c>
      <c r="H659" s="74">
        <f t="shared" ref="H659:I659" si="156">H660</f>
        <v>0</v>
      </c>
      <c r="I659" s="74">
        <f t="shared" si="156"/>
        <v>0</v>
      </c>
    </row>
    <row r="660" spans="1:10" s="32" customFormat="1" ht="28.5" hidden="1" customHeight="1">
      <c r="A660" s="16" t="s">
        <v>30</v>
      </c>
      <c r="B660" s="15" t="s">
        <v>97</v>
      </c>
      <c r="C660" s="15" t="s">
        <v>26</v>
      </c>
      <c r="D660" s="15" t="s">
        <v>71</v>
      </c>
      <c r="E660" s="15" t="s">
        <v>727</v>
      </c>
      <c r="F660" s="15" t="s">
        <v>31</v>
      </c>
      <c r="G660" s="74">
        <f>G661</f>
        <v>0</v>
      </c>
      <c r="H660" s="74">
        <f>H661</f>
        <v>0</v>
      </c>
      <c r="I660" s="74">
        <f>I661</f>
        <v>0</v>
      </c>
    </row>
    <row r="661" spans="1:10" s="32" customFormat="1" hidden="1">
      <c r="A661" s="16" t="s">
        <v>32</v>
      </c>
      <c r="B661" s="15" t="s">
        <v>97</v>
      </c>
      <c r="C661" s="15" t="s">
        <v>26</v>
      </c>
      <c r="D661" s="15" t="s">
        <v>71</v>
      </c>
      <c r="E661" s="15" t="s">
        <v>727</v>
      </c>
      <c r="F661" s="15" t="s">
        <v>33</v>
      </c>
      <c r="G661" s="74"/>
      <c r="H661" s="74">
        <v>0</v>
      </c>
      <c r="I661" s="74">
        <v>0</v>
      </c>
      <c r="J661" s="31">
        <f>J668-G668</f>
        <v>-6094180.6399999997</v>
      </c>
    </row>
    <row r="662" spans="1:10" s="28" customFormat="1" ht="27.75" customHeight="1">
      <c r="A662" s="37" t="s">
        <v>639</v>
      </c>
      <c r="B662" s="15" t="s">
        <v>97</v>
      </c>
      <c r="C662" s="15" t="s">
        <v>26</v>
      </c>
      <c r="D662" s="15" t="s">
        <v>71</v>
      </c>
      <c r="E662" s="15" t="s">
        <v>567</v>
      </c>
      <c r="F662" s="15"/>
      <c r="G662" s="74">
        <f>G663</f>
        <v>3027972</v>
      </c>
      <c r="H662" s="74">
        <f t="shared" ref="H662:I662" si="157">H663</f>
        <v>0</v>
      </c>
      <c r="I662" s="74">
        <f t="shared" si="157"/>
        <v>0</v>
      </c>
    </row>
    <row r="663" spans="1:10" s="32" customFormat="1" ht="28.5" customHeight="1">
      <c r="A663" s="16" t="s">
        <v>30</v>
      </c>
      <c r="B663" s="15" t="s">
        <v>97</v>
      </c>
      <c r="C663" s="15" t="s">
        <v>26</v>
      </c>
      <c r="D663" s="15" t="s">
        <v>71</v>
      </c>
      <c r="E663" s="15" t="s">
        <v>567</v>
      </c>
      <c r="F663" s="15" t="s">
        <v>31</v>
      </c>
      <c r="G663" s="74">
        <f>G664</f>
        <v>3027972</v>
      </c>
      <c r="H663" s="74">
        <f>H664</f>
        <v>0</v>
      </c>
      <c r="I663" s="74">
        <f>I664</f>
        <v>0</v>
      </c>
    </row>
    <row r="664" spans="1:10" s="32" customFormat="1">
      <c r="A664" s="16" t="s">
        <v>32</v>
      </c>
      <c r="B664" s="15" t="s">
        <v>97</v>
      </c>
      <c r="C664" s="15" t="s">
        <v>26</v>
      </c>
      <c r="D664" s="15" t="s">
        <v>71</v>
      </c>
      <c r="E664" s="15" t="s">
        <v>567</v>
      </c>
      <c r="F664" s="15" t="s">
        <v>33</v>
      </c>
      <c r="G664" s="74">
        <v>3027972</v>
      </c>
      <c r="H664" s="74">
        <v>0</v>
      </c>
      <c r="I664" s="74">
        <v>0</v>
      </c>
      <c r="J664" s="31">
        <f>J671-G671</f>
        <v>-4922960.71</v>
      </c>
    </row>
    <row r="665" spans="1:10" s="240" customFormat="1" ht="30.75" customHeight="1">
      <c r="A665" s="37" t="s">
        <v>280</v>
      </c>
      <c r="B665" s="247">
        <v>774</v>
      </c>
      <c r="C665" s="15" t="s">
        <v>26</v>
      </c>
      <c r="D665" s="15" t="s">
        <v>71</v>
      </c>
      <c r="E665" s="15" t="s">
        <v>591</v>
      </c>
      <c r="F665" s="15"/>
      <c r="G665" s="74">
        <f>G666</f>
        <v>333208.2</v>
      </c>
      <c r="H665" s="239">
        <v>0</v>
      </c>
      <c r="I665" s="239">
        <v>0</v>
      </c>
    </row>
    <row r="666" spans="1:10" ht="25.5">
      <c r="A666" s="16" t="s">
        <v>30</v>
      </c>
      <c r="B666" s="15" t="s">
        <v>97</v>
      </c>
      <c r="C666" s="15" t="s">
        <v>26</v>
      </c>
      <c r="D666" s="15" t="s">
        <v>71</v>
      </c>
      <c r="E666" s="15" t="s">
        <v>592</v>
      </c>
      <c r="F666" s="15" t="s">
        <v>31</v>
      </c>
      <c r="G666" s="89">
        <f t="shared" ref="G666:I666" si="158">G667</f>
        <v>333208.2</v>
      </c>
      <c r="H666" s="8">
        <f t="shared" si="158"/>
        <v>0</v>
      </c>
      <c r="I666" s="8">
        <f t="shared" si="158"/>
        <v>0</v>
      </c>
    </row>
    <row r="667" spans="1:10">
      <c r="A667" s="16" t="s">
        <v>32</v>
      </c>
      <c r="B667" s="15" t="s">
        <v>97</v>
      </c>
      <c r="C667" s="15" t="s">
        <v>26</v>
      </c>
      <c r="D667" s="15" t="s">
        <v>71</v>
      </c>
      <c r="E667" s="15" t="s">
        <v>592</v>
      </c>
      <c r="F667" s="15" t="s">
        <v>33</v>
      </c>
      <c r="G667" s="89">
        <v>333208.2</v>
      </c>
      <c r="H667" s="8">
        <v>0</v>
      </c>
      <c r="I667" s="8">
        <v>0</v>
      </c>
    </row>
    <row r="668" spans="1:10">
      <c r="A668" s="86" t="s">
        <v>291</v>
      </c>
      <c r="B668" s="15" t="s">
        <v>97</v>
      </c>
      <c r="C668" s="15" t="s">
        <v>26</v>
      </c>
      <c r="D668" s="15" t="s">
        <v>26</v>
      </c>
      <c r="E668" s="15"/>
      <c r="F668" s="15"/>
      <c r="G668" s="74">
        <f>G669+G710</f>
        <v>6094180.6399999997</v>
      </c>
      <c r="H668" s="74">
        <f>H669+H710</f>
        <v>5585650.71</v>
      </c>
      <c r="I668" s="74">
        <f>I669+I710</f>
        <v>5587650.7000000002</v>
      </c>
    </row>
    <row r="669" spans="1:10" s="28" customFormat="1" ht="25.5">
      <c r="A669" s="86" t="s">
        <v>496</v>
      </c>
      <c r="B669" s="15" t="s">
        <v>97</v>
      </c>
      <c r="C669" s="15" t="s">
        <v>26</v>
      </c>
      <c r="D669" s="15" t="s">
        <v>26</v>
      </c>
      <c r="E669" s="15" t="s">
        <v>196</v>
      </c>
      <c r="F669" s="39"/>
      <c r="G669" s="74">
        <f>G670+G685</f>
        <v>5935490.6399999997</v>
      </c>
      <c r="H669" s="74">
        <f t="shared" ref="H669:I669" si="159">H670</f>
        <v>5422960.71</v>
      </c>
      <c r="I669" s="74">
        <f t="shared" si="159"/>
        <v>5422960.7000000002</v>
      </c>
    </row>
    <row r="670" spans="1:10" s="18" customFormat="1" ht="21.75" customHeight="1">
      <c r="A670" s="203" t="s">
        <v>123</v>
      </c>
      <c r="B670" s="15" t="s">
        <v>97</v>
      </c>
      <c r="C670" s="15" t="s">
        <v>26</v>
      </c>
      <c r="D670" s="15" t="s">
        <v>26</v>
      </c>
      <c r="E670" s="15" t="s">
        <v>197</v>
      </c>
      <c r="F670" s="15"/>
      <c r="G670" s="74">
        <f>G671+G676+G686+G679+G682+G692+G700+G705+G697</f>
        <v>5935490.6399999997</v>
      </c>
      <c r="H670" s="74">
        <f t="shared" ref="H670:I670" si="160">H671+H676+H686+H679+H682</f>
        <v>5422960.71</v>
      </c>
      <c r="I670" s="74">
        <f t="shared" si="160"/>
        <v>5422960.7000000002</v>
      </c>
    </row>
    <row r="671" spans="1:10" s="18" customFormat="1" ht="52.5" customHeight="1">
      <c r="A671" s="203" t="s">
        <v>131</v>
      </c>
      <c r="B671" s="15" t="s">
        <v>97</v>
      </c>
      <c r="C671" s="15" t="s">
        <v>26</v>
      </c>
      <c r="D671" s="15" t="s">
        <v>26</v>
      </c>
      <c r="E671" s="15" t="s">
        <v>198</v>
      </c>
      <c r="F671" s="15"/>
      <c r="G671" s="74">
        <f>G672+G674</f>
        <v>4922960.71</v>
      </c>
      <c r="H671" s="74">
        <f>H672+H674</f>
        <v>4922960.71</v>
      </c>
      <c r="I671" s="74">
        <f>I672+I674</f>
        <v>4922960.7</v>
      </c>
    </row>
    <row r="672" spans="1:10" s="18" customFormat="1" ht="25.5" hidden="1">
      <c r="A672" s="86" t="s">
        <v>36</v>
      </c>
      <c r="B672" s="15" t="s">
        <v>97</v>
      </c>
      <c r="C672" s="15" t="s">
        <v>26</v>
      </c>
      <c r="D672" s="15" t="s">
        <v>26</v>
      </c>
      <c r="E672" s="15" t="s">
        <v>141</v>
      </c>
      <c r="F672" s="15" t="s">
        <v>37</v>
      </c>
      <c r="G672" s="74">
        <f>G673</f>
        <v>0</v>
      </c>
      <c r="H672" s="74">
        <f>H673</f>
        <v>0</v>
      </c>
      <c r="I672" s="74">
        <f>I673</f>
        <v>0</v>
      </c>
    </row>
    <row r="673" spans="1:9" s="18" customFormat="1" ht="25.5" hidden="1">
      <c r="A673" s="86" t="s">
        <v>38</v>
      </c>
      <c r="B673" s="15" t="s">
        <v>97</v>
      </c>
      <c r="C673" s="15" t="s">
        <v>26</v>
      </c>
      <c r="D673" s="15" t="s">
        <v>26</v>
      </c>
      <c r="E673" s="15" t="s">
        <v>141</v>
      </c>
      <c r="F673" s="15" t="s">
        <v>39</v>
      </c>
      <c r="G673" s="74"/>
      <c r="H673" s="74"/>
      <c r="I673" s="74"/>
    </row>
    <row r="674" spans="1:9" s="18" customFormat="1" ht="25.5">
      <c r="A674" s="86" t="s">
        <v>30</v>
      </c>
      <c r="B674" s="15" t="s">
        <v>97</v>
      </c>
      <c r="C674" s="15" t="s">
        <v>26</v>
      </c>
      <c r="D674" s="15" t="s">
        <v>26</v>
      </c>
      <c r="E674" s="15" t="s">
        <v>198</v>
      </c>
      <c r="F674" s="15" t="s">
        <v>31</v>
      </c>
      <c r="G674" s="74">
        <f>G675</f>
        <v>4922960.71</v>
      </c>
      <c r="H674" s="74">
        <f>H675</f>
        <v>4922960.71</v>
      </c>
      <c r="I674" s="74">
        <f>I675</f>
        <v>4922960.7</v>
      </c>
    </row>
    <row r="675" spans="1:9" s="18" customFormat="1" ht="13.5" customHeight="1">
      <c r="A675" s="86" t="s">
        <v>32</v>
      </c>
      <c r="B675" s="15" t="s">
        <v>97</v>
      </c>
      <c r="C675" s="15" t="s">
        <v>26</v>
      </c>
      <c r="D675" s="15" t="s">
        <v>26</v>
      </c>
      <c r="E675" s="15" t="s">
        <v>198</v>
      </c>
      <c r="F675" s="15" t="s">
        <v>33</v>
      </c>
      <c r="G675" s="74">
        <v>4922960.71</v>
      </c>
      <c r="H675" s="74">
        <v>4922960.71</v>
      </c>
      <c r="I675" s="74">
        <v>4922960.7</v>
      </c>
    </row>
    <row r="676" spans="1:9" s="18" customFormat="1" ht="61.5" customHeight="1">
      <c r="A676" s="203" t="s">
        <v>362</v>
      </c>
      <c r="B676" s="15" t="s">
        <v>97</v>
      </c>
      <c r="C676" s="15" t="s">
        <v>26</v>
      </c>
      <c r="D676" s="15" t="s">
        <v>26</v>
      </c>
      <c r="E676" s="15" t="s">
        <v>199</v>
      </c>
      <c r="F676" s="15"/>
      <c r="G676" s="74">
        <f>G677</f>
        <v>422529.93</v>
      </c>
      <c r="H676" s="74">
        <f t="shared" ref="H676:I676" si="161">H677</f>
        <v>500000</v>
      </c>
      <c r="I676" s="74">
        <f t="shared" si="161"/>
        <v>500000</v>
      </c>
    </row>
    <row r="677" spans="1:9" s="18" customFormat="1" ht="25.5">
      <c r="A677" s="16" t="s">
        <v>30</v>
      </c>
      <c r="B677" s="15" t="s">
        <v>97</v>
      </c>
      <c r="C677" s="15" t="s">
        <v>26</v>
      </c>
      <c r="D677" s="15" t="s">
        <v>26</v>
      </c>
      <c r="E677" s="15" t="s">
        <v>199</v>
      </c>
      <c r="F677" s="15" t="s">
        <v>31</v>
      </c>
      <c r="G677" s="74">
        <f>G678</f>
        <v>422529.93</v>
      </c>
      <c r="H677" s="74">
        <f>H678</f>
        <v>500000</v>
      </c>
      <c r="I677" s="74">
        <f>I678</f>
        <v>500000</v>
      </c>
    </row>
    <row r="678" spans="1:9" s="18" customFormat="1">
      <c r="A678" s="16" t="s">
        <v>32</v>
      </c>
      <c r="B678" s="15" t="s">
        <v>97</v>
      </c>
      <c r="C678" s="15" t="s">
        <v>26</v>
      </c>
      <c r="D678" s="15" t="s">
        <v>26</v>
      </c>
      <c r="E678" s="15" t="s">
        <v>199</v>
      </c>
      <c r="F678" s="15" t="s">
        <v>33</v>
      </c>
      <c r="G678" s="74">
        <v>422529.93</v>
      </c>
      <c r="H678" s="74">
        <v>500000</v>
      </c>
      <c r="I678" s="74">
        <v>500000</v>
      </c>
    </row>
    <row r="679" spans="1:9" s="18" customFormat="1" ht="25.5" hidden="1">
      <c r="A679" s="16" t="s">
        <v>675</v>
      </c>
      <c r="B679" s="15" t="s">
        <v>97</v>
      </c>
      <c r="C679" s="15" t="s">
        <v>26</v>
      </c>
      <c r="D679" s="15" t="s">
        <v>26</v>
      </c>
      <c r="E679" s="15" t="s">
        <v>674</v>
      </c>
      <c r="F679" s="15"/>
      <c r="G679" s="74">
        <f>G680</f>
        <v>0</v>
      </c>
      <c r="H679" s="74">
        <f>H680</f>
        <v>0</v>
      </c>
      <c r="I679" s="74">
        <f>I680</f>
        <v>0</v>
      </c>
    </row>
    <row r="680" spans="1:9" s="18" customFormat="1" ht="25.5" hidden="1">
      <c r="A680" s="16" t="s">
        <v>30</v>
      </c>
      <c r="B680" s="15" t="s">
        <v>97</v>
      </c>
      <c r="C680" s="15" t="s">
        <v>26</v>
      </c>
      <c r="D680" s="15" t="s">
        <v>26</v>
      </c>
      <c r="E680" s="15" t="s">
        <v>674</v>
      </c>
      <c r="F680" s="15" t="s">
        <v>31</v>
      </c>
      <c r="G680" s="74">
        <f>G681</f>
        <v>0</v>
      </c>
      <c r="H680" s="74"/>
      <c r="I680" s="74"/>
    </row>
    <row r="681" spans="1:9" s="18" customFormat="1" hidden="1">
      <c r="A681" s="16" t="s">
        <v>32</v>
      </c>
      <c r="B681" s="15" t="s">
        <v>97</v>
      </c>
      <c r="C681" s="15" t="s">
        <v>26</v>
      </c>
      <c r="D681" s="15" t="s">
        <v>26</v>
      </c>
      <c r="E681" s="15" t="s">
        <v>674</v>
      </c>
      <c r="F681" s="15" t="s">
        <v>33</v>
      </c>
      <c r="G681" s="74"/>
      <c r="H681" s="74">
        <f>H682</f>
        <v>0</v>
      </c>
      <c r="I681" s="74">
        <f>I682</f>
        <v>0</v>
      </c>
    </row>
    <row r="682" spans="1:9" s="18" customFormat="1" ht="51" hidden="1">
      <c r="A682" s="16" t="s">
        <v>439</v>
      </c>
      <c r="B682" s="15" t="s">
        <v>97</v>
      </c>
      <c r="C682" s="15" t="s">
        <v>26</v>
      </c>
      <c r="D682" s="15" t="s">
        <v>26</v>
      </c>
      <c r="E682" s="15" t="s">
        <v>438</v>
      </c>
      <c r="F682" s="15"/>
      <c r="G682" s="74">
        <f>G683</f>
        <v>0</v>
      </c>
      <c r="H682" s="74"/>
      <c r="I682" s="74"/>
    </row>
    <row r="683" spans="1:9" s="18" customFormat="1" ht="25.5" hidden="1">
      <c r="A683" s="16" t="s">
        <v>30</v>
      </c>
      <c r="B683" s="15" t="s">
        <v>97</v>
      </c>
      <c r="C683" s="15" t="s">
        <v>26</v>
      </c>
      <c r="D683" s="15" t="s">
        <v>26</v>
      </c>
      <c r="E683" s="15" t="s">
        <v>438</v>
      </c>
      <c r="F683" s="15" t="s">
        <v>31</v>
      </c>
      <c r="G683" s="74">
        <f>G684</f>
        <v>0</v>
      </c>
      <c r="H683" s="74">
        <f>H684</f>
        <v>0</v>
      </c>
      <c r="I683" s="74">
        <f>I684</f>
        <v>0</v>
      </c>
    </row>
    <row r="684" spans="1:9" s="18" customFormat="1" hidden="1">
      <c r="A684" s="16" t="s">
        <v>32</v>
      </c>
      <c r="B684" s="15" t="s">
        <v>97</v>
      </c>
      <c r="C684" s="15" t="s">
        <v>26</v>
      </c>
      <c r="D684" s="15" t="s">
        <v>26</v>
      </c>
      <c r="E684" s="15" t="s">
        <v>438</v>
      </c>
      <c r="F684" s="15" t="s">
        <v>33</v>
      </c>
      <c r="G684" s="74"/>
      <c r="H684" s="74"/>
      <c r="I684" s="74"/>
    </row>
    <row r="685" spans="1:9" s="3" customFormat="1" ht="25.5" hidden="1">
      <c r="A685" s="16" t="s">
        <v>0</v>
      </c>
      <c r="B685" s="14">
        <v>774</v>
      </c>
      <c r="C685" s="15" t="s">
        <v>26</v>
      </c>
      <c r="D685" s="15" t="s">
        <v>26</v>
      </c>
      <c r="E685" s="15" t="s">
        <v>225</v>
      </c>
      <c r="F685" s="15"/>
      <c r="G685" s="74"/>
      <c r="H685" s="74"/>
      <c r="I685" s="74"/>
    </row>
    <row r="686" spans="1:9" s="3" customFormat="1" ht="38.25" hidden="1">
      <c r="A686" s="16" t="s">
        <v>552</v>
      </c>
      <c r="B686" s="14">
        <v>774</v>
      </c>
      <c r="C686" s="15" t="s">
        <v>26</v>
      </c>
      <c r="D686" s="15" t="s">
        <v>26</v>
      </c>
      <c r="E686" s="15" t="s">
        <v>585</v>
      </c>
      <c r="F686" s="15"/>
      <c r="G686" s="74">
        <f t="shared" ref="G686:I690" si="162">G687</f>
        <v>0</v>
      </c>
      <c r="H686" s="74">
        <f t="shared" si="162"/>
        <v>0</v>
      </c>
      <c r="I686" s="74">
        <f t="shared" si="162"/>
        <v>0</v>
      </c>
    </row>
    <row r="687" spans="1:9" s="3" customFormat="1" ht="25.5" hidden="1">
      <c r="A687" s="16" t="s">
        <v>30</v>
      </c>
      <c r="B687" s="14">
        <v>774</v>
      </c>
      <c r="C687" s="15" t="s">
        <v>26</v>
      </c>
      <c r="D687" s="15" t="s">
        <v>26</v>
      </c>
      <c r="E687" s="15" t="s">
        <v>585</v>
      </c>
      <c r="F687" s="15" t="s">
        <v>31</v>
      </c>
      <c r="G687" s="74">
        <f t="shared" si="162"/>
        <v>0</v>
      </c>
      <c r="H687" s="74">
        <f t="shared" si="162"/>
        <v>0</v>
      </c>
      <c r="I687" s="74">
        <f t="shared" si="162"/>
        <v>0</v>
      </c>
    </row>
    <row r="688" spans="1:9" s="3" customFormat="1" hidden="1">
      <c r="A688" s="16" t="s">
        <v>32</v>
      </c>
      <c r="B688" s="14">
        <v>774</v>
      </c>
      <c r="C688" s="15" t="s">
        <v>26</v>
      </c>
      <c r="D688" s="15" t="s">
        <v>26</v>
      </c>
      <c r="E688" s="15" t="s">
        <v>585</v>
      </c>
      <c r="F688" s="15" t="s">
        <v>33</v>
      </c>
      <c r="G688" s="74"/>
      <c r="H688" s="74"/>
      <c r="I688" s="74"/>
    </row>
    <row r="689" spans="1:9" s="3" customFormat="1" ht="25.5" hidden="1">
      <c r="A689" s="16" t="s">
        <v>308</v>
      </c>
      <c r="B689" s="14">
        <v>774</v>
      </c>
      <c r="C689" s="15" t="s">
        <v>26</v>
      </c>
      <c r="D689" s="15" t="s">
        <v>26</v>
      </c>
      <c r="E689" s="15" t="s">
        <v>606</v>
      </c>
      <c r="F689" s="15"/>
      <c r="G689" s="74">
        <f t="shared" si="162"/>
        <v>0</v>
      </c>
      <c r="H689" s="74">
        <f t="shared" si="162"/>
        <v>0</v>
      </c>
      <c r="I689" s="74">
        <f t="shared" si="162"/>
        <v>0</v>
      </c>
    </row>
    <row r="690" spans="1:9" s="3" customFormat="1" ht="25.5" hidden="1">
      <c r="A690" s="16" t="s">
        <v>30</v>
      </c>
      <c r="B690" s="14">
        <v>774</v>
      </c>
      <c r="C690" s="15" t="s">
        <v>26</v>
      </c>
      <c r="D690" s="15" t="s">
        <v>26</v>
      </c>
      <c r="E690" s="15" t="s">
        <v>606</v>
      </c>
      <c r="F690" s="15" t="s">
        <v>31</v>
      </c>
      <c r="G690" s="74">
        <f t="shared" si="162"/>
        <v>0</v>
      </c>
      <c r="H690" s="74">
        <f t="shared" si="162"/>
        <v>0</v>
      </c>
      <c r="I690" s="74">
        <f t="shared" si="162"/>
        <v>0</v>
      </c>
    </row>
    <row r="691" spans="1:9" s="3" customFormat="1" hidden="1">
      <c r="A691" s="16" t="s">
        <v>32</v>
      </c>
      <c r="B691" s="14">
        <v>774</v>
      </c>
      <c r="C691" s="15" t="s">
        <v>26</v>
      </c>
      <c r="D691" s="15" t="s">
        <v>26</v>
      </c>
      <c r="E691" s="15" t="s">
        <v>606</v>
      </c>
      <c r="F691" s="15" t="s">
        <v>33</v>
      </c>
      <c r="G691" s="74"/>
      <c r="H691" s="74">
        <v>0</v>
      </c>
      <c r="I691" s="74">
        <v>0</v>
      </c>
    </row>
    <row r="692" spans="1:9" s="18" customFormat="1" ht="52.5" hidden="1" customHeight="1">
      <c r="A692" s="203" t="s">
        <v>801</v>
      </c>
      <c r="B692" s="15" t="s">
        <v>97</v>
      </c>
      <c r="C692" s="15" t="s">
        <v>26</v>
      </c>
      <c r="D692" s="15" t="s">
        <v>26</v>
      </c>
      <c r="E692" s="15" t="s">
        <v>800</v>
      </c>
      <c r="F692" s="15"/>
      <c r="G692" s="74">
        <f>G693+G695</f>
        <v>0</v>
      </c>
      <c r="H692" s="74">
        <f>H693+H695</f>
        <v>0</v>
      </c>
      <c r="I692" s="74">
        <f>I693+I695</f>
        <v>0</v>
      </c>
    </row>
    <row r="693" spans="1:9" s="18" customFormat="1" ht="25.5" hidden="1">
      <c r="A693" s="86" t="s">
        <v>36</v>
      </c>
      <c r="B693" s="15" t="s">
        <v>97</v>
      </c>
      <c r="C693" s="15" t="s">
        <v>26</v>
      </c>
      <c r="D693" s="15" t="s">
        <v>26</v>
      </c>
      <c r="E693" s="15" t="s">
        <v>141</v>
      </c>
      <c r="F693" s="15" t="s">
        <v>37</v>
      </c>
      <c r="G693" s="74">
        <f>G694</f>
        <v>0</v>
      </c>
      <c r="H693" s="74">
        <f>H694</f>
        <v>0</v>
      </c>
      <c r="I693" s="74">
        <f>I694</f>
        <v>0</v>
      </c>
    </row>
    <row r="694" spans="1:9" s="18" customFormat="1" ht="25.5" hidden="1">
      <c r="A694" s="86" t="s">
        <v>38</v>
      </c>
      <c r="B694" s="15" t="s">
        <v>97</v>
      </c>
      <c r="C694" s="15" t="s">
        <v>26</v>
      </c>
      <c r="D694" s="15" t="s">
        <v>26</v>
      </c>
      <c r="E694" s="15" t="s">
        <v>141</v>
      </c>
      <c r="F694" s="15" t="s">
        <v>39</v>
      </c>
      <c r="G694" s="74"/>
      <c r="H694" s="74"/>
      <c r="I694" s="74"/>
    </row>
    <row r="695" spans="1:9" s="18" customFormat="1" hidden="1">
      <c r="A695" s="86" t="s">
        <v>64</v>
      </c>
      <c r="B695" s="15" t="s">
        <v>97</v>
      </c>
      <c r="C695" s="15" t="s">
        <v>26</v>
      </c>
      <c r="D695" s="15" t="s">
        <v>26</v>
      </c>
      <c r="E695" s="15" t="s">
        <v>800</v>
      </c>
      <c r="F695" s="15" t="s">
        <v>65</v>
      </c>
      <c r="G695" s="74">
        <f>G696</f>
        <v>0</v>
      </c>
      <c r="H695" s="74">
        <f>H696</f>
        <v>0</v>
      </c>
      <c r="I695" s="74">
        <f>I696</f>
        <v>0</v>
      </c>
    </row>
    <row r="696" spans="1:9" s="18" customFormat="1" ht="13.5" hidden="1" customHeight="1">
      <c r="A696" s="86" t="s">
        <v>187</v>
      </c>
      <c r="B696" s="15" t="s">
        <v>97</v>
      </c>
      <c r="C696" s="15" t="s">
        <v>26</v>
      </c>
      <c r="D696" s="15" t="s">
        <v>26</v>
      </c>
      <c r="E696" s="15" t="s">
        <v>800</v>
      </c>
      <c r="F696" s="15" t="s">
        <v>188</v>
      </c>
      <c r="G696" s="74">
        <f>1308000-1308000</f>
        <v>0</v>
      </c>
      <c r="H696" s="74"/>
      <c r="I696" s="74"/>
    </row>
    <row r="697" spans="1:9" s="18" customFormat="1" ht="61.5" customHeight="1">
      <c r="A697" s="203" t="s">
        <v>439</v>
      </c>
      <c r="B697" s="15" t="s">
        <v>97</v>
      </c>
      <c r="C697" s="15" t="s">
        <v>26</v>
      </c>
      <c r="D697" s="15" t="s">
        <v>26</v>
      </c>
      <c r="E697" s="15" t="s">
        <v>438</v>
      </c>
      <c r="F697" s="15"/>
      <c r="G697" s="74">
        <f>G698</f>
        <v>390000</v>
      </c>
      <c r="H697" s="74">
        <f t="shared" ref="H697:I697" si="163">H698</f>
        <v>0</v>
      </c>
      <c r="I697" s="74">
        <f t="shared" si="163"/>
        <v>0</v>
      </c>
    </row>
    <row r="698" spans="1:9" s="18" customFormat="1" ht="25.5">
      <c r="A698" s="16" t="s">
        <v>30</v>
      </c>
      <c r="B698" s="15" t="s">
        <v>97</v>
      </c>
      <c r="C698" s="15" t="s">
        <v>26</v>
      </c>
      <c r="D698" s="15" t="s">
        <v>26</v>
      </c>
      <c r="E698" s="15" t="s">
        <v>438</v>
      </c>
      <c r="F698" s="15" t="s">
        <v>31</v>
      </c>
      <c r="G698" s="74">
        <f>G699</f>
        <v>390000</v>
      </c>
      <c r="H698" s="74">
        <f>H699</f>
        <v>0</v>
      </c>
      <c r="I698" s="74">
        <f>I699</f>
        <v>0</v>
      </c>
    </row>
    <row r="699" spans="1:9" s="18" customFormat="1">
      <c r="A699" s="16" t="s">
        <v>32</v>
      </c>
      <c r="B699" s="15" t="s">
        <v>97</v>
      </c>
      <c r="C699" s="15" t="s">
        <v>26</v>
      </c>
      <c r="D699" s="15" t="s">
        <v>26</v>
      </c>
      <c r="E699" s="15" t="s">
        <v>438</v>
      </c>
      <c r="F699" s="15" t="s">
        <v>33</v>
      </c>
      <c r="G699" s="74">
        <v>390000</v>
      </c>
      <c r="H699" s="74"/>
      <c r="I699" s="74"/>
    </row>
    <row r="700" spans="1:9" s="18" customFormat="1" ht="38.25" customHeight="1">
      <c r="A700" s="203" t="s">
        <v>803</v>
      </c>
      <c r="B700" s="15" t="s">
        <v>97</v>
      </c>
      <c r="C700" s="15" t="s">
        <v>26</v>
      </c>
      <c r="D700" s="15" t="s">
        <v>26</v>
      </c>
      <c r="E700" s="15" t="s">
        <v>802</v>
      </c>
      <c r="F700" s="15"/>
      <c r="G700" s="74">
        <f>G701+G703</f>
        <v>200000</v>
      </c>
      <c r="H700" s="74">
        <f>H701+H703</f>
        <v>0</v>
      </c>
      <c r="I700" s="74">
        <f>I701+I703</f>
        <v>0</v>
      </c>
    </row>
    <row r="701" spans="1:9" s="18" customFormat="1" ht="25.5" hidden="1">
      <c r="A701" s="86" t="s">
        <v>36</v>
      </c>
      <c r="B701" s="15" t="s">
        <v>97</v>
      </c>
      <c r="C701" s="15" t="s">
        <v>26</v>
      </c>
      <c r="D701" s="15" t="s">
        <v>26</v>
      </c>
      <c r="E701" s="15" t="s">
        <v>141</v>
      </c>
      <c r="F701" s="15" t="s">
        <v>37</v>
      </c>
      <c r="G701" s="74">
        <f>G702</f>
        <v>0</v>
      </c>
      <c r="H701" s="74">
        <f>H702</f>
        <v>0</v>
      </c>
      <c r="I701" s="74">
        <f>I702</f>
        <v>0</v>
      </c>
    </row>
    <row r="702" spans="1:9" s="18" customFormat="1" ht="25.5" hidden="1">
      <c r="A702" s="86" t="s">
        <v>38</v>
      </c>
      <c r="B702" s="15" t="s">
        <v>97</v>
      </c>
      <c r="C702" s="15" t="s">
        <v>26</v>
      </c>
      <c r="D702" s="15" t="s">
        <v>26</v>
      </c>
      <c r="E702" s="15" t="s">
        <v>141</v>
      </c>
      <c r="F702" s="15" t="s">
        <v>39</v>
      </c>
      <c r="G702" s="74"/>
      <c r="H702" s="74"/>
      <c r="I702" s="74"/>
    </row>
    <row r="703" spans="1:9" s="18" customFormat="1" ht="25.5">
      <c r="A703" s="16" t="s">
        <v>30</v>
      </c>
      <c r="B703" s="15" t="s">
        <v>97</v>
      </c>
      <c r="C703" s="15" t="s">
        <v>26</v>
      </c>
      <c r="D703" s="15" t="s">
        <v>26</v>
      </c>
      <c r="E703" s="15" t="s">
        <v>802</v>
      </c>
      <c r="F703" s="15" t="s">
        <v>31</v>
      </c>
      <c r="G703" s="74">
        <f>G704</f>
        <v>200000</v>
      </c>
      <c r="H703" s="74">
        <f>H704</f>
        <v>0</v>
      </c>
      <c r="I703" s="74">
        <f>I704</f>
        <v>0</v>
      </c>
    </row>
    <row r="704" spans="1:9" s="18" customFormat="1" ht="13.5" customHeight="1">
      <c r="A704" s="16" t="s">
        <v>32</v>
      </c>
      <c r="B704" s="15" t="s">
        <v>97</v>
      </c>
      <c r="C704" s="15" t="s">
        <v>26</v>
      </c>
      <c r="D704" s="15" t="s">
        <v>26</v>
      </c>
      <c r="E704" s="15" t="s">
        <v>802</v>
      </c>
      <c r="F704" s="15" t="s">
        <v>33</v>
      </c>
      <c r="G704" s="74">
        <v>200000</v>
      </c>
      <c r="H704" s="74"/>
      <c r="I704" s="74"/>
    </row>
    <row r="705" spans="1:9" s="18" customFormat="1" ht="56.25" hidden="1" customHeight="1">
      <c r="A705" s="203" t="s">
        <v>805</v>
      </c>
      <c r="B705" s="15" t="s">
        <v>97</v>
      </c>
      <c r="C705" s="15" t="s">
        <v>26</v>
      </c>
      <c r="D705" s="15" t="s">
        <v>26</v>
      </c>
      <c r="E705" s="15" t="s">
        <v>804</v>
      </c>
      <c r="F705" s="15"/>
      <c r="G705" s="74">
        <f>G706+G708</f>
        <v>0</v>
      </c>
      <c r="H705" s="74">
        <f>H706+H708</f>
        <v>0</v>
      </c>
      <c r="I705" s="74">
        <f>I706+I708</f>
        <v>0</v>
      </c>
    </row>
    <row r="706" spans="1:9" s="18" customFormat="1" ht="25.5" hidden="1">
      <c r="A706" s="86" t="s">
        <v>36</v>
      </c>
      <c r="B706" s="15" t="s">
        <v>97</v>
      </c>
      <c r="C706" s="15" t="s">
        <v>26</v>
      </c>
      <c r="D706" s="15" t="s">
        <v>26</v>
      </c>
      <c r="E706" s="15" t="s">
        <v>141</v>
      </c>
      <c r="F706" s="15" t="s">
        <v>37</v>
      </c>
      <c r="G706" s="74">
        <f>G707</f>
        <v>0</v>
      </c>
      <c r="H706" s="74">
        <f>H707</f>
        <v>0</v>
      </c>
      <c r="I706" s="74">
        <f>I707</f>
        <v>0</v>
      </c>
    </row>
    <row r="707" spans="1:9" s="18" customFormat="1" ht="25.5" hidden="1">
      <c r="A707" s="86" t="s">
        <v>38</v>
      </c>
      <c r="B707" s="15" t="s">
        <v>97</v>
      </c>
      <c r="C707" s="15" t="s">
        <v>26</v>
      </c>
      <c r="D707" s="15" t="s">
        <v>26</v>
      </c>
      <c r="E707" s="15" t="s">
        <v>141</v>
      </c>
      <c r="F707" s="15" t="s">
        <v>39</v>
      </c>
      <c r="G707" s="74"/>
      <c r="H707" s="74"/>
      <c r="I707" s="74"/>
    </row>
    <row r="708" spans="1:9" s="18" customFormat="1" hidden="1">
      <c r="A708" s="86" t="s">
        <v>64</v>
      </c>
      <c r="B708" s="15" t="s">
        <v>97</v>
      </c>
      <c r="C708" s="15" t="s">
        <v>26</v>
      </c>
      <c r="D708" s="15" t="s">
        <v>26</v>
      </c>
      <c r="E708" s="15" t="s">
        <v>804</v>
      </c>
      <c r="F708" s="15" t="s">
        <v>65</v>
      </c>
      <c r="G708" s="74">
        <f>G709</f>
        <v>0</v>
      </c>
      <c r="H708" s="74">
        <f>H709</f>
        <v>0</v>
      </c>
      <c r="I708" s="74">
        <f>I709</f>
        <v>0</v>
      </c>
    </row>
    <row r="709" spans="1:9" s="18" customFormat="1" ht="13.5" hidden="1" customHeight="1">
      <c r="A709" s="86" t="s">
        <v>187</v>
      </c>
      <c r="B709" s="15" t="s">
        <v>97</v>
      </c>
      <c r="C709" s="15" t="s">
        <v>26</v>
      </c>
      <c r="D709" s="15" t="s">
        <v>26</v>
      </c>
      <c r="E709" s="15" t="s">
        <v>804</v>
      </c>
      <c r="F709" s="15" t="s">
        <v>188</v>
      </c>
      <c r="G709" s="74">
        <f>572400-572400</f>
        <v>0</v>
      </c>
      <c r="H709" s="74"/>
      <c r="I709" s="74"/>
    </row>
    <row r="710" spans="1:9" s="18" customFormat="1" ht="25.5">
      <c r="A710" s="16" t="s">
        <v>500</v>
      </c>
      <c r="B710" s="15" t="s">
        <v>97</v>
      </c>
      <c r="C710" s="15" t="s">
        <v>26</v>
      </c>
      <c r="D710" s="15" t="s">
        <v>26</v>
      </c>
      <c r="E710" s="15" t="s">
        <v>204</v>
      </c>
      <c r="F710" s="15"/>
      <c r="G710" s="74">
        <f>G711</f>
        <v>158690</v>
      </c>
      <c r="H710" s="74">
        <f>H711</f>
        <v>162690</v>
      </c>
      <c r="I710" s="74">
        <f>I711</f>
        <v>164690</v>
      </c>
    </row>
    <row r="711" spans="1:9" s="18" customFormat="1">
      <c r="A711" s="16" t="s">
        <v>350</v>
      </c>
      <c r="B711" s="15" t="s">
        <v>97</v>
      </c>
      <c r="C711" s="15" t="s">
        <v>26</v>
      </c>
      <c r="D711" s="15" t="s">
        <v>26</v>
      </c>
      <c r="E711" s="15" t="s">
        <v>205</v>
      </c>
      <c r="F711" s="15"/>
      <c r="G711" s="74">
        <f>G712</f>
        <v>158690</v>
      </c>
      <c r="H711" s="74">
        <f t="shared" ref="H711:I712" si="164">H712</f>
        <v>162690</v>
      </c>
      <c r="I711" s="74">
        <f t="shared" si="164"/>
        <v>164690</v>
      </c>
    </row>
    <row r="712" spans="1:9" s="18" customFormat="1" ht="25.5">
      <c r="A712" s="86" t="s">
        <v>30</v>
      </c>
      <c r="B712" s="15" t="s">
        <v>97</v>
      </c>
      <c r="C712" s="15" t="s">
        <v>26</v>
      </c>
      <c r="D712" s="15" t="s">
        <v>26</v>
      </c>
      <c r="E712" s="15" t="s">
        <v>205</v>
      </c>
      <c r="F712" s="15" t="s">
        <v>31</v>
      </c>
      <c r="G712" s="74">
        <f>G713</f>
        <v>158690</v>
      </c>
      <c r="H712" s="74">
        <f t="shared" si="164"/>
        <v>162690</v>
      </c>
      <c r="I712" s="74">
        <f t="shared" si="164"/>
        <v>164690</v>
      </c>
    </row>
    <row r="713" spans="1:9" s="18" customFormat="1">
      <c r="A713" s="86" t="s">
        <v>32</v>
      </c>
      <c r="B713" s="15" t="s">
        <v>97</v>
      </c>
      <c r="C713" s="15" t="s">
        <v>26</v>
      </c>
      <c r="D713" s="15" t="s">
        <v>26</v>
      </c>
      <c r="E713" s="15" t="s">
        <v>205</v>
      </c>
      <c r="F713" s="15" t="s">
        <v>33</v>
      </c>
      <c r="G713" s="74">
        <v>158690</v>
      </c>
      <c r="H713" s="74">
        <v>162690</v>
      </c>
      <c r="I713" s="74">
        <v>164690</v>
      </c>
    </row>
    <row r="714" spans="1:9">
      <c r="A714" s="86" t="s">
        <v>126</v>
      </c>
      <c r="B714" s="15" t="s">
        <v>97</v>
      </c>
      <c r="C714" s="15" t="s">
        <v>26</v>
      </c>
      <c r="D714" s="15" t="s">
        <v>127</v>
      </c>
      <c r="E714" s="15"/>
      <c r="F714" s="15"/>
      <c r="G714" s="74">
        <f>G716+G727</f>
        <v>13699325.029999999</v>
      </c>
      <c r="H714" s="74">
        <f>H716+H727</f>
        <v>13826940.630000001</v>
      </c>
      <c r="I714" s="74">
        <f>I716+I727</f>
        <v>13972214.630000001</v>
      </c>
    </row>
    <row r="715" spans="1:9" ht="51" hidden="1">
      <c r="A715" s="203" t="s">
        <v>128</v>
      </c>
      <c r="B715" s="15" t="s">
        <v>97</v>
      </c>
      <c r="C715" s="15" t="s">
        <v>26</v>
      </c>
      <c r="D715" s="15" t="s">
        <v>127</v>
      </c>
      <c r="E715" s="15"/>
      <c r="F715" s="15"/>
      <c r="G715" s="74"/>
      <c r="H715" s="74"/>
      <c r="I715" s="74"/>
    </row>
    <row r="716" spans="1:9" ht="25.5">
      <c r="A716" s="86" t="s">
        <v>496</v>
      </c>
      <c r="B716" s="15" t="s">
        <v>97</v>
      </c>
      <c r="C716" s="15" t="s">
        <v>26</v>
      </c>
      <c r="D716" s="15" t="s">
        <v>127</v>
      </c>
      <c r="E716" s="15" t="s">
        <v>196</v>
      </c>
      <c r="F716" s="15"/>
      <c r="G716" s="74">
        <f>G717</f>
        <v>13699325.029999999</v>
      </c>
      <c r="H716" s="74">
        <f t="shared" ref="H716:I716" si="165">H717</f>
        <v>13826940.630000001</v>
      </c>
      <c r="I716" s="74">
        <f t="shared" si="165"/>
        <v>13972214.630000001</v>
      </c>
    </row>
    <row r="717" spans="1:9" s="18" customFormat="1" ht="32.25" customHeight="1">
      <c r="A717" s="86" t="s">
        <v>149</v>
      </c>
      <c r="B717" s="15" t="s">
        <v>97</v>
      </c>
      <c r="C717" s="15" t="s">
        <v>26</v>
      </c>
      <c r="D717" s="15" t="s">
        <v>127</v>
      </c>
      <c r="E717" s="15" t="s">
        <v>234</v>
      </c>
      <c r="F717" s="15"/>
      <c r="G717" s="74">
        <f>G718</f>
        <v>13699325.029999999</v>
      </c>
      <c r="H717" s="74">
        <f>H718</f>
        <v>13826940.630000001</v>
      </c>
      <c r="I717" s="74">
        <f>I718</f>
        <v>13972214.630000001</v>
      </c>
    </row>
    <row r="718" spans="1:9" s="18" customFormat="1" ht="25.5">
      <c r="A718" s="86" t="s">
        <v>78</v>
      </c>
      <c r="B718" s="15" t="s">
        <v>97</v>
      </c>
      <c r="C718" s="15" t="s">
        <v>26</v>
      </c>
      <c r="D718" s="15" t="s">
        <v>127</v>
      </c>
      <c r="E718" s="15" t="s">
        <v>235</v>
      </c>
      <c r="F718" s="15"/>
      <c r="G718" s="74">
        <f>G719+G721+G723</f>
        <v>13699325.029999999</v>
      </c>
      <c r="H718" s="74">
        <f>H719+H721+H723</f>
        <v>13826940.630000001</v>
      </c>
      <c r="I718" s="74">
        <f>I719+I721+I723</f>
        <v>13972214.630000001</v>
      </c>
    </row>
    <row r="719" spans="1:9" ht="63.75">
      <c r="A719" s="86" t="s">
        <v>56</v>
      </c>
      <c r="B719" s="15" t="s">
        <v>97</v>
      </c>
      <c r="C719" s="15" t="s">
        <v>26</v>
      </c>
      <c r="D719" s="15" t="s">
        <v>127</v>
      </c>
      <c r="E719" s="15" t="s">
        <v>235</v>
      </c>
      <c r="F719" s="15" t="s">
        <v>59</v>
      </c>
      <c r="G719" s="74">
        <f>G720</f>
        <v>13181155.969999999</v>
      </c>
      <c r="H719" s="74">
        <f>H720</f>
        <v>13428858</v>
      </c>
      <c r="I719" s="74">
        <f>I720</f>
        <v>13574132</v>
      </c>
    </row>
    <row r="720" spans="1:9" ht="25.5">
      <c r="A720" s="16" t="s">
        <v>57</v>
      </c>
      <c r="B720" s="15" t="s">
        <v>97</v>
      </c>
      <c r="C720" s="15" t="s">
        <v>26</v>
      </c>
      <c r="D720" s="15" t="s">
        <v>127</v>
      </c>
      <c r="E720" s="15" t="s">
        <v>235</v>
      </c>
      <c r="F720" s="15" t="s">
        <v>60</v>
      </c>
      <c r="G720" s="74">
        <f>13183960.7-2804.73</f>
        <v>13181155.969999999</v>
      </c>
      <c r="H720" s="74">
        <f>13206728+159130+63000</f>
        <v>13428858</v>
      </c>
      <c r="I720" s="74">
        <f>13352002+159130+63000</f>
        <v>13574132</v>
      </c>
    </row>
    <row r="721" spans="1:9" ht="25.5">
      <c r="A721" s="16" t="s">
        <v>36</v>
      </c>
      <c r="B721" s="15" t="s">
        <v>97</v>
      </c>
      <c r="C721" s="15" t="s">
        <v>26</v>
      </c>
      <c r="D721" s="15" t="s">
        <v>127</v>
      </c>
      <c r="E721" s="15" t="s">
        <v>235</v>
      </c>
      <c r="F721" s="15" t="s">
        <v>37</v>
      </c>
      <c r="G721" s="74">
        <f>G722</f>
        <v>518169.06</v>
      </c>
      <c r="H721" s="74">
        <f>H722</f>
        <v>398082.63</v>
      </c>
      <c r="I721" s="74">
        <f>I722</f>
        <v>398082.63</v>
      </c>
    </row>
    <row r="722" spans="1:9" ht="25.5">
      <c r="A722" s="16" t="s">
        <v>38</v>
      </c>
      <c r="B722" s="15" t="s">
        <v>97</v>
      </c>
      <c r="C722" s="15" t="s">
        <v>26</v>
      </c>
      <c r="D722" s="15" t="s">
        <v>127</v>
      </c>
      <c r="E722" s="15" t="s">
        <v>235</v>
      </c>
      <c r="F722" s="15" t="s">
        <v>39</v>
      </c>
      <c r="G722" s="74">
        <f>499286.93+16077.4+2804.73</f>
        <v>518169.06</v>
      </c>
      <c r="H722" s="74">
        <v>398082.63</v>
      </c>
      <c r="I722" s="74">
        <v>398082.63</v>
      </c>
    </row>
    <row r="723" spans="1:9" hidden="1">
      <c r="A723" s="16" t="s">
        <v>64</v>
      </c>
      <c r="B723" s="15" t="s">
        <v>97</v>
      </c>
      <c r="C723" s="15" t="s">
        <v>26</v>
      </c>
      <c r="D723" s="15" t="s">
        <v>127</v>
      </c>
      <c r="E723" s="15" t="s">
        <v>235</v>
      </c>
      <c r="F723" s="15" t="s">
        <v>65</v>
      </c>
      <c r="G723" s="27">
        <f>G725+G724</f>
        <v>0</v>
      </c>
      <c r="H723" s="27">
        <f>H725</f>
        <v>0</v>
      </c>
      <c r="I723" s="27">
        <f>I725</f>
        <v>0</v>
      </c>
    </row>
    <row r="724" spans="1:9" hidden="1">
      <c r="A724" s="16" t="s">
        <v>339</v>
      </c>
      <c r="B724" s="15" t="s">
        <v>97</v>
      </c>
      <c r="C724" s="15" t="s">
        <v>26</v>
      </c>
      <c r="D724" s="15" t="s">
        <v>127</v>
      </c>
      <c r="E724" s="15" t="s">
        <v>235</v>
      </c>
      <c r="F724" s="15" t="s">
        <v>338</v>
      </c>
      <c r="G724" s="27"/>
      <c r="H724" s="27">
        <v>0</v>
      </c>
      <c r="I724" s="27">
        <v>0</v>
      </c>
    </row>
    <row r="725" spans="1:9" hidden="1">
      <c r="A725" s="16" t="s">
        <v>67</v>
      </c>
      <c r="B725" s="15" t="s">
        <v>97</v>
      </c>
      <c r="C725" s="15" t="s">
        <v>26</v>
      </c>
      <c r="D725" s="15" t="s">
        <v>127</v>
      </c>
      <c r="E725" s="15" t="s">
        <v>235</v>
      </c>
      <c r="F725" s="15" t="s">
        <v>68</v>
      </c>
      <c r="G725" s="27"/>
      <c r="H725" s="27">
        <v>0</v>
      </c>
      <c r="I725" s="27">
        <v>0</v>
      </c>
    </row>
    <row r="726" spans="1:9" ht="19.5" hidden="1" customHeight="1">
      <c r="A726" s="16" t="s">
        <v>179</v>
      </c>
      <c r="B726" s="15" t="s">
        <v>97</v>
      </c>
      <c r="C726" s="15" t="s">
        <v>26</v>
      </c>
      <c r="D726" s="15" t="s">
        <v>127</v>
      </c>
      <c r="E726" s="15"/>
      <c r="F726" s="15"/>
      <c r="G726" s="74">
        <f>G727</f>
        <v>0</v>
      </c>
      <c r="H726" s="74">
        <f t="shared" ref="H726:I726" si="166">H727</f>
        <v>0</v>
      </c>
      <c r="I726" s="74">
        <f t="shared" si="166"/>
        <v>0</v>
      </c>
    </row>
    <row r="727" spans="1:9" ht="47.25" hidden="1" customHeight="1">
      <c r="A727" s="16" t="s">
        <v>476</v>
      </c>
      <c r="B727" s="15" t="s">
        <v>97</v>
      </c>
      <c r="C727" s="15" t="s">
        <v>26</v>
      </c>
      <c r="D727" s="15" t="s">
        <v>127</v>
      </c>
      <c r="E727" s="15" t="s">
        <v>475</v>
      </c>
      <c r="F727" s="15"/>
      <c r="G727" s="74">
        <f>G728</f>
        <v>0</v>
      </c>
      <c r="H727" s="74">
        <f t="shared" ref="H727:I729" si="167">H728</f>
        <v>0</v>
      </c>
      <c r="I727" s="74">
        <f t="shared" si="167"/>
        <v>0</v>
      </c>
    </row>
    <row r="728" spans="1:9" ht="33.75" hidden="1" customHeight="1">
      <c r="A728" s="16" t="s">
        <v>474</v>
      </c>
      <c r="B728" s="15" t="s">
        <v>97</v>
      </c>
      <c r="C728" s="15" t="s">
        <v>26</v>
      </c>
      <c r="D728" s="15" t="s">
        <v>127</v>
      </c>
      <c r="E728" s="15" t="s">
        <v>472</v>
      </c>
      <c r="F728" s="15"/>
      <c r="G728" s="74">
        <f>G729</f>
        <v>0</v>
      </c>
      <c r="H728" s="74">
        <f t="shared" si="167"/>
        <v>0</v>
      </c>
      <c r="I728" s="74">
        <f t="shared" si="167"/>
        <v>0</v>
      </c>
    </row>
    <row r="729" spans="1:9" ht="17.25" hidden="1" customHeight="1">
      <c r="A729" s="16" t="s">
        <v>473</v>
      </c>
      <c r="B729" s="15" t="s">
        <v>97</v>
      </c>
      <c r="C729" s="15" t="s">
        <v>26</v>
      </c>
      <c r="D729" s="15" t="s">
        <v>127</v>
      </c>
      <c r="E729" s="15" t="s">
        <v>472</v>
      </c>
      <c r="F729" s="15" t="s">
        <v>37</v>
      </c>
      <c r="G729" s="74">
        <f>G730</f>
        <v>0</v>
      </c>
      <c r="H729" s="74">
        <f t="shared" si="167"/>
        <v>0</v>
      </c>
      <c r="I729" s="74">
        <f t="shared" si="167"/>
        <v>0</v>
      </c>
    </row>
    <row r="730" spans="1:9" ht="26.25" hidden="1" customHeight="1">
      <c r="A730" s="16" t="s">
        <v>38</v>
      </c>
      <c r="B730" s="15" t="s">
        <v>97</v>
      </c>
      <c r="C730" s="15" t="s">
        <v>26</v>
      </c>
      <c r="D730" s="15" t="s">
        <v>127</v>
      </c>
      <c r="E730" s="15" t="s">
        <v>472</v>
      </c>
      <c r="F730" s="15" t="s">
        <v>39</v>
      </c>
      <c r="G730" s="74">
        <f>16000-16000</f>
        <v>0</v>
      </c>
      <c r="H730" s="118"/>
      <c r="I730" s="118"/>
    </row>
    <row r="731" spans="1:9">
      <c r="A731" s="11" t="s">
        <v>151</v>
      </c>
      <c r="B731" s="20" t="s">
        <v>97</v>
      </c>
      <c r="C731" s="7" t="s">
        <v>70</v>
      </c>
      <c r="D731" s="7"/>
      <c r="E731" s="7"/>
      <c r="F731" s="7"/>
      <c r="G731" s="38">
        <f>G732+G737</f>
        <v>26803421.859999999</v>
      </c>
      <c r="H731" s="38">
        <f>H732+H737</f>
        <v>23168739.800000001</v>
      </c>
      <c r="I731" s="38">
        <f>I732+I737</f>
        <v>25123442.899999999</v>
      </c>
    </row>
    <row r="732" spans="1:9">
      <c r="A732" s="16" t="s">
        <v>152</v>
      </c>
      <c r="B732" s="15" t="s">
        <v>97</v>
      </c>
      <c r="C732" s="15" t="s">
        <v>70</v>
      </c>
      <c r="D732" s="15" t="s">
        <v>19</v>
      </c>
      <c r="E732" s="15"/>
      <c r="F732" s="15"/>
      <c r="G732" s="74">
        <f>G733</f>
        <v>45423.040000000001</v>
      </c>
      <c r="H732" s="74">
        <f>H733</f>
        <v>78000</v>
      </c>
      <c r="I732" s="74">
        <f>I733</f>
        <v>78000</v>
      </c>
    </row>
    <row r="733" spans="1:9" s="43" customFormat="1" ht="30.75" customHeight="1">
      <c r="A733" s="16" t="s">
        <v>505</v>
      </c>
      <c r="B733" s="15" t="s">
        <v>97</v>
      </c>
      <c r="C733" s="15" t="s">
        <v>70</v>
      </c>
      <c r="D733" s="15" t="s">
        <v>19</v>
      </c>
      <c r="E733" s="15" t="s">
        <v>296</v>
      </c>
      <c r="F733" s="39"/>
      <c r="G733" s="74">
        <f t="shared" ref="G733:I735" si="168">G734</f>
        <v>45423.040000000001</v>
      </c>
      <c r="H733" s="74">
        <f t="shared" si="168"/>
        <v>78000</v>
      </c>
      <c r="I733" s="74">
        <f t="shared" si="168"/>
        <v>78000</v>
      </c>
    </row>
    <row r="734" spans="1:9" s="43" customFormat="1">
      <c r="A734" s="16" t="s">
        <v>153</v>
      </c>
      <c r="B734" s="15" t="s">
        <v>97</v>
      </c>
      <c r="C734" s="15" t="s">
        <v>70</v>
      </c>
      <c r="D734" s="15" t="s">
        <v>19</v>
      </c>
      <c r="E734" s="15" t="s">
        <v>300</v>
      </c>
      <c r="F734" s="39"/>
      <c r="G734" s="74">
        <f t="shared" si="168"/>
        <v>45423.040000000001</v>
      </c>
      <c r="H734" s="74">
        <f t="shared" si="168"/>
        <v>78000</v>
      </c>
      <c r="I734" s="74">
        <f t="shared" si="168"/>
        <v>78000</v>
      </c>
    </row>
    <row r="735" spans="1:9" s="43" customFormat="1">
      <c r="A735" s="16" t="s">
        <v>154</v>
      </c>
      <c r="B735" s="15" t="s">
        <v>97</v>
      </c>
      <c r="C735" s="15" t="s">
        <v>70</v>
      </c>
      <c r="D735" s="15" t="s">
        <v>19</v>
      </c>
      <c r="E735" s="15" t="s">
        <v>300</v>
      </c>
      <c r="F735" s="15" t="s">
        <v>155</v>
      </c>
      <c r="G735" s="74">
        <f t="shared" si="168"/>
        <v>45423.040000000001</v>
      </c>
      <c r="H735" s="74">
        <f t="shared" si="168"/>
        <v>78000</v>
      </c>
      <c r="I735" s="74">
        <f t="shared" si="168"/>
        <v>78000</v>
      </c>
    </row>
    <row r="736" spans="1:9" s="44" customFormat="1" ht="25.5">
      <c r="A736" s="16" t="s">
        <v>365</v>
      </c>
      <c r="B736" s="15" t="s">
        <v>97</v>
      </c>
      <c r="C736" s="15" t="s">
        <v>70</v>
      </c>
      <c r="D736" s="15" t="s">
        <v>19</v>
      </c>
      <c r="E736" s="15" t="s">
        <v>300</v>
      </c>
      <c r="F736" s="15" t="s">
        <v>366</v>
      </c>
      <c r="G736" s="74">
        <f>78000-16499.56-16077.4</f>
        <v>45423.040000000001</v>
      </c>
      <c r="H736" s="74">
        <v>78000</v>
      </c>
      <c r="I736" s="74">
        <v>78000</v>
      </c>
    </row>
    <row r="737" spans="1:9">
      <c r="A737" s="13" t="s">
        <v>159</v>
      </c>
      <c r="B737" s="15" t="s">
        <v>97</v>
      </c>
      <c r="C737" s="15" t="s">
        <v>70</v>
      </c>
      <c r="D737" s="15" t="s">
        <v>55</v>
      </c>
      <c r="E737" s="15"/>
      <c r="F737" s="15"/>
      <c r="G737" s="74">
        <f>G738</f>
        <v>26757998.82</v>
      </c>
      <c r="H737" s="74">
        <f t="shared" ref="H737:I737" si="169">H738</f>
        <v>23090739.800000001</v>
      </c>
      <c r="I737" s="74">
        <f t="shared" si="169"/>
        <v>25045442.899999999</v>
      </c>
    </row>
    <row r="738" spans="1:9" s="28" customFormat="1" ht="25.5">
      <c r="A738" s="16" t="s">
        <v>496</v>
      </c>
      <c r="B738" s="15" t="s">
        <v>97</v>
      </c>
      <c r="C738" s="15" t="s">
        <v>70</v>
      </c>
      <c r="D738" s="15" t="s">
        <v>55</v>
      </c>
      <c r="E738" s="15" t="s">
        <v>196</v>
      </c>
      <c r="F738" s="39"/>
      <c r="G738" s="74">
        <f>G739</f>
        <v>26757998.82</v>
      </c>
      <c r="H738" s="74">
        <f t="shared" ref="H738:I738" si="170">H739</f>
        <v>23090739.800000001</v>
      </c>
      <c r="I738" s="74">
        <f t="shared" si="170"/>
        <v>25045442.899999999</v>
      </c>
    </row>
    <row r="739" spans="1:9" ht="30.75" customHeight="1">
      <c r="A739" s="16" t="s">
        <v>93</v>
      </c>
      <c r="B739" s="15" t="s">
        <v>97</v>
      </c>
      <c r="C739" s="15" t="s">
        <v>70</v>
      </c>
      <c r="D739" s="15" t="s">
        <v>55</v>
      </c>
      <c r="E739" s="15" t="s">
        <v>222</v>
      </c>
      <c r="F739" s="15"/>
      <c r="G739" s="74">
        <f>G740+G746+G750+G753+G743</f>
        <v>26757998.82</v>
      </c>
      <c r="H739" s="74">
        <f t="shared" ref="H739:I739" si="171">H740+H746+H750+H753</f>
        <v>23090739.800000001</v>
      </c>
      <c r="I739" s="74">
        <f t="shared" si="171"/>
        <v>25045442.899999999</v>
      </c>
    </row>
    <row r="740" spans="1:9" s="18" customFormat="1" ht="79.5" customHeight="1">
      <c r="A740" s="84" t="s">
        <v>66</v>
      </c>
      <c r="B740" s="15" t="s">
        <v>97</v>
      </c>
      <c r="C740" s="15" t="s">
        <v>70</v>
      </c>
      <c r="D740" s="15" t="s">
        <v>55</v>
      </c>
      <c r="E740" s="15" t="s">
        <v>452</v>
      </c>
      <c r="F740" s="15"/>
      <c r="G740" s="74">
        <f t="shared" ref="G740:I744" si="172">G741</f>
        <v>664140</v>
      </c>
      <c r="H740" s="74">
        <f t="shared" si="172"/>
        <v>653140</v>
      </c>
      <c r="I740" s="74">
        <f t="shared" si="172"/>
        <v>653140</v>
      </c>
    </row>
    <row r="741" spans="1:9" s="18" customFormat="1" ht="25.5">
      <c r="A741" s="16" t="s">
        <v>30</v>
      </c>
      <c r="B741" s="15" t="s">
        <v>97</v>
      </c>
      <c r="C741" s="15" t="s">
        <v>70</v>
      </c>
      <c r="D741" s="15" t="s">
        <v>55</v>
      </c>
      <c r="E741" s="15" t="s">
        <v>452</v>
      </c>
      <c r="F741" s="15" t="s">
        <v>31</v>
      </c>
      <c r="G741" s="74">
        <f t="shared" si="172"/>
        <v>664140</v>
      </c>
      <c r="H741" s="74">
        <f t="shared" si="172"/>
        <v>653140</v>
      </c>
      <c r="I741" s="74">
        <f t="shared" si="172"/>
        <v>653140</v>
      </c>
    </row>
    <row r="742" spans="1:9" s="18" customFormat="1">
      <c r="A742" s="16" t="s">
        <v>32</v>
      </c>
      <c r="B742" s="15" t="s">
        <v>97</v>
      </c>
      <c r="C742" s="15" t="s">
        <v>70</v>
      </c>
      <c r="D742" s="15" t="s">
        <v>55</v>
      </c>
      <c r="E742" s="15" t="s">
        <v>452</v>
      </c>
      <c r="F742" s="15" t="s">
        <v>33</v>
      </c>
      <c r="G742" s="74">
        <f>230700+433440</f>
        <v>664140</v>
      </c>
      <c r="H742" s="74">
        <f>219700+433440</f>
        <v>653140</v>
      </c>
      <c r="I742" s="74">
        <f>219700+433440</f>
        <v>653140</v>
      </c>
    </row>
    <row r="743" spans="1:9" s="18" customFormat="1" ht="18.75" customHeight="1">
      <c r="A743" s="84" t="s">
        <v>906</v>
      </c>
      <c r="B743" s="15" t="s">
        <v>97</v>
      </c>
      <c r="C743" s="15" t="s">
        <v>70</v>
      </c>
      <c r="D743" s="15" t="s">
        <v>55</v>
      </c>
      <c r="E743" s="15" t="s">
        <v>905</v>
      </c>
      <c r="F743" s="15"/>
      <c r="G743" s="74">
        <f t="shared" si="172"/>
        <v>44154.28</v>
      </c>
      <c r="H743" s="74">
        <f t="shared" si="172"/>
        <v>0</v>
      </c>
      <c r="I743" s="74">
        <f t="shared" si="172"/>
        <v>0</v>
      </c>
    </row>
    <row r="744" spans="1:9" s="18" customFormat="1" ht="25.5">
      <c r="A744" s="16" t="s">
        <v>30</v>
      </c>
      <c r="B744" s="15" t="s">
        <v>97</v>
      </c>
      <c r="C744" s="15" t="s">
        <v>70</v>
      </c>
      <c r="D744" s="15" t="s">
        <v>55</v>
      </c>
      <c r="E744" s="15" t="s">
        <v>905</v>
      </c>
      <c r="F744" s="15" t="s">
        <v>31</v>
      </c>
      <c r="G744" s="74">
        <f t="shared" si="172"/>
        <v>44154.28</v>
      </c>
      <c r="H744" s="74">
        <f t="shared" si="172"/>
        <v>0</v>
      </c>
      <c r="I744" s="74">
        <f t="shared" si="172"/>
        <v>0</v>
      </c>
    </row>
    <row r="745" spans="1:9" s="18" customFormat="1">
      <c r="A745" s="16" t="s">
        <v>32</v>
      </c>
      <c r="B745" s="15" t="s">
        <v>97</v>
      </c>
      <c r="C745" s="15" t="s">
        <v>70</v>
      </c>
      <c r="D745" s="15" t="s">
        <v>55</v>
      </c>
      <c r="E745" s="15" t="s">
        <v>905</v>
      </c>
      <c r="F745" s="15" t="s">
        <v>33</v>
      </c>
      <c r="G745" s="74">
        <v>44154.28</v>
      </c>
      <c r="H745" s="74"/>
      <c r="I745" s="74"/>
    </row>
    <row r="746" spans="1:9" s="28" customFormat="1" ht="55.5" customHeight="1">
      <c r="A746" s="13" t="s">
        <v>160</v>
      </c>
      <c r="B746" s="15" t="s">
        <v>97</v>
      </c>
      <c r="C746" s="15" t="s">
        <v>70</v>
      </c>
      <c r="D746" s="15" t="s">
        <v>55</v>
      </c>
      <c r="E746" s="15" t="s">
        <v>453</v>
      </c>
      <c r="F746" s="39"/>
      <c r="G746" s="74">
        <f t="shared" ref="G746:I747" si="173">G747</f>
        <v>9868564</v>
      </c>
      <c r="H746" s="74">
        <f t="shared" si="173"/>
        <v>6132320</v>
      </c>
      <c r="I746" s="74">
        <f t="shared" si="173"/>
        <v>7805500</v>
      </c>
    </row>
    <row r="747" spans="1:9" s="28" customFormat="1" ht="35.25" customHeight="1">
      <c r="A747" s="16" t="s">
        <v>30</v>
      </c>
      <c r="B747" s="15" t="s">
        <v>97</v>
      </c>
      <c r="C747" s="15" t="s">
        <v>70</v>
      </c>
      <c r="D747" s="15" t="s">
        <v>55</v>
      </c>
      <c r="E747" s="15" t="s">
        <v>453</v>
      </c>
      <c r="F747" s="15" t="s">
        <v>31</v>
      </c>
      <c r="G747" s="74">
        <f t="shared" si="173"/>
        <v>9868564</v>
      </c>
      <c r="H747" s="74">
        <f t="shared" si="173"/>
        <v>6132320</v>
      </c>
      <c r="I747" s="74">
        <f t="shared" si="173"/>
        <v>7805500</v>
      </c>
    </row>
    <row r="748" spans="1:9" ht="18" customHeight="1">
      <c r="A748" s="16" t="s">
        <v>32</v>
      </c>
      <c r="B748" s="15" t="s">
        <v>97</v>
      </c>
      <c r="C748" s="15" t="s">
        <v>70</v>
      </c>
      <c r="D748" s="15" t="s">
        <v>55</v>
      </c>
      <c r="E748" s="15" t="s">
        <v>453</v>
      </c>
      <c r="F748" s="15" t="s">
        <v>33</v>
      </c>
      <c r="G748" s="74">
        <v>9868564</v>
      </c>
      <c r="H748" s="74">
        <v>6132320</v>
      </c>
      <c r="I748" s="74">
        <v>7805500</v>
      </c>
    </row>
    <row r="749" spans="1:9" ht="14.25" hidden="1" customHeight="1">
      <c r="A749" s="16" t="s">
        <v>35</v>
      </c>
      <c r="B749" s="15" t="s">
        <v>97</v>
      </c>
      <c r="C749" s="15" t="s">
        <v>70</v>
      </c>
      <c r="D749" s="15" t="s">
        <v>55</v>
      </c>
      <c r="E749" s="15" t="s">
        <v>236</v>
      </c>
      <c r="F749" s="15" t="s">
        <v>53</v>
      </c>
      <c r="G749" s="74"/>
      <c r="H749" s="74"/>
      <c r="I749" s="74"/>
    </row>
    <row r="750" spans="1:9" s="28" customFormat="1" ht="61.5" hidden="1" customHeight="1">
      <c r="A750" s="13" t="s">
        <v>677</v>
      </c>
      <c r="B750" s="15" t="s">
        <v>97</v>
      </c>
      <c r="C750" s="15" t="s">
        <v>70</v>
      </c>
      <c r="D750" s="15" t="s">
        <v>55</v>
      </c>
      <c r="E750" s="15" t="s">
        <v>676</v>
      </c>
      <c r="F750" s="39"/>
      <c r="G750" s="74">
        <f t="shared" ref="G750:I754" si="174">G751</f>
        <v>0</v>
      </c>
      <c r="H750" s="74">
        <f t="shared" si="174"/>
        <v>0</v>
      </c>
      <c r="I750" s="74">
        <f t="shared" si="174"/>
        <v>0</v>
      </c>
    </row>
    <row r="751" spans="1:9" s="28" customFormat="1" ht="25.5" hidden="1">
      <c r="A751" s="16" t="s">
        <v>30</v>
      </c>
      <c r="B751" s="15" t="s">
        <v>97</v>
      </c>
      <c r="C751" s="15" t="s">
        <v>70</v>
      </c>
      <c r="D751" s="15" t="s">
        <v>55</v>
      </c>
      <c r="E751" s="15" t="s">
        <v>676</v>
      </c>
      <c r="F751" s="15" t="s">
        <v>31</v>
      </c>
      <c r="G751" s="74">
        <f t="shared" si="174"/>
        <v>0</v>
      </c>
      <c r="H751" s="74">
        <f t="shared" si="174"/>
        <v>0</v>
      </c>
      <c r="I751" s="74">
        <f t="shared" si="174"/>
        <v>0</v>
      </c>
    </row>
    <row r="752" spans="1:9" hidden="1">
      <c r="A752" s="16" t="s">
        <v>32</v>
      </c>
      <c r="B752" s="15" t="s">
        <v>97</v>
      </c>
      <c r="C752" s="15" t="s">
        <v>70</v>
      </c>
      <c r="D752" s="15" t="s">
        <v>55</v>
      </c>
      <c r="E752" s="15" t="s">
        <v>676</v>
      </c>
      <c r="F752" s="15" t="s">
        <v>33</v>
      </c>
      <c r="G752" s="74"/>
      <c r="H752" s="74">
        <v>0</v>
      </c>
      <c r="I752" s="74">
        <v>0</v>
      </c>
    </row>
    <row r="753" spans="1:11" s="28" customFormat="1" ht="61.5" customHeight="1">
      <c r="A753" s="13" t="s">
        <v>722</v>
      </c>
      <c r="B753" s="15" t="s">
        <v>97</v>
      </c>
      <c r="C753" s="15" t="s">
        <v>70</v>
      </c>
      <c r="D753" s="15" t="s">
        <v>55</v>
      </c>
      <c r="E753" s="15" t="s">
        <v>721</v>
      </c>
      <c r="F753" s="39"/>
      <c r="G753" s="74">
        <f t="shared" si="174"/>
        <v>16181140.539999999</v>
      </c>
      <c r="H753" s="74">
        <f t="shared" si="174"/>
        <v>16305279.800000001</v>
      </c>
      <c r="I753" s="74">
        <f t="shared" si="174"/>
        <v>16586802.9</v>
      </c>
    </row>
    <row r="754" spans="1:11" s="28" customFormat="1" ht="25.5">
      <c r="A754" s="16" t="s">
        <v>30</v>
      </c>
      <c r="B754" s="15" t="s">
        <v>97</v>
      </c>
      <c r="C754" s="15" t="s">
        <v>70</v>
      </c>
      <c r="D754" s="15" t="s">
        <v>55</v>
      </c>
      <c r="E754" s="15" t="s">
        <v>721</v>
      </c>
      <c r="F754" s="15" t="s">
        <v>31</v>
      </c>
      <c r="G754" s="74">
        <f t="shared" si="174"/>
        <v>16181140.539999999</v>
      </c>
      <c r="H754" s="74">
        <f t="shared" si="174"/>
        <v>16305279.800000001</v>
      </c>
      <c r="I754" s="74">
        <f t="shared" si="174"/>
        <v>16586802.9</v>
      </c>
    </row>
    <row r="755" spans="1:11">
      <c r="A755" s="16" t="s">
        <v>32</v>
      </c>
      <c r="B755" s="15" t="s">
        <v>97</v>
      </c>
      <c r="C755" s="15" t="s">
        <v>70</v>
      </c>
      <c r="D755" s="15" t="s">
        <v>55</v>
      </c>
      <c r="E755" s="15" t="s">
        <v>721</v>
      </c>
      <c r="F755" s="15" t="s">
        <v>33</v>
      </c>
      <c r="G755" s="74">
        <v>16181140.539999999</v>
      </c>
      <c r="H755" s="74">
        <v>16305279.800000001</v>
      </c>
      <c r="I755" s="74">
        <v>16586802.9</v>
      </c>
    </row>
    <row r="756" spans="1:11" s="184" customFormat="1">
      <c r="A756" s="169" t="s">
        <v>75</v>
      </c>
      <c r="B756" s="170"/>
      <c r="C756" s="171"/>
      <c r="D756" s="171"/>
      <c r="E756" s="171"/>
      <c r="F756" s="171"/>
      <c r="G756" s="172">
        <f>G373+G731+G360+G353+G368</f>
        <v>1061800613.5100001</v>
      </c>
      <c r="H756" s="172">
        <f>H373+H731+H360</f>
        <v>969097369.87000012</v>
      </c>
      <c r="I756" s="172">
        <f>I373+I731+I360</f>
        <v>989416004.43000007</v>
      </c>
    </row>
    <row r="757" spans="1:11" s="105" customFormat="1" ht="36" customHeight="1">
      <c r="A757" s="98" t="s">
        <v>161</v>
      </c>
      <c r="B757" s="94">
        <v>792</v>
      </c>
      <c r="C757" s="94"/>
      <c r="D757" s="94"/>
      <c r="E757" s="94"/>
      <c r="F757" s="94"/>
      <c r="G757" s="96"/>
      <c r="H757" s="96"/>
      <c r="I757" s="96"/>
    </row>
    <row r="758" spans="1:11">
      <c r="A758" s="5" t="s">
        <v>18</v>
      </c>
      <c r="B758" s="19">
        <v>792</v>
      </c>
      <c r="C758" s="7" t="s">
        <v>19</v>
      </c>
      <c r="D758" s="7"/>
      <c r="E758" s="7"/>
      <c r="F758" s="7"/>
      <c r="G758" s="38">
        <f>G759+G766+G776</f>
        <v>19184556.609999999</v>
      </c>
      <c r="H758" s="38">
        <f>H759+H766+H776</f>
        <v>16196690</v>
      </c>
      <c r="I758" s="38">
        <f>I759+I766+I776</f>
        <v>16198127</v>
      </c>
    </row>
    <row r="759" spans="1:11" ht="51">
      <c r="A759" s="16" t="s">
        <v>77</v>
      </c>
      <c r="B759" s="14">
        <v>792</v>
      </c>
      <c r="C759" s="15" t="s">
        <v>19</v>
      </c>
      <c r="D759" s="15" t="s">
        <v>55</v>
      </c>
      <c r="E759" s="15"/>
      <c r="F759" s="15"/>
      <c r="G759" s="74">
        <f>G760</f>
        <v>1417500</v>
      </c>
      <c r="H759" s="74">
        <f t="shared" ref="H759:I760" si="175">H760</f>
        <v>1417500</v>
      </c>
      <c r="I759" s="74">
        <f t="shared" si="175"/>
        <v>1417500</v>
      </c>
    </row>
    <row r="760" spans="1:11" s="28" customFormat="1" ht="39.75" customHeight="1">
      <c r="A760" s="16" t="s">
        <v>459</v>
      </c>
      <c r="B760" s="14">
        <v>792</v>
      </c>
      <c r="C760" s="15" t="s">
        <v>19</v>
      </c>
      <c r="D760" s="15" t="s">
        <v>55</v>
      </c>
      <c r="E760" s="15" t="s">
        <v>237</v>
      </c>
      <c r="F760" s="39"/>
      <c r="G760" s="74">
        <f>G761</f>
        <v>1417500</v>
      </c>
      <c r="H760" s="74">
        <f t="shared" si="175"/>
        <v>1417500</v>
      </c>
      <c r="I760" s="74">
        <f t="shared" si="175"/>
        <v>1417500</v>
      </c>
      <c r="J760" s="150"/>
    </row>
    <row r="761" spans="1:11" s="28" customFormat="1" ht="38.25">
      <c r="A761" s="16" t="s">
        <v>162</v>
      </c>
      <c r="B761" s="14">
        <v>792</v>
      </c>
      <c r="C761" s="15" t="s">
        <v>19</v>
      </c>
      <c r="D761" s="15" t="s">
        <v>55</v>
      </c>
      <c r="E761" s="15" t="s">
        <v>705</v>
      </c>
      <c r="F761" s="39"/>
      <c r="G761" s="74">
        <f>G763</f>
        <v>1417500</v>
      </c>
      <c r="H761" s="74">
        <f t="shared" ref="H761:I761" si="176">H763</f>
        <v>1417500</v>
      </c>
      <c r="I761" s="74">
        <f t="shared" si="176"/>
        <v>1417500</v>
      </c>
      <c r="J761" s="150"/>
      <c r="K761" s="150"/>
    </row>
    <row r="762" spans="1:11" hidden="1">
      <c r="A762" s="16"/>
      <c r="B762" s="14"/>
      <c r="C762" s="15"/>
      <c r="D762" s="15"/>
      <c r="E762" s="15"/>
      <c r="F762" s="15"/>
      <c r="G762" s="74"/>
      <c r="H762" s="74"/>
      <c r="I762" s="74"/>
    </row>
    <row r="763" spans="1:11" s="3" customFormat="1" ht="73.5" customHeight="1">
      <c r="A763" s="16" t="s">
        <v>707</v>
      </c>
      <c r="B763" s="14">
        <v>792</v>
      </c>
      <c r="C763" s="15" t="s">
        <v>19</v>
      </c>
      <c r="D763" s="15" t="s">
        <v>55</v>
      </c>
      <c r="E763" s="15" t="s">
        <v>705</v>
      </c>
      <c r="F763" s="15"/>
      <c r="G763" s="74">
        <f>G765</f>
        <v>1417500</v>
      </c>
      <c r="H763" s="74">
        <f t="shared" ref="H763:I763" si="177">H765</f>
        <v>1417500</v>
      </c>
      <c r="I763" s="74">
        <f t="shared" si="177"/>
        <v>1417500</v>
      </c>
    </row>
    <row r="764" spans="1:11" s="3" customFormat="1">
      <c r="A764" s="16" t="s">
        <v>163</v>
      </c>
      <c r="B764" s="14">
        <v>792</v>
      </c>
      <c r="C764" s="15" t="s">
        <v>19</v>
      </c>
      <c r="D764" s="15" t="s">
        <v>55</v>
      </c>
      <c r="E764" s="15" t="s">
        <v>705</v>
      </c>
      <c r="F764" s="15" t="s">
        <v>164</v>
      </c>
      <c r="G764" s="102">
        <f t="shared" ref="G764:I764" si="178">G765</f>
        <v>1417500</v>
      </c>
      <c r="H764" s="102">
        <f t="shared" si="178"/>
        <v>1417500</v>
      </c>
      <c r="I764" s="102">
        <f t="shared" si="178"/>
        <v>1417500</v>
      </c>
      <c r="J764" s="152"/>
    </row>
    <row r="765" spans="1:11">
      <c r="A765" s="16" t="s">
        <v>165</v>
      </c>
      <c r="B765" s="14">
        <v>792</v>
      </c>
      <c r="C765" s="15" t="s">
        <v>19</v>
      </c>
      <c r="D765" s="15" t="s">
        <v>55</v>
      </c>
      <c r="E765" s="15" t="s">
        <v>705</v>
      </c>
      <c r="F765" s="15" t="s">
        <v>166</v>
      </c>
      <c r="G765" s="74">
        <v>1417500</v>
      </c>
      <c r="H765" s="74">
        <v>1417500</v>
      </c>
      <c r="I765" s="74">
        <v>1417500</v>
      </c>
    </row>
    <row r="766" spans="1:11" ht="38.25">
      <c r="A766" s="16" t="s">
        <v>167</v>
      </c>
      <c r="B766" s="14">
        <v>792</v>
      </c>
      <c r="C766" s="15" t="s">
        <v>19</v>
      </c>
      <c r="D766" s="15" t="s">
        <v>168</v>
      </c>
      <c r="E766" s="15"/>
      <c r="F766" s="15"/>
      <c r="G766" s="74">
        <f t="shared" ref="G766:I768" si="179">G767</f>
        <v>13175994.200000001</v>
      </c>
      <c r="H766" s="74">
        <f t="shared" si="179"/>
        <v>13364190</v>
      </c>
      <c r="I766" s="74">
        <f t="shared" si="179"/>
        <v>13365627</v>
      </c>
      <c r="J766" s="2"/>
    </row>
    <row r="767" spans="1:11" s="33" customFormat="1" ht="31.5" customHeight="1">
      <c r="A767" s="16" t="s">
        <v>459</v>
      </c>
      <c r="B767" s="14">
        <v>792</v>
      </c>
      <c r="C767" s="15" t="s">
        <v>19</v>
      </c>
      <c r="D767" s="15" t="s">
        <v>168</v>
      </c>
      <c r="E767" s="15" t="s">
        <v>237</v>
      </c>
      <c r="F767" s="39"/>
      <c r="G767" s="74">
        <f t="shared" si="179"/>
        <v>13175994.200000001</v>
      </c>
      <c r="H767" s="74">
        <f t="shared" si="179"/>
        <v>13364190</v>
      </c>
      <c r="I767" s="74">
        <f t="shared" si="179"/>
        <v>13365627</v>
      </c>
      <c r="J767" s="156"/>
    </row>
    <row r="768" spans="1:11" s="46" customFormat="1" ht="41.25" customHeight="1">
      <c r="A768" s="16" t="s">
        <v>169</v>
      </c>
      <c r="B768" s="14">
        <v>792</v>
      </c>
      <c r="C768" s="15" t="s">
        <v>19</v>
      </c>
      <c r="D768" s="15" t="s">
        <v>168</v>
      </c>
      <c r="E768" s="15" t="s">
        <v>239</v>
      </c>
      <c r="F768" s="15"/>
      <c r="G768" s="74">
        <f t="shared" si="179"/>
        <v>13175994.200000001</v>
      </c>
      <c r="H768" s="74">
        <f t="shared" si="179"/>
        <v>13364190</v>
      </c>
      <c r="I768" s="74">
        <f t="shared" si="179"/>
        <v>13365627</v>
      </c>
    </row>
    <row r="769" spans="1:9" s="46" customFormat="1" ht="27.75" customHeight="1">
      <c r="A769" s="16" t="s">
        <v>78</v>
      </c>
      <c r="B769" s="14">
        <v>792</v>
      </c>
      <c r="C769" s="15" t="s">
        <v>19</v>
      </c>
      <c r="D769" s="15" t="s">
        <v>168</v>
      </c>
      <c r="E769" s="15" t="s">
        <v>240</v>
      </c>
      <c r="F769" s="15"/>
      <c r="G769" s="74">
        <f>G770+G772+G774</f>
        <v>13175994.200000001</v>
      </c>
      <c r="H769" s="74">
        <f t="shared" ref="H769:I769" si="180">H770+H772+H774</f>
        <v>13364190</v>
      </c>
      <c r="I769" s="74">
        <f t="shared" si="180"/>
        <v>13365627</v>
      </c>
    </row>
    <row r="770" spans="1:9" s="46" customFormat="1" ht="51" customHeight="1">
      <c r="A770" s="16" t="s">
        <v>56</v>
      </c>
      <c r="B770" s="14">
        <v>792</v>
      </c>
      <c r="C770" s="15" t="s">
        <v>19</v>
      </c>
      <c r="D770" s="15" t="s">
        <v>168</v>
      </c>
      <c r="E770" s="15" t="s">
        <v>240</v>
      </c>
      <c r="F770" s="15" t="s">
        <v>59</v>
      </c>
      <c r="G770" s="74">
        <f>G771</f>
        <v>11947659.710000001</v>
      </c>
      <c r="H770" s="74">
        <f>H771</f>
        <v>12172658</v>
      </c>
      <c r="I770" s="74">
        <f>I771</f>
        <v>12174095</v>
      </c>
    </row>
    <row r="771" spans="1:9" s="46" customFormat="1" ht="25.5">
      <c r="A771" s="16" t="s">
        <v>57</v>
      </c>
      <c r="B771" s="14">
        <v>792</v>
      </c>
      <c r="C771" s="15" t="s">
        <v>19</v>
      </c>
      <c r="D771" s="15" t="s">
        <v>168</v>
      </c>
      <c r="E771" s="15" t="s">
        <v>240</v>
      </c>
      <c r="F771" s="15" t="s">
        <v>60</v>
      </c>
      <c r="G771" s="74">
        <f>12042000-94340.29</f>
        <v>11947659.710000001</v>
      </c>
      <c r="H771" s="74">
        <v>12172658</v>
      </c>
      <c r="I771" s="74">
        <v>12174095</v>
      </c>
    </row>
    <row r="772" spans="1:9" s="46" customFormat="1" ht="25.5">
      <c r="A772" s="86" t="s">
        <v>36</v>
      </c>
      <c r="B772" s="14">
        <v>792</v>
      </c>
      <c r="C772" s="15" t="s">
        <v>19</v>
      </c>
      <c r="D772" s="15" t="s">
        <v>168</v>
      </c>
      <c r="E772" s="15" t="s">
        <v>240</v>
      </c>
      <c r="F772" s="15" t="s">
        <v>37</v>
      </c>
      <c r="G772" s="74">
        <f>G773</f>
        <v>1203334.49</v>
      </c>
      <c r="H772" s="74">
        <f>H773</f>
        <v>1165532</v>
      </c>
      <c r="I772" s="74">
        <f>I773</f>
        <v>1165532</v>
      </c>
    </row>
    <row r="773" spans="1:9" s="46" customFormat="1" ht="25.5">
      <c r="A773" s="86" t="s">
        <v>38</v>
      </c>
      <c r="B773" s="14">
        <v>792</v>
      </c>
      <c r="C773" s="15" t="s">
        <v>19</v>
      </c>
      <c r="D773" s="15" t="s">
        <v>168</v>
      </c>
      <c r="E773" s="15" t="s">
        <v>240</v>
      </c>
      <c r="F773" s="15" t="s">
        <v>39</v>
      </c>
      <c r="G773" s="74">
        <f>1165532-57537.8+95340.29</f>
        <v>1203334.49</v>
      </c>
      <c r="H773" s="74">
        <v>1165532</v>
      </c>
      <c r="I773" s="74">
        <v>1165532</v>
      </c>
    </row>
    <row r="774" spans="1:9" s="46" customFormat="1">
      <c r="A774" s="204" t="s">
        <v>64</v>
      </c>
      <c r="B774" s="14">
        <v>792</v>
      </c>
      <c r="C774" s="15" t="s">
        <v>19</v>
      </c>
      <c r="D774" s="15" t="s">
        <v>168</v>
      </c>
      <c r="E774" s="15" t="s">
        <v>240</v>
      </c>
      <c r="F774" s="15" t="s">
        <v>65</v>
      </c>
      <c r="G774" s="74">
        <f>G775</f>
        <v>25000</v>
      </c>
      <c r="H774" s="74">
        <f>H775</f>
        <v>26000</v>
      </c>
      <c r="I774" s="74">
        <f>I775</f>
        <v>26000</v>
      </c>
    </row>
    <row r="775" spans="1:9" s="46" customFormat="1">
      <c r="A775" s="204" t="s">
        <v>150</v>
      </c>
      <c r="B775" s="14">
        <v>792</v>
      </c>
      <c r="C775" s="15" t="s">
        <v>19</v>
      </c>
      <c r="D775" s="15" t="s">
        <v>168</v>
      </c>
      <c r="E775" s="15" t="s">
        <v>240</v>
      </c>
      <c r="F775" s="15" t="s">
        <v>68</v>
      </c>
      <c r="G775" s="74">
        <f>26000-1000</f>
        <v>25000</v>
      </c>
      <c r="H775" s="74">
        <v>26000</v>
      </c>
      <c r="I775" s="74">
        <v>26000</v>
      </c>
    </row>
    <row r="776" spans="1:9">
      <c r="A776" s="205" t="s">
        <v>22</v>
      </c>
      <c r="B776" s="14">
        <v>792</v>
      </c>
      <c r="C776" s="15" t="s">
        <v>19</v>
      </c>
      <c r="D776" s="15" t="s">
        <v>23</v>
      </c>
      <c r="E776" s="15"/>
      <c r="F776" s="15"/>
      <c r="G776" s="74">
        <f>G777</f>
        <v>4591062.4099999992</v>
      </c>
      <c r="H776" s="74">
        <f t="shared" ref="H776:I776" si="181">H777</f>
        <v>1415000</v>
      </c>
      <c r="I776" s="74">
        <f t="shared" si="181"/>
        <v>1415000</v>
      </c>
    </row>
    <row r="777" spans="1:9" s="33" customFormat="1" ht="15" customHeight="1">
      <c r="A777" s="86" t="s">
        <v>102</v>
      </c>
      <c r="B777" s="14">
        <v>792</v>
      </c>
      <c r="C777" s="15" t="s">
        <v>19</v>
      </c>
      <c r="D777" s="15" t="s">
        <v>23</v>
      </c>
      <c r="E777" s="14" t="s">
        <v>217</v>
      </c>
      <c r="F777" s="15"/>
      <c r="G777" s="74">
        <f>G778</f>
        <v>4591062.4099999992</v>
      </c>
      <c r="H777" s="74">
        <f t="shared" ref="H777:I777" si="182">H778</f>
        <v>1415000</v>
      </c>
      <c r="I777" s="74">
        <f t="shared" si="182"/>
        <v>1415000</v>
      </c>
    </row>
    <row r="778" spans="1:9" ht="18.75" customHeight="1">
      <c r="A778" s="86" t="s">
        <v>344</v>
      </c>
      <c r="B778" s="14">
        <v>792</v>
      </c>
      <c r="C778" s="15" t="s">
        <v>19</v>
      </c>
      <c r="D778" s="15" t="s">
        <v>23</v>
      </c>
      <c r="E778" s="15" t="s">
        <v>218</v>
      </c>
      <c r="F778" s="15"/>
      <c r="G778" s="74">
        <f>G779</f>
        <v>4591062.4099999992</v>
      </c>
      <c r="H778" s="74">
        <f t="shared" ref="H778:I778" si="183">H779</f>
        <v>1415000</v>
      </c>
      <c r="I778" s="74">
        <f t="shared" si="183"/>
        <v>1415000</v>
      </c>
    </row>
    <row r="779" spans="1:9" ht="18.75" customHeight="1">
      <c r="A779" s="86" t="s">
        <v>64</v>
      </c>
      <c r="B779" s="14">
        <v>792</v>
      </c>
      <c r="C779" s="15" t="s">
        <v>19</v>
      </c>
      <c r="D779" s="15" t="s">
        <v>23</v>
      </c>
      <c r="E779" s="15" t="s">
        <v>218</v>
      </c>
      <c r="F779" s="15" t="s">
        <v>65</v>
      </c>
      <c r="G779" s="74">
        <f>G780</f>
        <v>4591062.4099999992</v>
      </c>
      <c r="H779" s="74">
        <f>H780</f>
        <v>1415000</v>
      </c>
      <c r="I779" s="74">
        <f>I780</f>
        <v>1415000</v>
      </c>
    </row>
    <row r="780" spans="1:9" ht="18.75" customHeight="1">
      <c r="A780" s="86" t="s">
        <v>339</v>
      </c>
      <c r="B780" s="14">
        <v>792</v>
      </c>
      <c r="C780" s="15" t="s">
        <v>19</v>
      </c>
      <c r="D780" s="15" t="s">
        <v>23</v>
      </c>
      <c r="E780" s="15" t="s">
        <v>218</v>
      </c>
      <c r="F780" s="15" t="s">
        <v>338</v>
      </c>
      <c r="G780" s="74">
        <f>1250922.13+3802817.72-462677.44</f>
        <v>4591062.4099999992</v>
      </c>
      <c r="H780" s="74">
        <f>1500000-85000</f>
        <v>1415000</v>
      </c>
      <c r="I780" s="74">
        <f>1500000-85000</f>
        <v>1415000</v>
      </c>
    </row>
    <row r="781" spans="1:9">
      <c r="A781" s="206" t="s">
        <v>172</v>
      </c>
      <c r="B781" s="19">
        <v>792</v>
      </c>
      <c r="C781" s="20" t="s">
        <v>28</v>
      </c>
      <c r="D781" s="20"/>
      <c r="E781" s="20"/>
      <c r="F781" s="20"/>
      <c r="G781" s="12">
        <f t="shared" ref="G781:I782" si="184">G782</f>
        <v>3343489.7</v>
      </c>
      <c r="H781" s="12">
        <f t="shared" si="184"/>
        <v>3378621</v>
      </c>
      <c r="I781" s="12">
        <f t="shared" si="184"/>
        <v>3514692</v>
      </c>
    </row>
    <row r="782" spans="1:9">
      <c r="A782" s="40" t="s">
        <v>173</v>
      </c>
      <c r="B782" s="14">
        <v>792</v>
      </c>
      <c r="C782" s="15" t="s">
        <v>28</v>
      </c>
      <c r="D782" s="15" t="s">
        <v>71</v>
      </c>
      <c r="E782" s="15"/>
      <c r="F782" s="15"/>
      <c r="G782" s="74">
        <f t="shared" si="184"/>
        <v>3343489.7</v>
      </c>
      <c r="H782" s="74">
        <f t="shared" si="184"/>
        <v>3378621</v>
      </c>
      <c r="I782" s="74">
        <f t="shared" si="184"/>
        <v>3514692</v>
      </c>
    </row>
    <row r="783" spans="1:9" s="28" customFormat="1" ht="38.25">
      <c r="A783" s="16" t="s">
        <v>459</v>
      </c>
      <c r="B783" s="14">
        <v>792</v>
      </c>
      <c r="C783" s="15" t="s">
        <v>28</v>
      </c>
      <c r="D783" s="15" t="s">
        <v>71</v>
      </c>
      <c r="E783" s="15" t="s">
        <v>237</v>
      </c>
      <c r="F783" s="39"/>
      <c r="G783" s="74">
        <f>G785</f>
        <v>3343489.7</v>
      </c>
      <c r="H783" s="74">
        <f>H785</f>
        <v>3378621</v>
      </c>
      <c r="I783" s="74">
        <f>I785</f>
        <v>3514692</v>
      </c>
    </row>
    <row r="784" spans="1:9" s="46" customFormat="1" ht="41.25" customHeight="1">
      <c r="A784" s="16" t="s">
        <v>162</v>
      </c>
      <c r="B784" s="14">
        <v>792</v>
      </c>
      <c r="C784" s="15" t="s">
        <v>28</v>
      </c>
      <c r="D784" s="15" t="s">
        <v>71</v>
      </c>
      <c r="E784" s="15" t="s">
        <v>238</v>
      </c>
      <c r="F784" s="15"/>
      <c r="G784" s="74">
        <f t="shared" ref="G784" si="185">G785</f>
        <v>3343489.7</v>
      </c>
      <c r="H784" s="74">
        <f t="shared" ref="H784" si="186">H785</f>
        <v>3378621</v>
      </c>
      <c r="I784" s="74">
        <f t="shared" ref="I784" si="187">I785</f>
        <v>3514692</v>
      </c>
    </row>
    <row r="785" spans="1:14" s="28" customFormat="1" ht="25.5">
      <c r="A785" s="86" t="s">
        <v>174</v>
      </c>
      <c r="B785" s="14">
        <v>792</v>
      </c>
      <c r="C785" s="15" t="s">
        <v>28</v>
      </c>
      <c r="D785" s="15" t="s">
        <v>71</v>
      </c>
      <c r="E785" s="15" t="s">
        <v>396</v>
      </c>
      <c r="F785" s="39"/>
      <c r="G785" s="74">
        <f t="shared" ref="G785:I786" si="188">G786</f>
        <v>3343489.7</v>
      </c>
      <c r="H785" s="74">
        <f t="shared" si="188"/>
        <v>3378621</v>
      </c>
      <c r="I785" s="74">
        <f t="shared" si="188"/>
        <v>3514692</v>
      </c>
    </row>
    <row r="786" spans="1:14" ht="22.5" customHeight="1">
      <c r="A786" s="86" t="s">
        <v>163</v>
      </c>
      <c r="B786" s="14">
        <v>792</v>
      </c>
      <c r="C786" s="15" t="s">
        <v>28</v>
      </c>
      <c r="D786" s="15" t="s">
        <v>71</v>
      </c>
      <c r="E786" s="15" t="s">
        <v>396</v>
      </c>
      <c r="F786" s="15" t="s">
        <v>164</v>
      </c>
      <c r="G786" s="74">
        <f t="shared" si="188"/>
        <v>3343489.7</v>
      </c>
      <c r="H786" s="74">
        <f t="shared" si="188"/>
        <v>3378621</v>
      </c>
      <c r="I786" s="74">
        <f t="shared" si="188"/>
        <v>3514692</v>
      </c>
    </row>
    <row r="787" spans="1:14">
      <c r="A787" s="86" t="s">
        <v>165</v>
      </c>
      <c r="B787" s="14">
        <v>792</v>
      </c>
      <c r="C787" s="15" t="s">
        <v>28</v>
      </c>
      <c r="D787" s="15" t="s">
        <v>71</v>
      </c>
      <c r="E787" s="15" t="s">
        <v>396</v>
      </c>
      <c r="F787" s="15" t="s">
        <v>166</v>
      </c>
      <c r="G787" s="74">
        <v>3343489.7</v>
      </c>
      <c r="H787" s="74">
        <v>3378621</v>
      </c>
      <c r="I787" s="74">
        <v>3514692</v>
      </c>
    </row>
    <row r="788" spans="1:14">
      <c r="A788" s="13" t="s">
        <v>182</v>
      </c>
      <c r="B788" s="14">
        <v>792</v>
      </c>
      <c r="C788" s="15" t="s">
        <v>180</v>
      </c>
      <c r="D788" s="15" t="s">
        <v>28</v>
      </c>
      <c r="E788" s="15"/>
      <c r="F788" s="15"/>
      <c r="G788" s="74">
        <f>G790</f>
        <v>136821.5</v>
      </c>
      <c r="H788" s="74">
        <f t="shared" ref="H788:I788" si="189">H790</f>
        <v>0</v>
      </c>
      <c r="I788" s="74">
        <f t="shared" si="189"/>
        <v>0</v>
      </c>
    </row>
    <row r="789" spans="1:14" ht="68.25" customHeight="1">
      <c r="A789" s="13" t="s">
        <v>845</v>
      </c>
      <c r="B789" s="14">
        <v>792</v>
      </c>
      <c r="C789" s="15" t="s">
        <v>180</v>
      </c>
      <c r="D789" s="15" t="s">
        <v>28</v>
      </c>
      <c r="E789" s="15" t="s">
        <v>725</v>
      </c>
      <c r="F789" s="15"/>
      <c r="G789" s="74">
        <f>G790</f>
        <v>136821.5</v>
      </c>
      <c r="H789" s="74">
        <f t="shared" ref="H789:N789" si="190">H790</f>
        <v>0</v>
      </c>
      <c r="I789" s="74">
        <f t="shared" si="190"/>
        <v>0</v>
      </c>
      <c r="J789" s="74">
        <f t="shared" si="190"/>
        <v>0</v>
      </c>
      <c r="K789" s="74">
        <f t="shared" si="190"/>
        <v>0</v>
      </c>
      <c r="L789" s="74">
        <f t="shared" si="190"/>
        <v>0</v>
      </c>
      <c r="M789" s="74">
        <f t="shared" si="190"/>
        <v>0</v>
      </c>
      <c r="N789" s="74">
        <f t="shared" si="190"/>
        <v>0</v>
      </c>
    </row>
    <row r="790" spans="1:14">
      <c r="A790" s="16" t="s">
        <v>726</v>
      </c>
      <c r="B790" s="14">
        <v>792</v>
      </c>
      <c r="C790" s="15" t="s">
        <v>180</v>
      </c>
      <c r="D790" s="15" t="s">
        <v>28</v>
      </c>
      <c r="E790" s="15" t="s">
        <v>725</v>
      </c>
      <c r="F790" s="15"/>
      <c r="G790" s="74">
        <f t="shared" ref="G790:I791" si="191">G791</f>
        <v>136821.5</v>
      </c>
      <c r="H790" s="74">
        <f t="shared" si="191"/>
        <v>0</v>
      </c>
      <c r="I790" s="74">
        <f t="shared" si="191"/>
        <v>0</v>
      </c>
    </row>
    <row r="791" spans="1:14" ht="25.5">
      <c r="A791" s="16" t="s">
        <v>36</v>
      </c>
      <c r="B791" s="14">
        <v>792</v>
      </c>
      <c r="C791" s="15" t="s">
        <v>180</v>
      </c>
      <c r="D791" s="15" t="s">
        <v>28</v>
      </c>
      <c r="E791" s="15" t="s">
        <v>725</v>
      </c>
      <c r="F791" s="15" t="s">
        <v>37</v>
      </c>
      <c r="G791" s="74">
        <f t="shared" si="191"/>
        <v>136821.5</v>
      </c>
      <c r="H791" s="74">
        <f t="shared" si="191"/>
        <v>0</v>
      </c>
      <c r="I791" s="74">
        <f t="shared" si="191"/>
        <v>0</v>
      </c>
    </row>
    <row r="792" spans="1:14" ht="25.5">
      <c r="A792" s="16" t="s">
        <v>38</v>
      </c>
      <c r="B792" s="14">
        <v>792</v>
      </c>
      <c r="C792" s="15" t="s">
        <v>180</v>
      </c>
      <c r="D792" s="15" t="s">
        <v>28</v>
      </c>
      <c r="E792" s="15" t="s">
        <v>725</v>
      </c>
      <c r="F792" s="15" t="s">
        <v>39</v>
      </c>
      <c r="G792" s="74">
        <v>136821.5</v>
      </c>
      <c r="H792" s="74">
        <v>0</v>
      </c>
      <c r="I792" s="74">
        <v>0</v>
      </c>
    </row>
    <row r="793" spans="1:14">
      <c r="A793" s="11" t="s">
        <v>151</v>
      </c>
      <c r="B793" s="20" t="s">
        <v>825</v>
      </c>
      <c r="C793" s="7" t="s">
        <v>70</v>
      </c>
      <c r="D793" s="7"/>
      <c r="E793" s="7"/>
      <c r="F793" s="7"/>
      <c r="G793" s="38">
        <f>G794</f>
        <v>74037.36</v>
      </c>
      <c r="H793" s="38">
        <f t="shared" ref="H793:I793" si="192">H794</f>
        <v>0</v>
      </c>
      <c r="I793" s="38">
        <f t="shared" si="192"/>
        <v>0</v>
      </c>
    </row>
    <row r="794" spans="1:14">
      <c r="A794" s="16" t="s">
        <v>152</v>
      </c>
      <c r="B794" s="14">
        <v>792</v>
      </c>
      <c r="C794" s="15" t="s">
        <v>70</v>
      </c>
      <c r="D794" s="15" t="s">
        <v>19</v>
      </c>
      <c r="E794" s="15"/>
      <c r="F794" s="15"/>
      <c r="G794" s="74">
        <f>G795</f>
        <v>74037.36</v>
      </c>
      <c r="H794" s="74">
        <f>H795</f>
        <v>0</v>
      </c>
      <c r="I794" s="74">
        <f>I795</f>
        <v>0</v>
      </c>
    </row>
    <row r="795" spans="1:14" s="43" customFormat="1" ht="30.75" customHeight="1">
      <c r="A795" s="16" t="s">
        <v>505</v>
      </c>
      <c r="B795" s="14">
        <v>792</v>
      </c>
      <c r="C795" s="15" t="s">
        <v>70</v>
      </c>
      <c r="D795" s="15" t="s">
        <v>19</v>
      </c>
      <c r="E795" s="15" t="s">
        <v>296</v>
      </c>
      <c r="F795" s="39"/>
      <c r="G795" s="74">
        <f t="shared" ref="G795:I797" si="193">G796</f>
        <v>74037.36</v>
      </c>
      <c r="H795" s="74">
        <f t="shared" si="193"/>
        <v>0</v>
      </c>
      <c r="I795" s="74">
        <f t="shared" si="193"/>
        <v>0</v>
      </c>
    </row>
    <row r="796" spans="1:14" s="43" customFormat="1">
      <c r="A796" s="16" t="s">
        <v>153</v>
      </c>
      <c r="B796" s="14">
        <v>792</v>
      </c>
      <c r="C796" s="15" t="s">
        <v>70</v>
      </c>
      <c r="D796" s="15" t="s">
        <v>19</v>
      </c>
      <c r="E796" s="15" t="s">
        <v>300</v>
      </c>
      <c r="F796" s="39"/>
      <c r="G796" s="74">
        <f t="shared" si="193"/>
        <v>74037.36</v>
      </c>
      <c r="H796" s="74">
        <f t="shared" si="193"/>
        <v>0</v>
      </c>
      <c r="I796" s="74">
        <f t="shared" si="193"/>
        <v>0</v>
      </c>
    </row>
    <row r="797" spans="1:14" s="43" customFormat="1">
      <c r="A797" s="16" t="s">
        <v>154</v>
      </c>
      <c r="B797" s="14">
        <v>792</v>
      </c>
      <c r="C797" s="15" t="s">
        <v>70</v>
      </c>
      <c r="D797" s="15" t="s">
        <v>19</v>
      </c>
      <c r="E797" s="15" t="s">
        <v>300</v>
      </c>
      <c r="F797" s="15" t="s">
        <v>155</v>
      </c>
      <c r="G797" s="74">
        <f t="shared" si="193"/>
        <v>74037.36</v>
      </c>
      <c r="H797" s="74">
        <f t="shared" si="193"/>
        <v>0</v>
      </c>
      <c r="I797" s="74">
        <f t="shared" si="193"/>
        <v>0</v>
      </c>
    </row>
    <row r="798" spans="1:14" s="44" customFormat="1" ht="25.5">
      <c r="A798" s="16" t="s">
        <v>365</v>
      </c>
      <c r="B798" s="14">
        <v>792</v>
      </c>
      <c r="C798" s="15" t="s">
        <v>70</v>
      </c>
      <c r="D798" s="15" t="s">
        <v>19</v>
      </c>
      <c r="E798" s="15" t="s">
        <v>300</v>
      </c>
      <c r="F798" s="15" t="s">
        <v>366</v>
      </c>
      <c r="G798" s="74">
        <f>57537.8+16499.56</f>
        <v>74037.36</v>
      </c>
      <c r="H798" s="74">
        <v>0</v>
      </c>
      <c r="I798" s="74">
        <v>0</v>
      </c>
    </row>
    <row r="799" spans="1:14" ht="25.5">
      <c r="A799" s="202" t="s">
        <v>310</v>
      </c>
      <c r="B799" s="19">
        <v>792</v>
      </c>
      <c r="C799" s="7" t="s">
        <v>23</v>
      </c>
      <c r="D799" s="7"/>
      <c r="E799" s="7"/>
      <c r="F799" s="7"/>
      <c r="G799" s="38">
        <f t="shared" ref="G799:G804" si="194">G800</f>
        <v>90000</v>
      </c>
      <c r="H799" s="38">
        <f t="shared" ref="H799:I804" si="195">H800</f>
        <v>90000</v>
      </c>
      <c r="I799" s="38">
        <f t="shared" si="195"/>
        <v>90000</v>
      </c>
    </row>
    <row r="800" spans="1:14" ht="28.5" customHeight="1">
      <c r="A800" s="203" t="s">
        <v>311</v>
      </c>
      <c r="B800" s="14">
        <v>792</v>
      </c>
      <c r="C800" s="15" t="s">
        <v>23</v>
      </c>
      <c r="D800" s="15" t="s">
        <v>19</v>
      </c>
      <c r="E800" s="36"/>
      <c r="F800" s="36"/>
      <c r="G800" s="74">
        <f t="shared" si="194"/>
        <v>90000</v>
      </c>
      <c r="H800" s="74">
        <f t="shared" si="195"/>
        <v>90000</v>
      </c>
      <c r="I800" s="74">
        <f t="shared" si="195"/>
        <v>90000</v>
      </c>
    </row>
    <row r="801" spans="1:9" s="28" customFormat="1" ht="38.25">
      <c r="A801" s="86" t="s">
        <v>459</v>
      </c>
      <c r="B801" s="14">
        <v>792</v>
      </c>
      <c r="C801" s="15" t="s">
        <v>23</v>
      </c>
      <c r="D801" s="15" t="s">
        <v>19</v>
      </c>
      <c r="E801" s="15" t="s">
        <v>237</v>
      </c>
      <c r="F801" s="39"/>
      <c r="G801" s="74">
        <f t="shared" si="194"/>
        <v>90000</v>
      </c>
      <c r="H801" s="74">
        <f t="shared" si="195"/>
        <v>90000</v>
      </c>
      <c r="I801" s="74">
        <f t="shared" si="195"/>
        <v>90000</v>
      </c>
    </row>
    <row r="802" spans="1:9" s="28" customFormat="1" ht="25.5">
      <c r="A802" s="86" t="s">
        <v>312</v>
      </c>
      <c r="B802" s="14">
        <v>792</v>
      </c>
      <c r="C802" s="15" t="s">
        <v>23</v>
      </c>
      <c r="D802" s="15" t="s">
        <v>19</v>
      </c>
      <c r="E802" s="15" t="s">
        <v>243</v>
      </c>
      <c r="F802" s="39"/>
      <c r="G802" s="74">
        <f t="shared" si="194"/>
        <v>90000</v>
      </c>
      <c r="H802" s="74">
        <f t="shared" si="195"/>
        <v>90000</v>
      </c>
      <c r="I802" s="74">
        <f t="shared" si="195"/>
        <v>90000</v>
      </c>
    </row>
    <row r="803" spans="1:9">
      <c r="A803" s="86" t="s">
        <v>313</v>
      </c>
      <c r="B803" s="14">
        <v>792</v>
      </c>
      <c r="C803" s="15" t="s">
        <v>23</v>
      </c>
      <c r="D803" s="15" t="s">
        <v>19</v>
      </c>
      <c r="E803" s="15" t="s">
        <v>244</v>
      </c>
      <c r="F803" s="15"/>
      <c r="G803" s="74">
        <f t="shared" si="194"/>
        <v>90000</v>
      </c>
      <c r="H803" s="74">
        <f t="shared" si="195"/>
        <v>90000</v>
      </c>
      <c r="I803" s="74">
        <f t="shared" si="195"/>
        <v>90000</v>
      </c>
    </row>
    <row r="804" spans="1:9" ht="25.5">
      <c r="A804" s="86" t="s">
        <v>314</v>
      </c>
      <c r="B804" s="14">
        <v>792</v>
      </c>
      <c r="C804" s="15" t="s">
        <v>23</v>
      </c>
      <c r="D804" s="15" t="s">
        <v>19</v>
      </c>
      <c r="E804" s="15" t="s">
        <v>244</v>
      </c>
      <c r="F804" s="15" t="s">
        <v>315</v>
      </c>
      <c r="G804" s="74">
        <f t="shared" si="194"/>
        <v>90000</v>
      </c>
      <c r="H804" s="74">
        <f t="shared" si="195"/>
        <v>90000</v>
      </c>
      <c r="I804" s="74">
        <f t="shared" si="195"/>
        <v>90000</v>
      </c>
    </row>
    <row r="805" spans="1:9">
      <c r="A805" s="86" t="s">
        <v>316</v>
      </c>
      <c r="B805" s="14">
        <v>792</v>
      </c>
      <c r="C805" s="15" t="s">
        <v>23</v>
      </c>
      <c r="D805" s="15" t="s">
        <v>19</v>
      </c>
      <c r="E805" s="15" t="s">
        <v>244</v>
      </c>
      <c r="F805" s="15" t="s">
        <v>317</v>
      </c>
      <c r="G805" s="74">
        <f>90000</f>
        <v>90000</v>
      </c>
      <c r="H805" s="74">
        <f>90000</f>
        <v>90000</v>
      </c>
      <c r="I805" s="74">
        <f>90000</f>
        <v>90000</v>
      </c>
    </row>
    <row r="806" spans="1:9" s="46" customFormat="1" ht="38.25">
      <c r="A806" s="200" t="s">
        <v>318</v>
      </c>
      <c r="B806" s="49">
        <v>792</v>
      </c>
      <c r="C806" s="10" t="s">
        <v>319</v>
      </c>
      <c r="D806" s="10"/>
      <c r="E806" s="10"/>
      <c r="F806" s="10"/>
      <c r="G806" s="27">
        <f>G808+G816</f>
        <v>40009239.200000003</v>
      </c>
      <c r="H806" s="27">
        <f t="shared" ref="H806:I806" si="196">H808+H816</f>
        <v>22187344.440000001</v>
      </c>
      <c r="I806" s="27">
        <f t="shared" si="196"/>
        <v>22181347.960000001</v>
      </c>
    </row>
    <row r="807" spans="1:9" s="28" customFormat="1" ht="35.25" customHeight="1">
      <c r="A807" s="203" t="s">
        <v>320</v>
      </c>
      <c r="B807" s="14">
        <v>792</v>
      </c>
      <c r="C807" s="15" t="s">
        <v>319</v>
      </c>
      <c r="D807" s="15" t="s">
        <v>19</v>
      </c>
      <c r="E807" s="39"/>
      <c r="F807" s="39"/>
      <c r="G807" s="74">
        <f>G808</f>
        <v>23409480.199999999</v>
      </c>
      <c r="H807" s="74">
        <f>H808</f>
        <v>22187344.440000001</v>
      </c>
      <c r="I807" s="74">
        <f>I808</f>
        <v>22181347.960000001</v>
      </c>
    </row>
    <row r="808" spans="1:9" s="18" customFormat="1" ht="38.25">
      <c r="A808" s="86" t="s">
        <v>459</v>
      </c>
      <c r="B808" s="14">
        <v>792</v>
      </c>
      <c r="C808" s="15" t="s">
        <v>319</v>
      </c>
      <c r="D808" s="15" t="s">
        <v>19</v>
      </c>
      <c r="E808" s="15" t="s">
        <v>237</v>
      </c>
      <c r="F808" s="15"/>
      <c r="G808" s="74">
        <f>G809</f>
        <v>23409480.199999999</v>
      </c>
      <c r="H808" s="74">
        <f t="shared" ref="H808:I808" si="197">H809</f>
        <v>22187344.440000001</v>
      </c>
      <c r="I808" s="74">
        <f t="shared" si="197"/>
        <v>22181347.960000001</v>
      </c>
    </row>
    <row r="809" spans="1:9" s="18" customFormat="1" ht="38.25">
      <c r="A809" s="16" t="s">
        <v>162</v>
      </c>
      <c r="B809" s="14">
        <v>792</v>
      </c>
      <c r="C809" s="15" t="s">
        <v>319</v>
      </c>
      <c r="D809" s="15" t="s">
        <v>19</v>
      </c>
      <c r="E809" s="15" t="s">
        <v>238</v>
      </c>
      <c r="F809" s="15"/>
      <c r="G809" s="74">
        <f>G810+G813</f>
        <v>23409480.199999999</v>
      </c>
      <c r="H809" s="74">
        <f>H810+H813</f>
        <v>22187344.440000001</v>
      </c>
      <c r="I809" s="74">
        <f>I810+I813</f>
        <v>22181347.960000001</v>
      </c>
    </row>
    <row r="810" spans="1:9" s="18" customFormat="1" ht="25.5">
      <c r="A810" s="16" t="s">
        <v>321</v>
      </c>
      <c r="B810" s="14">
        <v>792</v>
      </c>
      <c r="C810" s="15" t="s">
        <v>319</v>
      </c>
      <c r="D810" s="15" t="s">
        <v>19</v>
      </c>
      <c r="E810" s="15" t="s">
        <v>293</v>
      </c>
      <c r="F810" s="15"/>
      <c r="G810" s="74">
        <f t="shared" ref="G810:I811" si="198">G811</f>
        <v>17268819</v>
      </c>
      <c r="H810" s="74">
        <f t="shared" si="198"/>
        <v>17268819</v>
      </c>
      <c r="I810" s="74">
        <f t="shared" si="198"/>
        <v>17268819</v>
      </c>
    </row>
    <row r="811" spans="1:9" s="18" customFormat="1">
      <c r="A811" s="16" t="s">
        <v>163</v>
      </c>
      <c r="B811" s="14">
        <v>792</v>
      </c>
      <c r="C811" s="15" t="s">
        <v>319</v>
      </c>
      <c r="D811" s="15" t="s">
        <v>19</v>
      </c>
      <c r="E811" s="15" t="s">
        <v>293</v>
      </c>
      <c r="F811" s="15" t="s">
        <v>164</v>
      </c>
      <c r="G811" s="74">
        <f t="shared" si="198"/>
        <v>17268819</v>
      </c>
      <c r="H811" s="74">
        <f t="shared" si="198"/>
        <v>17268819</v>
      </c>
      <c r="I811" s="74">
        <f t="shared" si="198"/>
        <v>17268819</v>
      </c>
    </row>
    <row r="812" spans="1:9" s="18" customFormat="1">
      <c r="A812" s="16" t="s">
        <v>322</v>
      </c>
      <c r="B812" s="14">
        <v>792</v>
      </c>
      <c r="C812" s="15" t="s">
        <v>319</v>
      </c>
      <c r="D812" s="15" t="s">
        <v>19</v>
      </c>
      <c r="E812" s="15" t="s">
        <v>293</v>
      </c>
      <c r="F812" s="15" t="s">
        <v>323</v>
      </c>
      <c r="G812" s="74">
        <v>17268819</v>
      </c>
      <c r="H812" s="74">
        <v>17268819</v>
      </c>
      <c r="I812" s="74">
        <v>17268819</v>
      </c>
    </row>
    <row r="813" spans="1:9" s="28" customFormat="1" ht="23.25" customHeight="1">
      <c r="A813" s="16" t="s">
        <v>324</v>
      </c>
      <c r="B813" s="14">
        <v>792</v>
      </c>
      <c r="C813" s="15" t="s">
        <v>319</v>
      </c>
      <c r="D813" s="15" t="s">
        <v>19</v>
      </c>
      <c r="E813" s="15" t="s">
        <v>245</v>
      </c>
      <c r="F813" s="15"/>
      <c r="G813" s="74">
        <f t="shared" ref="G813:I814" si="199">G814</f>
        <v>6140661.2000000002</v>
      </c>
      <c r="H813" s="74">
        <f t="shared" si="199"/>
        <v>4918525.4400000004</v>
      </c>
      <c r="I813" s="74">
        <f t="shared" si="199"/>
        <v>4912528.96</v>
      </c>
    </row>
    <row r="814" spans="1:9" s="28" customFormat="1">
      <c r="A814" s="16" t="s">
        <v>163</v>
      </c>
      <c r="B814" s="14">
        <v>792</v>
      </c>
      <c r="C814" s="15" t="s">
        <v>319</v>
      </c>
      <c r="D814" s="15" t="s">
        <v>19</v>
      </c>
      <c r="E814" s="15" t="s">
        <v>245</v>
      </c>
      <c r="F814" s="15" t="s">
        <v>164</v>
      </c>
      <c r="G814" s="74">
        <f t="shared" si="199"/>
        <v>6140661.2000000002</v>
      </c>
      <c r="H814" s="74">
        <f t="shared" si="199"/>
        <v>4918525.4400000004</v>
      </c>
      <c r="I814" s="74">
        <f t="shared" si="199"/>
        <v>4912528.96</v>
      </c>
    </row>
    <row r="815" spans="1:9" s="3" customFormat="1">
      <c r="A815" s="16" t="s">
        <v>322</v>
      </c>
      <c r="B815" s="14">
        <v>792</v>
      </c>
      <c r="C815" s="15" t="s">
        <v>319</v>
      </c>
      <c r="D815" s="15" t="s">
        <v>19</v>
      </c>
      <c r="E815" s="15" t="s">
        <v>245</v>
      </c>
      <c r="F815" s="15" t="s">
        <v>323</v>
      </c>
      <c r="G815" s="74">
        <v>6140661.2000000002</v>
      </c>
      <c r="H815" s="74">
        <v>4918525.4400000004</v>
      </c>
      <c r="I815" s="74">
        <v>4912528.96</v>
      </c>
    </row>
    <row r="816" spans="1:9" ht="18.75" customHeight="1">
      <c r="A816" s="13" t="s">
        <v>325</v>
      </c>
      <c r="B816" s="14">
        <v>792</v>
      </c>
      <c r="C816" s="15" t="s">
        <v>319</v>
      </c>
      <c r="D816" s="15" t="s">
        <v>71</v>
      </c>
      <c r="E816" s="15"/>
      <c r="F816" s="15"/>
      <c r="G816" s="74">
        <f>G817</f>
        <v>16599759</v>
      </c>
      <c r="H816" s="74">
        <f>H817</f>
        <v>0</v>
      </c>
      <c r="I816" s="74">
        <f>I817</f>
        <v>0</v>
      </c>
    </row>
    <row r="817" spans="1:11" s="28" customFormat="1" ht="27.75" customHeight="1">
      <c r="A817" s="16" t="s">
        <v>459</v>
      </c>
      <c r="B817" s="14">
        <v>792</v>
      </c>
      <c r="C817" s="15" t="s">
        <v>319</v>
      </c>
      <c r="D817" s="15" t="s">
        <v>71</v>
      </c>
      <c r="E817" s="15" t="s">
        <v>237</v>
      </c>
      <c r="F817" s="15"/>
      <c r="G817" s="74">
        <f>G818</f>
        <v>16599759</v>
      </c>
      <c r="H817" s="74">
        <f t="shared" ref="H817:I818" si="200">H818</f>
        <v>0</v>
      </c>
      <c r="I817" s="74">
        <f t="shared" si="200"/>
        <v>0</v>
      </c>
    </row>
    <row r="818" spans="1:11" s="3" customFormat="1" ht="38.25">
      <c r="A818" s="16" t="s">
        <v>162</v>
      </c>
      <c r="B818" s="14">
        <v>792</v>
      </c>
      <c r="C818" s="15" t="s">
        <v>319</v>
      </c>
      <c r="D818" s="15" t="s">
        <v>71</v>
      </c>
      <c r="E818" s="15" t="s">
        <v>238</v>
      </c>
      <c r="F818" s="15"/>
      <c r="G818" s="74">
        <f>G819</f>
        <v>16599759</v>
      </c>
      <c r="H818" s="74">
        <f t="shared" si="200"/>
        <v>0</v>
      </c>
      <c r="I818" s="74">
        <f t="shared" si="200"/>
        <v>0</v>
      </c>
    </row>
    <row r="819" spans="1:11" s="3" customFormat="1" ht="25.5">
      <c r="A819" s="16" t="s">
        <v>494</v>
      </c>
      <c r="B819" s="14">
        <v>792</v>
      </c>
      <c r="C819" s="15" t="s">
        <v>319</v>
      </c>
      <c r="D819" s="15" t="s">
        <v>71</v>
      </c>
      <c r="E819" s="15" t="s">
        <v>246</v>
      </c>
      <c r="F819" s="15"/>
      <c r="G819" s="74">
        <f t="shared" ref="G819:I820" si="201">G820</f>
        <v>16599759</v>
      </c>
      <c r="H819" s="74">
        <f t="shared" si="201"/>
        <v>0</v>
      </c>
      <c r="I819" s="74">
        <f t="shared" si="201"/>
        <v>0</v>
      </c>
    </row>
    <row r="820" spans="1:11" s="3" customFormat="1">
      <c r="A820" s="16" t="s">
        <v>163</v>
      </c>
      <c r="B820" s="14">
        <v>792</v>
      </c>
      <c r="C820" s="15" t="s">
        <v>319</v>
      </c>
      <c r="D820" s="15" t="s">
        <v>71</v>
      </c>
      <c r="E820" s="15" t="s">
        <v>246</v>
      </c>
      <c r="F820" s="15" t="s">
        <v>164</v>
      </c>
      <c r="G820" s="74">
        <f t="shared" si="201"/>
        <v>16599759</v>
      </c>
      <c r="H820" s="74">
        <f t="shared" si="201"/>
        <v>0</v>
      </c>
      <c r="I820" s="74">
        <f t="shared" si="201"/>
        <v>0</v>
      </c>
    </row>
    <row r="821" spans="1:11" s="3" customFormat="1">
      <c r="A821" s="16" t="s">
        <v>185</v>
      </c>
      <c r="B821" s="14">
        <v>792</v>
      </c>
      <c r="C821" s="15" t="s">
        <v>319</v>
      </c>
      <c r="D821" s="15" t="s">
        <v>71</v>
      </c>
      <c r="E821" s="15" t="s">
        <v>246</v>
      </c>
      <c r="F821" s="15" t="s">
        <v>186</v>
      </c>
      <c r="G821" s="74">
        <v>16599759</v>
      </c>
      <c r="H821" s="74">
        <v>0</v>
      </c>
      <c r="I821" s="74">
        <v>0</v>
      </c>
      <c r="J821" s="74"/>
      <c r="K821" s="74"/>
    </row>
    <row r="822" spans="1:11" s="3" customFormat="1" ht="47.25" hidden="1" customHeight="1">
      <c r="A822" s="16" t="s">
        <v>183</v>
      </c>
      <c r="B822" s="14">
        <v>792</v>
      </c>
      <c r="C822" s="15" t="s">
        <v>319</v>
      </c>
      <c r="D822" s="15" t="s">
        <v>71</v>
      </c>
      <c r="E822" s="15" t="s">
        <v>246</v>
      </c>
      <c r="F822" s="15" t="s">
        <v>184</v>
      </c>
      <c r="G822" s="74"/>
      <c r="H822" s="74"/>
      <c r="I822" s="74"/>
    </row>
    <row r="823" spans="1:11" s="18" customFormat="1" hidden="1">
      <c r="A823" s="16"/>
      <c r="B823" s="14"/>
      <c r="C823" s="15"/>
      <c r="D823" s="15"/>
      <c r="E823" s="15"/>
      <c r="F823" s="15"/>
      <c r="G823" s="74"/>
      <c r="H823" s="74"/>
      <c r="I823" s="74"/>
    </row>
    <row r="824" spans="1:11" s="184" customFormat="1">
      <c r="A824" s="173" t="s">
        <v>75</v>
      </c>
      <c r="B824" s="170"/>
      <c r="C824" s="171"/>
      <c r="D824" s="171"/>
      <c r="E824" s="171"/>
      <c r="F824" s="171"/>
      <c r="G824" s="172">
        <f>G758+G781+G799+G806+G793+G788</f>
        <v>62838144.370000005</v>
      </c>
      <c r="H824" s="172">
        <f t="shared" ref="H824:I824" si="202">H758+H781+H799+H806+H793+H788</f>
        <v>41852655.439999998</v>
      </c>
      <c r="I824" s="172">
        <f t="shared" si="202"/>
        <v>41984166.960000001</v>
      </c>
    </row>
    <row r="825" spans="1:11" s="105" customFormat="1" ht="39" customHeight="1">
      <c r="A825" s="98" t="s">
        <v>326</v>
      </c>
      <c r="B825" s="94">
        <v>793</v>
      </c>
      <c r="C825" s="94"/>
      <c r="D825" s="94"/>
      <c r="E825" s="94"/>
      <c r="F825" s="94"/>
      <c r="G825" s="96"/>
      <c r="H825" s="96"/>
      <c r="I825" s="96"/>
    </row>
    <row r="826" spans="1:11">
      <c r="A826" s="5" t="s">
        <v>18</v>
      </c>
      <c r="B826" s="19">
        <v>793</v>
      </c>
      <c r="C826" s="7" t="s">
        <v>19</v>
      </c>
      <c r="D826" s="7"/>
      <c r="E826" s="7"/>
      <c r="F826" s="7"/>
      <c r="G826" s="38">
        <f>G827+G833+G878+G882+G867+G872</f>
        <v>60935207.519999996</v>
      </c>
      <c r="H826" s="38">
        <f t="shared" ref="H826:I826" si="203">H827+H833+H878+H882+H867+H872</f>
        <v>54467365.300000004</v>
      </c>
      <c r="I826" s="38">
        <f t="shared" si="203"/>
        <v>59951470.979999997</v>
      </c>
    </row>
    <row r="827" spans="1:11" ht="25.5">
      <c r="A827" s="16" t="s">
        <v>327</v>
      </c>
      <c r="B827" s="14">
        <v>793</v>
      </c>
      <c r="C827" s="15" t="s">
        <v>19</v>
      </c>
      <c r="D827" s="15" t="s">
        <v>28</v>
      </c>
      <c r="E827" s="15"/>
      <c r="F827" s="15"/>
      <c r="G827" s="74">
        <f t="shared" ref="G827:I831" si="204">G828</f>
        <v>2732750.06</v>
      </c>
      <c r="H827" s="74">
        <f t="shared" si="204"/>
        <v>1867841</v>
      </c>
      <c r="I827" s="74">
        <f t="shared" si="204"/>
        <v>1868013</v>
      </c>
    </row>
    <row r="828" spans="1:11" s="18" customFormat="1" ht="25.5">
      <c r="A828" s="16" t="s">
        <v>328</v>
      </c>
      <c r="B828" s="14">
        <v>793</v>
      </c>
      <c r="C828" s="15" t="s">
        <v>19</v>
      </c>
      <c r="D828" s="15" t="s">
        <v>28</v>
      </c>
      <c r="E828" s="15" t="s">
        <v>247</v>
      </c>
      <c r="F828" s="15"/>
      <c r="G828" s="74">
        <f t="shared" si="204"/>
        <v>2732750.06</v>
      </c>
      <c r="H828" s="74">
        <f t="shared" si="204"/>
        <v>1867841</v>
      </c>
      <c r="I828" s="74">
        <f t="shared" si="204"/>
        <v>1868013</v>
      </c>
    </row>
    <row r="829" spans="1:11">
      <c r="A829" s="16" t="s">
        <v>329</v>
      </c>
      <c r="B829" s="14">
        <v>793</v>
      </c>
      <c r="C829" s="15" t="s">
        <v>19</v>
      </c>
      <c r="D829" s="15" t="s">
        <v>28</v>
      </c>
      <c r="E829" s="15" t="s">
        <v>248</v>
      </c>
      <c r="F829" s="15"/>
      <c r="G829" s="74">
        <f t="shared" si="204"/>
        <v>2732750.06</v>
      </c>
      <c r="H829" s="74">
        <f t="shared" si="204"/>
        <v>1867841</v>
      </c>
      <c r="I829" s="74">
        <f t="shared" si="204"/>
        <v>1868013</v>
      </c>
    </row>
    <row r="830" spans="1:11" ht="25.5">
      <c r="A830" s="16" t="s">
        <v>78</v>
      </c>
      <c r="B830" s="14">
        <v>793</v>
      </c>
      <c r="C830" s="15" t="s">
        <v>19</v>
      </c>
      <c r="D830" s="15" t="s">
        <v>28</v>
      </c>
      <c r="E830" s="15" t="s">
        <v>249</v>
      </c>
      <c r="F830" s="15"/>
      <c r="G830" s="74">
        <f t="shared" si="204"/>
        <v>2732750.06</v>
      </c>
      <c r="H830" s="74">
        <f t="shared" si="204"/>
        <v>1867841</v>
      </c>
      <c r="I830" s="74">
        <f t="shared" si="204"/>
        <v>1868013</v>
      </c>
    </row>
    <row r="831" spans="1:11" ht="51">
      <c r="A831" s="16" t="s">
        <v>330</v>
      </c>
      <c r="B831" s="14">
        <v>793</v>
      </c>
      <c r="C831" s="15" t="s">
        <v>19</v>
      </c>
      <c r="D831" s="15" t="s">
        <v>28</v>
      </c>
      <c r="E831" s="15" t="s">
        <v>249</v>
      </c>
      <c r="F831" s="15" t="s">
        <v>59</v>
      </c>
      <c r="G831" s="74">
        <f t="shared" si="204"/>
        <v>2732750.06</v>
      </c>
      <c r="H831" s="74">
        <f t="shared" si="204"/>
        <v>1867841</v>
      </c>
      <c r="I831" s="74">
        <f t="shared" si="204"/>
        <v>1868013</v>
      </c>
    </row>
    <row r="832" spans="1:11" ht="25.5">
      <c r="A832" s="16" t="s">
        <v>57</v>
      </c>
      <c r="B832" s="14">
        <v>793</v>
      </c>
      <c r="C832" s="15" t="s">
        <v>19</v>
      </c>
      <c r="D832" s="15" t="s">
        <v>28</v>
      </c>
      <c r="E832" s="15" t="s">
        <v>249</v>
      </c>
      <c r="F832" s="15" t="s">
        <v>60</v>
      </c>
      <c r="G832" s="74">
        <f>1852193+580557.06+300000</f>
        <v>2732750.06</v>
      </c>
      <c r="H832" s="74">
        <v>1867841</v>
      </c>
      <c r="I832" s="74">
        <v>1868013</v>
      </c>
    </row>
    <row r="833" spans="1:9" ht="51">
      <c r="A833" s="16" t="s">
        <v>77</v>
      </c>
      <c r="B833" s="14">
        <v>793</v>
      </c>
      <c r="C833" s="15" t="s">
        <v>19</v>
      </c>
      <c r="D833" s="15" t="s">
        <v>55</v>
      </c>
      <c r="E833" s="15"/>
      <c r="F833" s="15"/>
      <c r="G833" s="74">
        <f>G838+G834</f>
        <v>31233189.520000003</v>
      </c>
      <c r="H833" s="74">
        <f>H838+H834</f>
        <v>31247537.060000002</v>
      </c>
      <c r="I833" s="74">
        <f>I838+I834</f>
        <v>31483789.139999997</v>
      </c>
    </row>
    <row r="834" spans="1:9" ht="27" customHeight="1">
      <c r="A834" s="37" t="s">
        <v>740</v>
      </c>
      <c r="B834" s="14">
        <v>793</v>
      </c>
      <c r="C834" s="15" t="s">
        <v>19</v>
      </c>
      <c r="D834" s="15" t="s">
        <v>55</v>
      </c>
      <c r="E834" s="14" t="s">
        <v>250</v>
      </c>
      <c r="F834" s="14"/>
      <c r="G834" s="74">
        <f>G837</f>
        <v>35000</v>
      </c>
      <c r="H834" s="74">
        <f>H837</f>
        <v>35000</v>
      </c>
      <c r="I834" s="74">
        <f>I837</f>
        <v>35000</v>
      </c>
    </row>
    <row r="835" spans="1:9" ht="25.5">
      <c r="A835" s="16" t="s">
        <v>333</v>
      </c>
      <c r="B835" s="14">
        <v>793</v>
      </c>
      <c r="C835" s="15" t="s">
        <v>19</v>
      </c>
      <c r="D835" s="15" t="s">
        <v>55</v>
      </c>
      <c r="E835" s="15" t="s">
        <v>251</v>
      </c>
      <c r="F835" s="15"/>
      <c r="G835" s="74">
        <f t="shared" ref="G835:I836" si="205">G836</f>
        <v>35000</v>
      </c>
      <c r="H835" s="74">
        <f t="shared" si="205"/>
        <v>35000</v>
      </c>
      <c r="I835" s="74">
        <f t="shared" si="205"/>
        <v>35000</v>
      </c>
    </row>
    <row r="836" spans="1:9" ht="19.5" customHeight="1">
      <c r="A836" s="16" t="s">
        <v>334</v>
      </c>
      <c r="B836" s="14">
        <v>793</v>
      </c>
      <c r="C836" s="15" t="s">
        <v>19</v>
      </c>
      <c r="D836" s="15" t="s">
        <v>55</v>
      </c>
      <c r="E836" s="15" t="s">
        <v>251</v>
      </c>
      <c r="F836" s="15" t="s">
        <v>37</v>
      </c>
      <c r="G836" s="74">
        <f t="shared" si="205"/>
        <v>35000</v>
      </c>
      <c r="H836" s="74">
        <f t="shared" si="205"/>
        <v>35000</v>
      </c>
      <c r="I836" s="74">
        <f t="shared" si="205"/>
        <v>35000</v>
      </c>
    </row>
    <row r="837" spans="1:9" ht="25.5">
      <c r="A837" s="16" t="s">
        <v>38</v>
      </c>
      <c r="B837" s="14">
        <v>793</v>
      </c>
      <c r="C837" s="15" t="s">
        <v>19</v>
      </c>
      <c r="D837" s="15" t="s">
        <v>55</v>
      </c>
      <c r="E837" s="15" t="s">
        <v>251</v>
      </c>
      <c r="F837" s="15" t="s">
        <v>39</v>
      </c>
      <c r="G837" s="74">
        <v>35000</v>
      </c>
      <c r="H837" s="74">
        <v>35000</v>
      </c>
      <c r="I837" s="74">
        <v>35000</v>
      </c>
    </row>
    <row r="838" spans="1:9" s="46" customFormat="1" ht="25.5">
      <c r="A838" s="16" t="s">
        <v>328</v>
      </c>
      <c r="B838" s="14">
        <v>793</v>
      </c>
      <c r="C838" s="15" t="s">
        <v>19</v>
      </c>
      <c r="D838" s="15" t="s">
        <v>55</v>
      </c>
      <c r="E838" s="15" t="s">
        <v>247</v>
      </c>
      <c r="F838" s="15"/>
      <c r="G838" s="74">
        <f>G839</f>
        <v>31198189.520000003</v>
      </c>
      <c r="H838" s="74">
        <f>H839</f>
        <v>31212537.060000002</v>
      </c>
      <c r="I838" s="74">
        <f>I839</f>
        <v>31448789.139999997</v>
      </c>
    </row>
    <row r="839" spans="1:9" s="46" customFormat="1">
      <c r="A839" s="56" t="s">
        <v>335</v>
      </c>
      <c r="B839" s="14">
        <v>793</v>
      </c>
      <c r="C839" s="15" t="s">
        <v>19</v>
      </c>
      <c r="D839" s="15" t="s">
        <v>55</v>
      </c>
      <c r="E839" s="15" t="s">
        <v>252</v>
      </c>
      <c r="F839" s="15"/>
      <c r="G839" s="74">
        <f>G840+G864+G847+G859+G852</f>
        <v>31198189.520000003</v>
      </c>
      <c r="H839" s="74">
        <f t="shared" ref="H839:I839" si="206">H840+H864+H847+H859+H852</f>
        <v>31212537.060000002</v>
      </c>
      <c r="I839" s="74">
        <f t="shared" si="206"/>
        <v>31448789.139999997</v>
      </c>
    </row>
    <row r="840" spans="1:9" s="46" customFormat="1" ht="25.5">
      <c r="A840" s="16" t="s">
        <v>78</v>
      </c>
      <c r="B840" s="14">
        <v>793</v>
      </c>
      <c r="C840" s="15" t="s">
        <v>19</v>
      </c>
      <c r="D840" s="15" t="s">
        <v>55</v>
      </c>
      <c r="E840" s="15" t="s">
        <v>253</v>
      </c>
      <c r="F840" s="15"/>
      <c r="G840" s="74">
        <f>G841+G843+G845</f>
        <v>24593667.670000002</v>
      </c>
      <c r="H840" s="74">
        <f t="shared" ref="H840:I840" si="207">H841+H843+H845</f>
        <v>24550210</v>
      </c>
      <c r="I840" s="74">
        <f t="shared" si="207"/>
        <v>24552929</v>
      </c>
    </row>
    <row r="841" spans="1:9" s="46" customFormat="1" ht="51">
      <c r="A841" s="16" t="s">
        <v>330</v>
      </c>
      <c r="B841" s="14">
        <v>793</v>
      </c>
      <c r="C841" s="15" t="s">
        <v>19</v>
      </c>
      <c r="D841" s="15" t="s">
        <v>55</v>
      </c>
      <c r="E841" s="15" t="s">
        <v>253</v>
      </c>
      <c r="F841" s="15" t="s">
        <v>59</v>
      </c>
      <c r="G841" s="74">
        <f>G842</f>
        <v>22627228.32</v>
      </c>
      <c r="H841" s="74">
        <f>H842</f>
        <v>22963960</v>
      </c>
      <c r="I841" s="74">
        <f>I842</f>
        <v>22966679</v>
      </c>
    </row>
    <row r="842" spans="1:9" s="46" customFormat="1" ht="25.5">
      <c r="A842" s="16" t="s">
        <v>57</v>
      </c>
      <c r="B842" s="14">
        <v>793</v>
      </c>
      <c r="C842" s="15" t="s">
        <v>19</v>
      </c>
      <c r="D842" s="15" t="s">
        <v>55</v>
      </c>
      <c r="E842" s="15" t="s">
        <v>253</v>
      </c>
      <c r="F842" s="15" t="s">
        <v>60</v>
      </c>
      <c r="G842" s="74">
        <f>22663485.32-36257</f>
        <v>22627228.32</v>
      </c>
      <c r="H842" s="74">
        <v>22963960</v>
      </c>
      <c r="I842" s="74">
        <v>22966679</v>
      </c>
    </row>
    <row r="843" spans="1:9" s="46" customFormat="1" ht="15" customHeight="1">
      <c r="A843" s="16" t="s">
        <v>334</v>
      </c>
      <c r="B843" s="14">
        <v>793</v>
      </c>
      <c r="C843" s="15" t="s">
        <v>19</v>
      </c>
      <c r="D843" s="15" t="s">
        <v>55</v>
      </c>
      <c r="E843" s="15" t="s">
        <v>253</v>
      </c>
      <c r="F843" s="15" t="s">
        <v>37</v>
      </c>
      <c r="G843" s="74">
        <f>G844</f>
        <v>1966413.39</v>
      </c>
      <c r="H843" s="74">
        <f>H844</f>
        <v>1583250</v>
      </c>
      <c r="I843" s="74">
        <f>I844</f>
        <v>1583250</v>
      </c>
    </row>
    <row r="844" spans="1:9" s="46" customFormat="1" ht="25.5">
      <c r="A844" s="16" t="s">
        <v>38</v>
      </c>
      <c r="B844" s="14">
        <v>793</v>
      </c>
      <c r="C844" s="15" t="s">
        <v>19</v>
      </c>
      <c r="D844" s="15" t="s">
        <v>55</v>
      </c>
      <c r="E844" s="15" t="s">
        <v>253</v>
      </c>
      <c r="F844" s="15" t="s">
        <v>39</v>
      </c>
      <c r="G844" s="74">
        <f>1930156.39+36257</f>
        <v>1966413.39</v>
      </c>
      <c r="H844" s="74">
        <f t="shared" ref="H844:I844" si="208">731250+100000+55000+165000+100000+432000</f>
        <v>1583250</v>
      </c>
      <c r="I844" s="74">
        <f t="shared" si="208"/>
        <v>1583250</v>
      </c>
    </row>
    <row r="845" spans="1:9" s="46" customFormat="1" ht="17.25" customHeight="1">
      <c r="A845" s="16" t="s">
        <v>64</v>
      </c>
      <c r="B845" s="14">
        <v>793</v>
      </c>
      <c r="C845" s="15" t="s">
        <v>19</v>
      </c>
      <c r="D845" s="15" t="s">
        <v>55</v>
      </c>
      <c r="E845" s="15" t="s">
        <v>253</v>
      </c>
      <c r="F845" s="15" t="s">
        <v>65</v>
      </c>
      <c r="G845" s="74">
        <f>G846</f>
        <v>25.96</v>
      </c>
      <c r="H845" s="74">
        <f t="shared" ref="H845:I845" si="209">H846</f>
        <v>3000</v>
      </c>
      <c r="I845" s="74">
        <f t="shared" si="209"/>
        <v>3000</v>
      </c>
    </row>
    <row r="846" spans="1:9" s="46" customFormat="1">
      <c r="A846" s="16" t="s">
        <v>150</v>
      </c>
      <c r="B846" s="14">
        <v>793</v>
      </c>
      <c r="C846" s="15" t="s">
        <v>19</v>
      </c>
      <c r="D846" s="15" t="s">
        <v>55</v>
      </c>
      <c r="E846" s="15" t="s">
        <v>253</v>
      </c>
      <c r="F846" s="15" t="s">
        <v>68</v>
      </c>
      <c r="G846" s="74">
        <v>25.96</v>
      </c>
      <c r="H846" s="74">
        <v>3000</v>
      </c>
      <c r="I846" s="74">
        <v>3000</v>
      </c>
    </row>
    <row r="847" spans="1:9" s="3" customFormat="1" ht="80.25" customHeight="1">
      <c r="A847" s="16" t="s">
        <v>708</v>
      </c>
      <c r="B847" s="14">
        <v>793</v>
      </c>
      <c r="C847" s="15" t="s">
        <v>19</v>
      </c>
      <c r="D847" s="15" t="s">
        <v>55</v>
      </c>
      <c r="E847" s="15" t="s">
        <v>706</v>
      </c>
      <c r="F847" s="15"/>
      <c r="G847" s="74">
        <f>G848+G850</f>
        <v>4561821.34</v>
      </c>
      <c r="H847" s="74">
        <f>H848+H850</f>
        <v>4801569.55</v>
      </c>
      <c r="I847" s="74">
        <f>I848+I850</f>
        <v>4970232.33</v>
      </c>
    </row>
    <row r="848" spans="1:9" s="3" customFormat="1" ht="51">
      <c r="A848" s="16" t="s">
        <v>330</v>
      </c>
      <c r="B848" s="14">
        <v>793</v>
      </c>
      <c r="C848" s="15" t="s">
        <v>19</v>
      </c>
      <c r="D848" s="15" t="s">
        <v>55</v>
      </c>
      <c r="E848" s="15" t="s">
        <v>706</v>
      </c>
      <c r="F848" s="15" t="s">
        <v>59</v>
      </c>
      <c r="G848" s="74">
        <f>G849</f>
        <v>3628407.9299999997</v>
      </c>
      <c r="H848" s="74">
        <f>H849</f>
        <v>3870820</v>
      </c>
      <c r="I848" s="74">
        <f>I849</f>
        <v>4023332</v>
      </c>
    </row>
    <row r="849" spans="1:12" s="3" customFormat="1" ht="25.5">
      <c r="A849" s="16" t="s">
        <v>57</v>
      </c>
      <c r="B849" s="14">
        <v>793</v>
      </c>
      <c r="C849" s="15" t="s">
        <v>19</v>
      </c>
      <c r="D849" s="15" t="s">
        <v>55</v>
      </c>
      <c r="E849" s="15" t="s">
        <v>706</v>
      </c>
      <c r="F849" s="15" t="s">
        <v>60</v>
      </c>
      <c r="G849" s="74">
        <f>3581028.34+47379.59</f>
        <v>3628407.9299999997</v>
      </c>
      <c r="H849" s="74">
        <v>3870820</v>
      </c>
      <c r="I849" s="74">
        <v>4023332</v>
      </c>
      <c r="L849" s="152"/>
    </row>
    <row r="850" spans="1:12" s="3" customFormat="1" ht="21.75" customHeight="1">
      <c r="A850" s="16" t="s">
        <v>334</v>
      </c>
      <c r="B850" s="14">
        <v>793</v>
      </c>
      <c r="C850" s="15" t="s">
        <v>19</v>
      </c>
      <c r="D850" s="15" t="s">
        <v>55</v>
      </c>
      <c r="E850" s="15" t="s">
        <v>706</v>
      </c>
      <c r="F850" s="15" t="s">
        <v>37</v>
      </c>
      <c r="G850" s="74">
        <f>G851</f>
        <v>933413.41</v>
      </c>
      <c r="H850" s="74">
        <f>H851</f>
        <v>930749.55</v>
      </c>
      <c r="I850" s="74">
        <f>I851</f>
        <v>946900.33</v>
      </c>
    </row>
    <row r="851" spans="1:12" s="3" customFormat="1" ht="25.5">
      <c r="A851" s="16" t="s">
        <v>38</v>
      </c>
      <c r="B851" s="14">
        <v>793</v>
      </c>
      <c r="C851" s="15" t="s">
        <v>19</v>
      </c>
      <c r="D851" s="15" t="s">
        <v>55</v>
      </c>
      <c r="E851" s="15" t="s">
        <v>706</v>
      </c>
      <c r="F851" s="15" t="s">
        <v>39</v>
      </c>
      <c r="G851" s="74">
        <f>980793-47379.59</f>
        <v>933413.41</v>
      </c>
      <c r="H851" s="74">
        <v>930749.55</v>
      </c>
      <c r="I851" s="74">
        <v>946900.33</v>
      </c>
    </row>
    <row r="852" spans="1:12" s="3" customFormat="1" ht="76.5">
      <c r="A852" s="16" t="s">
        <v>709</v>
      </c>
      <c r="B852" s="14">
        <v>793</v>
      </c>
      <c r="C852" s="15" t="s">
        <v>19</v>
      </c>
      <c r="D852" s="15" t="s">
        <v>55</v>
      </c>
      <c r="E852" s="15" t="s">
        <v>710</v>
      </c>
      <c r="F852" s="15"/>
      <c r="G852" s="74">
        <f>G853+G857</f>
        <v>1662560.4100000001</v>
      </c>
      <c r="H852" s="74">
        <f>H853+H857</f>
        <v>1477406.01</v>
      </c>
      <c r="I852" s="74">
        <f>I853+I857</f>
        <v>1529302.25</v>
      </c>
    </row>
    <row r="853" spans="1:12" s="3" customFormat="1" ht="51">
      <c r="A853" s="16" t="s">
        <v>330</v>
      </c>
      <c r="B853" s="14">
        <v>793</v>
      </c>
      <c r="C853" s="15" t="s">
        <v>19</v>
      </c>
      <c r="D853" s="15" t="s">
        <v>55</v>
      </c>
      <c r="E853" s="15" t="s">
        <v>710</v>
      </c>
      <c r="F853" s="15" t="s">
        <v>59</v>
      </c>
      <c r="G853" s="74">
        <f>G854</f>
        <v>1554505.61</v>
      </c>
      <c r="H853" s="74">
        <f>H854</f>
        <v>1437851</v>
      </c>
      <c r="I853" s="74">
        <f>I854</f>
        <v>1494966</v>
      </c>
    </row>
    <row r="854" spans="1:12" s="3" customFormat="1" ht="25.5">
      <c r="A854" s="16" t="s">
        <v>57</v>
      </c>
      <c r="B854" s="14">
        <v>793</v>
      </c>
      <c r="C854" s="15" t="s">
        <v>19</v>
      </c>
      <c r="D854" s="15" t="s">
        <v>55</v>
      </c>
      <c r="E854" s="15" t="s">
        <v>710</v>
      </c>
      <c r="F854" s="15" t="s">
        <v>60</v>
      </c>
      <c r="G854" s="74">
        <f>1423714.52+95201+26335+9255.09</f>
        <v>1554505.61</v>
      </c>
      <c r="H854" s="74">
        <v>1437851</v>
      </c>
      <c r="I854" s="74">
        <v>1494966</v>
      </c>
    </row>
    <row r="855" spans="1:12" s="3" customFormat="1" ht="38.25" hidden="1">
      <c r="A855" s="16" t="s">
        <v>58</v>
      </c>
      <c r="B855" s="14">
        <v>793</v>
      </c>
      <c r="C855" s="15" t="s">
        <v>19</v>
      </c>
      <c r="D855" s="15" t="s">
        <v>55</v>
      </c>
      <c r="E855" s="15" t="s">
        <v>710</v>
      </c>
      <c r="F855" s="15" t="s">
        <v>61</v>
      </c>
      <c r="G855" s="74"/>
      <c r="H855" s="74"/>
      <c r="I855" s="74"/>
    </row>
    <row r="856" spans="1:12" s="3" customFormat="1" ht="38.25" hidden="1">
      <c r="A856" s="16" t="s">
        <v>62</v>
      </c>
      <c r="B856" s="14">
        <v>793</v>
      </c>
      <c r="C856" s="15" t="s">
        <v>19</v>
      </c>
      <c r="D856" s="15" t="s">
        <v>55</v>
      </c>
      <c r="E856" s="15" t="s">
        <v>710</v>
      </c>
      <c r="F856" s="15" t="s">
        <v>63</v>
      </c>
      <c r="G856" s="74"/>
      <c r="H856" s="74"/>
      <c r="I856" s="74"/>
    </row>
    <row r="857" spans="1:12" s="3" customFormat="1" ht="20.25" customHeight="1">
      <c r="A857" s="16" t="s">
        <v>334</v>
      </c>
      <c r="B857" s="14">
        <v>793</v>
      </c>
      <c r="C857" s="15" t="s">
        <v>19</v>
      </c>
      <c r="D857" s="15" t="s">
        <v>55</v>
      </c>
      <c r="E857" s="15" t="s">
        <v>710</v>
      </c>
      <c r="F857" s="15" t="s">
        <v>37</v>
      </c>
      <c r="G857" s="74">
        <f>G858</f>
        <v>108054.8</v>
      </c>
      <c r="H857" s="74">
        <f>H858</f>
        <v>39555.01</v>
      </c>
      <c r="I857" s="74">
        <f>I858</f>
        <v>34336.25</v>
      </c>
    </row>
    <row r="858" spans="1:12" s="3" customFormat="1" ht="25.5">
      <c r="A858" s="16" t="s">
        <v>38</v>
      </c>
      <c r="B858" s="14">
        <v>793</v>
      </c>
      <c r="C858" s="15" t="s">
        <v>19</v>
      </c>
      <c r="D858" s="15" t="s">
        <v>55</v>
      </c>
      <c r="E858" s="15" t="s">
        <v>710</v>
      </c>
      <c r="F858" s="15" t="s">
        <v>39</v>
      </c>
      <c r="G858" s="74">
        <f>40845.89+56464+20000-9255.09</f>
        <v>108054.8</v>
      </c>
      <c r="H858" s="74">
        <v>39555.01</v>
      </c>
      <c r="I858" s="74">
        <v>34336.25</v>
      </c>
    </row>
    <row r="859" spans="1:12" ht="13.5" customHeight="1">
      <c r="A859" s="85" t="s">
        <v>340</v>
      </c>
      <c r="B859" s="14">
        <v>793</v>
      </c>
      <c r="C859" s="15" t="s">
        <v>19</v>
      </c>
      <c r="D859" s="15" t="s">
        <v>55</v>
      </c>
      <c r="E859" s="15" t="s">
        <v>254</v>
      </c>
      <c r="F859" s="15"/>
      <c r="G859" s="74">
        <f>G860+G862</f>
        <v>366140.1</v>
      </c>
      <c r="H859" s="74">
        <f>H860+H862</f>
        <v>369351.5</v>
      </c>
      <c r="I859" s="74">
        <f>I860+I862</f>
        <v>382325.56</v>
      </c>
    </row>
    <row r="860" spans="1:12" s="3" customFormat="1" ht="51">
      <c r="A860" s="16" t="s">
        <v>330</v>
      </c>
      <c r="B860" s="14">
        <v>793</v>
      </c>
      <c r="C860" s="15" t="s">
        <v>19</v>
      </c>
      <c r="D860" s="15" t="s">
        <v>55</v>
      </c>
      <c r="E860" s="15" t="s">
        <v>254</v>
      </c>
      <c r="F860" s="15" t="s">
        <v>59</v>
      </c>
      <c r="G860" s="74">
        <f>G861</f>
        <v>341893.67</v>
      </c>
      <c r="H860" s="74">
        <f>H861</f>
        <v>360351.5</v>
      </c>
      <c r="I860" s="74">
        <f>I861</f>
        <v>373325.56</v>
      </c>
    </row>
    <row r="861" spans="1:12" s="3" customFormat="1" ht="25.5">
      <c r="A861" s="16" t="s">
        <v>57</v>
      </c>
      <c r="B861" s="14">
        <v>793</v>
      </c>
      <c r="C861" s="15" t="s">
        <v>19</v>
      </c>
      <c r="D861" s="15" t="s">
        <v>55</v>
      </c>
      <c r="E861" s="15" t="s">
        <v>254</v>
      </c>
      <c r="F861" s="15" t="s">
        <v>60</v>
      </c>
      <c r="G861" s="74">
        <v>341893.67</v>
      </c>
      <c r="H861" s="74">
        <v>360351.5</v>
      </c>
      <c r="I861" s="74">
        <v>373325.56</v>
      </c>
    </row>
    <row r="862" spans="1:12" ht="19.5" customHeight="1">
      <c r="A862" s="16" t="s">
        <v>334</v>
      </c>
      <c r="B862" s="14">
        <v>793</v>
      </c>
      <c r="C862" s="15" t="s">
        <v>19</v>
      </c>
      <c r="D862" s="15" t="s">
        <v>55</v>
      </c>
      <c r="E862" s="15" t="s">
        <v>254</v>
      </c>
      <c r="F862" s="15" t="s">
        <v>37</v>
      </c>
      <c r="G862" s="74">
        <f>G863</f>
        <v>24246.43</v>
      </c>
      <c r="H862" s="74">
        <f>H863</f>
        <v>9000</v>
      </c>
      <c r="I862" s="74">
        <f>I863</f>
        <v>9000</v>
      </c>
    </row>
    <row r="863" spans="1:12" ht="25.5" customHeight="1">
      <c r="A863" s="16" t="s">
        <v>38</v>
      </c>
      <c r="B863" s="14">
        <v>793</v>
      </c>
      <c r="C863" s="15" t="s">
        <v>19</v>
      </c>
      <c r="D863" s="15" t="s">
        <v>55</v>
      </c>
      <c r="E863" s="15" t="s">
        <v>254</v>
      </c>
      <c r="F863" s="15" t="s">
        <v>39</v>
      </c>
      <c r="G863" s="74">
        <v>24246.43</v>
      </c>
      <c r="H863" s="74">
        <v>9000</v>
      </c>
      <c r="I863" s="74">
        <v>9000</v>
      </c>
    </row>
    <row r="864" spans="1:12" s="46" customFormat="1" ht="63.75">
      <c r="A864" s="16" t="s">
        <v>341</v>
      </c>
      <c r="B864" s="14">
        <v>793</v>
      </c>
      <c r="C864" s="15" t="s">
        <v>19</v>
      </c>
      <c r="D864" s="15" t="s">
        <v>55</v>
      </c>
      <c r="E864" s="15" t="s">
        <v>397</v>
      </c>
      <c r="F864" s="15"/>
      <c r="G864" s="74">
        <f t="shared" ref="G864:I865" si="210">G865</f>
        <v>14000</v>
      </c>
      <c r="H864" s="74">
        <f t="shared" si="210"/>
        <v>14000</v>
      </c>
      <c r="I864" s="74">
        <f t="shared" si="210"/>
        <v>14000</v>
      </c>
    </row>
    <row r="865" spans="1:9" s="46" customFormat="1" ht="25.5">
      <c r="A865" s="16" t="s">
        <v>334</v>
      </c>
      <c r="B865" s="14">
        <v>793</v>
      </c>
      <c r="C865" s="15" t="s">
        <v>19</v>
      </c>
      <c r="D865" s="15" t="s">
        <v>55</v>
      </c>
      <c r="E865" s="15" t="s">
        <v>397</v>
      </c>
      <c r="F865" s="15" t="s">
        <v>37</v>
      </c>
      <c r="G865" s="74">
        <f t="shared" si="210"/>
        <v>14000</v>
      </c>
      <c r="H865" s="74">
        <f t="shared" si="210"/>
        <v>14000</v>
      </c>
      <c r="I865" s="74">
        <f t="shared" si="210"/>
        <v>14000</v>
      </c>
    </row>
    <row r="866" spans="1:9" s="46" customFormat="1" ht="25.5">
      <c r="A866" s="16" t="s">
        <v>38</v>
      </c>
      <c r="B866" s="14">
        <v>793</v>
      </c>
      <c r="C866" s="15" t="s">
        <v>19</v>
      </c>
      <c r="D866" s="15" t="s">
        <v>55</v>
      </c>
      <c r="E866" s="15" t="s">
        <v>397</v>
      </c>
      <c r="F866" s="15" t="s">
        <v>39</v>
      </c>
      <c r="G866" s="74">
        <v>14000</v>
      </c>
      <c r="H866" s="74">
        <v>14000</v>
      </c>
      <c r="I866" s="74">
        <v>14000</v>
      </c>
    </row>
    <row r="867" spans="1:9" s="46" customFormat="1">
      <c r="A867" s="16" t="s">
        <v>286</v>
      </c>
      <c r="B867" s="14">
        <v>793</v>
      </c>
      <c r="C867" s="15" t="s">
        <v>19</v>
      </c>
      <c r="D867" s="15" t="s">
        <v>180</v>
      </c>
      <c r="E867" s="15"/>
      <c r="F867" s="15"/>
      <c r="G867" s="74">
        <f t="shared" ref="G867:I875" si="211">G868</f>
        <v>9704.2199999999993</v>
      </c>
      <c r="H867" s="74">
        <f t="shared" si="211"/>
        <v>108967.95</v>
      </c>
      <c r="I867" s="74">
        <f t="shared" si="211"/>
        <v>4005.55</v>
      </c>
    </row>
    <row r="868" spans="1:9" s="46" customFormat="1">
      <c r="A868" s="16" t="s">
        <v>287</v>
      </c>
      <c r="B868" s="14">
        <v>793</v>
      </c>
      <c r="C868" s="15" t="s">
        <v>19</v>
      </c>
      <c r="D868" s="15" t="s">
        <v>180</v>
      </c>
      <c r="E868" s="15" t="s">
        <v>288</v>
      </c>
      <c r="F868" s="15"/>
      <c r="G868" s="74">
        <f t="shared" si="211"/>
        <v>9704.2199999999993</v>
      </c>
      <c r="H868" s="74">
        <f t="shared" si="211"/>
        <v>108967.95</v>
      </c>
      <c r="I868" s="74">
        <f t="shared" si="211"/>
        <v>4005.55</v>
      </c>
    </row>
    <row r="869" spans="1:9" s="46" customFormat="1" ht="51">
      <c r="A869" s="16" t="s">
        <v>290</v>
      </c>
      <c r="B869" s="14">
        <v>793</v>
      </c>
      <c r="C869" s="15" t="s">
        <v>19</v>
      </c>
      <c r="D869" s="15" t="s">
        <v>180</v>
      </c>
      <c r="E869" s="15" t="s">
        <v>385</v>
      </c>
      <c r="F869" s="15"/>
      <c r="G869" s="74">
        <f t="shared" si="211"/>
        <v>9704.2199999999993</v>
      </c>
      <c r="H869" s="74">
        <f t="shared" si="211"/>
        <v>108967.95</v>
      </c>
      <c r="I869" s="74">
        <f t="shared" si="211"/>
        <v>4005.55</v>
      </c>
    </row>
    <row r="870" spans="1:9" s="46" customFormat="1" ht="21.75" customHeight="1">
      <c r="A870" s="16" t="s">
        <v>334</v>
      </c>
      <c r="B870" s="14">
        <v>793</v>
      </c>
      <c r="C870" s="15" t="s">
        <v>19</v>
      </c>
      <c r="D870" s="15" t="s">
        <v>180</v>
      </c>
      <c r="E870" s="15" t="s">
        <v>385</v>
      </c>
      <c r="F870" s="15" t="s">
        <v>37</v>
      </c>
      <c r="G870" s="74">
        <f t="shared" si="211"/>
        <v>9704.2199999999993</v>
      </c>
      <c r="H870" s="74">
        <f t="shared" si="211"/>
        <v>108967.95</v>
      </c>
      <c r="I870" s="74">
        <f t="shared" si="211"/>
        <v>4005.55</v>
      </c>
    </row>
    <row r="871" spans="1:9" s="46" customFormat="1" ht="25.5">
      <c r="A871" s="16" t="s">
        <v>38</v>
      </c>
      <c r="B871" s="14">
        <v>793</v>
      </c>
      <c r="C871" s="15" t="s">
        <v>19</v>
      </c>
      <c r="D871" s="15" t="s">
        <v>180</v>
      </c>
      <c r="E871" s="15" t="s">
        <v>385</v>
      </c>
      <c r="F871" s="15" t="s">
        <v>39</v>
      </c>
      <c r="G871" s="74">
        <v>9704.2199999999993</v>
      </c>
      <c r="H871" s="74">
        <v>108967.95</v>
      </c>
      <c r="I871" s="74">
        <v>4005.55</v>
      </c>
    </row>
    <row r="872" spans="1:9" s="46" customFormat="1">
      <c r="A872" s="16" t="s">
        <v>850</v>
      </c>
      <c r="B872" s="14">
        <v>793</v>
      </c>
      <c r="C872" s="15" t="s">
        <v>19</v>
      </c>
      <c r="D872" s="15" t="s">
        <v>26</v>
      </c>
      <c r="E872" s="15"/>
      <c r="F872" s="15"/>
      <c r="G872" s="74">
        <f>G873</f>
        <v>423976.33</v>
      </c>
      <c r="H872" s="74">
        <f t="shared" ref="H872:I872" si="212">H873</f>
        <v>0</v>
      </c>
      <c r="I872" s="74">
        <f t="shared" si="212"/>
        <v>0</v>
      </c>
    </row>
    <row r="873" spans="1:9" s="46" customFormat="1">
      <c r="A873" s="16" t="s">
        <v>287</v>
      </c>
      <c r="B873" s="14">
        <v>793</v>
      </c>
      <c r="C873" s="15" t="s">
        <v>19</v>
      </c>
      <c r="D873" s="15" t="s">
        <v>26</v>
      </c>
      <c r="E873" s="15" t="s">
        <v>288</v>
      </c>
      <c r="F873" s="15"/>
      <c r="G873" s="74">
        <f t="shared" si="211"/>
        <v>423976.33</v>
      </c>
      <c r="H873" s="74">
        <f t="shared" si="211"/>
        <v>0</v>
      </c>
      <c r="I873" s="74">
        <f t="shared" si="211"/>
        <v>0</v>
      </c>
    </row>
    <row r="874" spans="1:9" s="46" customFormat="1" ht="48" customHeight="1">
      <c r="A874" s="16" t="s">
        <v>849</v>
      </c>
      <c r="B874" s="14">
        <v>793</v>
      </c>
      <c r="C874" s="15" t="s">
        <v>19</v>
      </c>
      <c r="D874" s="15" t="s">
        <v>26</v>
      </c>
      <c r="E874" s="15" t="s">
        <v>847</v>
      </c>
      <c r="F874" s="15"/>
      <c r="G874" s="74">
        <f t="shared" si="211"/>
        <v>423976.33</v>
      </c>
      <c r="H874" s="74">
        <f t="shared" si="211"/>
        <v>0</v>
      </c>
      <c r="I874" s="74">
        <f t="shared" si="211"/>
        <v>0</v>
      </c>
    </row>
    <row r="875" spans="1:9" s="46" customFormat="1" ht="29.25" customHeight="1">
      <c r="A875" s="16" t="s">
        <v>64</v>
      </c>
      <c r="B875" s="14">
        <v>793</v>
      </c>
      <c r="C875" s="15" t="s">
        <v>19</v>
      </c>
      <c r="D875" s="15" t="s">
        <v>26</v>
      </c>
      <c r="E875" s="15" t="s">
        <v>847</v>
      </c>
      <c r="F875" s="15" t="s">
        <v>65</v>
      </c>
      <c r="G875" s="74">
        <f t="shared" si="211"/>
        <v>423976.33</v>
      </c>
      <c r="H875" s="74">
        <f t="shared" si="211"/>
        <v>0</v>
      </c>
      <c r="I875" s="74">
        <f t="shared" si="211"/>
        <v>0</v>
      </c>
    </row>
    <row r="876" spans="1:9" s="46" customFormat="1">
      <c r="A876" s="16" t="s">
        <v>848</v>
      </c>
      <c r="B876" s="14">
        <v>793</v>
      </c>
      <c r="C876" s="15" t="s">
        <v>19</v>
      </c>
      <c r="D876" s="15" t="s">
        <v>26</v>
      </c>
      <c r="E876" s="15" t="s">
        <v>847</v>
      </c>
      <c r="F876" s="15" t="s">
        <v>846</v>
      </c>
      <c r="G876" s="74">
        <v>423976.33</v>
      </c>
      <c r="H876" s="74">
        <v>0</v>
      </c>
      <c r="I876" s="74">
        <v>0</v>
      </c>
    </row>
    <row r="877" spans="1:9" s="18" customFormat="1">
      <c r="A877" s="40" t="s">
        <v>342</v>
      </c>
      <c r="B877" s="14">
        <v>793</v>
      </c>
      <c r="C877" s="15" t="s">
        <v>19</v>
      </c>
      <c r="D877" s="15" t="s">
        <v>73</v>
      </c>
      <c r="E877" s="15"/>
      <c r="F877" s="15"/>
      <c r="G877" s="74">
        <f t="shared" ref="G877:I880" si="213">G878</f>
        <v>508647.8</v>
      </c>
      <c r="H877" s="74">
        <f t="shared" si="213"/>
        <v>1000000</v>
      </c>
      <c r="I877" s="74">
        <f t="shared" si="213"/>
        <v>1000000</v>
      </c>
    </row>
    <row r="878" spans="1:9" s="28" customFormat="1" ht="24.75" customHeight="1">
      <c r="A878" s="37" t="s">
        <v>176</v>
      </c>
      <c r="B878" s="14">
        <v>793</v>
      </c>
      <c r="C878" s="15" t="s">
        <v>19</v>
      </c>
      <c r="D878" s="15" t="s">
        <v>73</v>
      </c>
      <c r="E878" s="15" t="s">
        <v>241</v>
      </c>
      <c r="F878" s="39"/>
      <c r="G878" s="74">
        <f t="shared" si="213"/>
        <v>508647.8</v>
      </c>
      <c r="H878" s="74">
        <f t="shared" si="213"/>
        <v>1000000</v>
      </c>
      <c r="I878" s="74">
        <f t="shared" si="213"/>
        <v>1000000</v>
      </c>
    </row>
    <row r="879" spans="1:9" ht="25.5">
      <c r="A879" s="37" t="s">
        <v>176</v>
      </c>
      <c r="B879" s="14">
        <v>793</v>
      </c>
      <c r="C879" s="15" t="s">
        <v>19</v>
      </c>
      <c r="D879" s="15" t="s">
        <v>73</v>
      </c>
      <c r="E879" s="15" t="s">
        <v>285</v>
      </c>
      <c r="F879" s="14"/>
      <c r="G879" s="74">
        <f t="shared" si="213"/>
        <v>508647.8</v>
      </c>
      <c r="H879" s="74">
        <f t="shared" si="213"/>
        <v>1000000</v>
      </c>
      <c r="I879" s="74">
        <f t="shared" si="213"/>
        <v>1000000</v>
      </c>
    </row>
    <row r="880" spans="1:9">
      <c r="A880" s="16" t="s">
        <v>64</v>
      </c>
      <c r="B880" s="14">
        <v>793</v>
      </c>
      <c r="C880" s="15" t="s">
        <v>19</v>
      </c>
      <c r="D880" s="15" t="s">
        <v>73</v>
      </c>
      <c r="E880" s="15" t="s">
        <v>285</v>
      </c>
      <c r="F880" s="15" t="s">
        <v>65</v>
      </c>
      <c r="G880" s="74">
        <f t="shared" si="213"/>
        <v>508647.8</v>
      </c>
      <c r="H880" s="74">
        <f t="shared" si="213"/>
        <v>1000000</v>
      </c>
      <c r="I880" s="74">
        <f t="shared" si="213"/>
        <v>1000000</v>
      </c>
    </row>
    <row r="881" spans="1:9">
      <c r="A881" s="16" t="s">
        <v>187</v>
      </c>
      <c r="B881" s="14">
        <v>793</v>
      </c>
      <c r="C881" s="15" t="s">
        <v>19</v>
      </c>
      <c r="D881" s="15" t="s">
        <v>73</v>
      </c>
      <c r="E881" s="15" t="s">
        <v>285</v>
      </c>
      <c r="F881" s="15" t="s">
        <v>188</v>
      </c>
      <c r="G881" s="74">
        <f>108647.8+400000</f>
        <v>508647.8</v>
      </c>
      <c r="H881" s="74">
        <v>1000000</v>
      </c>
      <c r="I881" s="74">
        <v>1000000</v>
      </c>
    </row>
    <row r="882" spans="1:9">
      <c r="A882" s="40" t="s">
        <v>22</v>
      </c>
      <c r="B882" s="14">
        <v>793</v>
      </c>
      <c r="C882" s="15" t="s">
        <v>19</v>
      </c>
      <c r="D882" s="15" t="s">
        <v>23</v>
      </c>
      <c r="E882" s="15"/>
      <c r="F882" s="15"/>
      <c r="G882" s="74">
        <f>G883+G919+G930+G909+G902+G946</f>
        <v>26026939.59</v>
      </c>
      <c r="H882" s="74">
        <f>H883+H919+H930+H909+H902</f>
        <v>20243019.289999999</v>
      </c>
      <c r="I882" s="74">
        <f t="shared" ref="I882" si="214">I883+I919+I930+I909+I902</f>
        <v>25595663.289999999</v>
      </c>
    </row>
    <row r="883" spans="1:9" s="33" customFormat="1" ht="51">
      <c r="A883" s="16" t="s">
        <v>491</v>
      </c>
      <c r="B883" s="14">
        <v>793</v>
      </c>
      <c r="C883" s="15" t="s">
        <v>19</v>
      </c>
      <c r="D883" s="15" t="s">
        <v>23</v>
      </c>
      <c r="E883" s="14" t="s">
        <v>255</v>
      </c>
      <c r="F883" s="15"/>
      <c r="G883" s="74">
        <f>G884+G887+G892+G899+G890</f>
        <v>2645761.1900000004</v>
      </c>
      <c r="H883" s="74">
        <f>H884+H887+H892+H899</f>
        <v>1115008.29</v>
      </c>
      <c r="I883" s="74">
        <f>I884+I887+I892+I899</f>
        <v>1115008.29</v>
      </c>
    </row>
    <row r="884" spans="1:9" s="33" customFormat="1" ht="27.75" customHeight="1">
      <c r="A884" s="16" t="s">
        <v>195</v>
      </c>
      <c r="B884" s="14">
        <v>793</v>
      </c>
      <c r="C884" s="15" t="s">
        <v>19</v>
      </c>
      <c r="D884" s="15" t="s">
        <v>23</v>
      </c>
      <c r="E884" s="15" t="s">
        <v>393</v>
      </c>
      <c r="F884" s="15"/>
      <c r="G884" s="74">
        <f t="shared" ref="G884:I885" si="215">G885</f>
        <v>756033</v>
      </c>
      <c r="H884" s="74">
        <f>H885</f>
        <v>500000</v>
      </c>
      <c r="I884" s="74">
        <f t="shared" si="215"/>
        <v>500000</v>
      </c>
    </row>
    <row r="885" spans="1:9" s="33" customFormat="1" ht="28.5" customHeight="1">
      <c r="A885" s="16" t="s">
        <v>30</v>
      </c>
      <c r="B885" s="14">
        <v>793</v>
      </c>
      <c r="C885" s="15" t="s">
        <v>19</v>
      </c>
      <c r="D885" s="15" t="s">
        <v>23</v>
      </c>
      <c r="E885" s="15" t="s">
        <v>393</v>
      </c>
      <c r="F885" s="15" t="s">
        <v>31</v>
      </c>
      <c r="G885" s="74">
        <f t="shared" si="215"/>
        <v>756033</v>
      </c>
      <c r="H885" s="74">
        <f t="shared" si="215"/>
        <v>500000</v>
      </c>
      <c r="I885" s="74">
        <f t="shared" si="215"/>
        <v>500000</v>
      </c>
    </row>
    <row r="886" spans="1:9" s="33" customFormat="1" ht="45.75" customHeight="1">
      <c r="A886" s="16" t="s">
        <v>9</v>
      </c>
      <c r="B886" s="14">
        <v>793</v>
      </c>
      <c r="C886" s="15" t="s">
        <v>19</v>
      </c>
      <c r="D886" s="15" t="s">
        <v>23</v>
      </c>
      <c r="E886" s="15" t="s">
        <v>393</v>
      </c>
      <c r="F886" s="15" t="s">
        <v>8</v>
      </c>
      <c r="G886" s="74">
        <v>756033</v>
      </c>
      <c r="H886" s="74">
        <v>500000</v>
      </c>
      <c r="I886" s="74">
        <v>500000</v>
      </c>
    </row>
    <row r="887" spans="1:9" ht="27.75" customHeight="1">
      <c r="A887" s="119" t="s">
        <v>450</v>
      </c>
      <c r="B887" s="14">
        <v>793</v>
      </c>
      <c r="C887" s="15" t="s">
        <v>19</v>
      </c>
      <c r="D887" s="15" t="s">
        <v>23</v>
      </c>
      <c r="E887" s="15" t="s">
        <v>394</v>
      </c>
      <c r="F887" s="15"/>
      <c r="G887" s="74">
        <f>G888</f>
        <v>1789728.1900000002</v>
      </c>
      <c r="H887" s="74">
        <f>H888+H890</f>
        <v>460008.29</v>
      </c>
      <c r="I887" s="74">
        <f>I888+I890</f>
        <v>460008.29</v>
      </c>
    </row>
    <row r="888" spans="1:9" ht="19.5" customHeight="1">
      <c r="A888" s="16" t="s">
        <v>163</v>
      </c>
      <c r="B888" s="14">
        <v>793</v>
      </c>
      <c r="C888" s="15" t="s">
        <v>19</v>
      </c>
      <c r="D888" s="15" t="s">
        <v>23</v>
      </c>
      <c r="E888" s="15" t="s">
        <v>394</v>
      </c>
      <c r="F888" s="15" t="s">
        <v>164</v>
      </c>
      <c r="G888" s="74">
        <f>G889</f>
        <v>1789728.1900000002</v>
      </c>
      <c r="H888" s="74">
        <f t="shared" ref="H888:I890" si="216">H889</f>
        <v>0</v>
      </c>
      <c r="I888" s="74">
        <f t="shared" si="216"/>
        <v>0</v>
      </c>
    </row>
    <row r="889" spans="1:9" ht="12" customHeight="1">
      <c r="A889" s="16" t="s">
        <v>185</v>
      </c>
      <c r="B889" s="14">
        <v>793</v>
      </c>
      <c r="C889" s="15" t="s">
        <v>19</v>
      </c>
      <c r="D889" s="15" t="s">
        <v>23</v>
      </c>
      <c r="E889" s="15" t="s">
        <v>394</v>
      </c>
      <c r="F889" s="15" t="s">
        <v>186</v>
      </c>
      <c r="G889" s="74">
        <f>438269.62+453900+904026.52-6467.95</f>
        <v>1789728.1900000002</v>
      </c>
      <c r="H889" s="74"/>
      <c r="I889" s="74"/>
    </row>
    <row r="890" spans="1:9" ht="16.5" customHeight="1">
      <c r="A890" s="86" t="s">
        <v>64</v>
      </c>
      <c r="B890" s="14">
        <v>793</v>
      </c>
      <c r="C890" s="15" t="s">
        <v>19</v>
      </c>
      <c r="D890" s="15" t="s">
        <v>23</v>
      </c>
      <c r="E890" s="15" t="s">
        <v>394</v>
      </c>
      <c r="F890" s="15" t="s">
        <v>65</v>
      </c>
      <c r="G890" s="74">
        <f>G891</f>
        <v>0</v>
      </c>
      <c r="H890" s="74">
        <f t="shared" si="216"/>
        <v>460008.29</v>
      </c>
      <c r="I890" s="74">
        <f t="shared" si="216"/>
        <v>460008.29</v>
      </c>
    </row>
    <row r="891" spans="1:9" ht="17.25" customHeight="1">
      <c r="A891" s="86" t="s">
        <v>187</v>
      </c>
      <c r="B891" s="14">
        <v>793</v>
      </c>
      <c r="C891" s="15" t="s">
        <v>19</v>
      </c>
      <c r="D891" s="15" t="s">
        <v>23</v>
      </c>
      <c r="E891" s="15" t="s">
        <v>394</v>
      </c>
      <c r="F891" s="15" t="s">
        <v>188</v>
      </c>
      <c r="G891" s="74"/>
      <c r="H891" s="74">
        <v>460008.29</v>
      </c>
      <c r="I891" s="74">
        <v>460008.29</v>
      </c>
    </row>
    <row r="892" spans="1:9" ht="25.5" customHeight="1">
      <c r="A892" s="16" t="s">
        <v>124</v>
      </c>
      <c r="B892" s="14">
        <v>793</v>
      </c>
      <c r="C892" s="15" t="s">
        <v>19</v>
      </c>
      <c r="D892" s="15" t="s">
        <v>23</v>
      </c>
      <c r="E892" s="15" t="s">
        <v>256</v>
      </c>
      <c r="F892" s="15"/>
      <c r="G892" s="74">
        <f>G893+G897+G895</f>
        <v>65000</v>
      </c>
      <c r="H892" s="74">
        <f t="shared" ref="H892:I892" si="217">H893+H897+H895</f>
        <v>105000</v>
      </c>
      <c r="I892" s="74">
        <f t="shared" si="217"/>
        <v>105000</v>
      </c>
    </row>
    <row r="893" spans="1:9" ht="21.75" customHeight="1">
      <c r="A893" s="16" t="s">
        <v>334</v>
      </c>
      <c r="B893" s="14">
        <v>793</v>
      </c>
      <c r="C893" s="15" t="s">
        <v>19</v>
      </c>
      <c r="D893" s="15" t="s">
        <v>23</v>
      </c>
      <c r="E893" s="15" t="s">
        <v>256</v>
      </c>
      <c r="F893" s="15" t="s">
        <v>37</v>
      </c>
      <c r="G893" s="74">
        <f>G894</f>
        <v>30000</v>
      </c>
      <c r="H893" s="74">
        <f>H894</f>
        <v>70000</v>
      </c>
      <c r="I893" s="74">
        <f>I894</f>
        <v>70000</v>
      </c>
    </row>
    <row r="894" spans="1:9" ht="25.5" customHeight="1">
      <c r="A894" s="16" t="s">
        <v>38</v>
      </c>
      <c r="B894" s="14">
        <v>793</v>
      </c>
      <c r="C894" s="15" t="s">
        <v>19</v>
      </c>
      <c r="D894" s="15" t="s">
        <v>23</v>
      </c>
      <c r="E894" s="15" t="s">
        <v>256</v>
      </c>
      <c r="F894" s="15" t="s">
        <v>39</v>
      </c>
      <c r="G894" s="74">
        <f>70000-40000</f>
        <v>30000</v>
      </c>
      <c r="H894" s="74">
        <v>70000</v>
      </c>
      <c r="I894" s="74">
        <v>70000</v>
      </c>
    </row>
    <row r="895" spans="1:9" ht="25.5" hidden="1" customHeight="1">
      <c r="A895" s="16" t="s">
        <v>30</v>
      </c>
      <c r="B895" s="14">
        <v>793</v>
      </c>
      <c r="C895" s="15" t="s">
        <v>19</v>
      </c>
      <c r="D895" s="15" t="s">
        <v>23</v>
      </c>
      <c r="E895" s="15" t="s">
        <v>256</v>
      </c>
      <c r="F895" s="15" t="s">
        <v>31</v>
      </c>
      <c r="G895" s="74">
        <f>G896</f>
        <v>0</v>
      </c>
      <c r="H895" s="74"/>
      <c r="I895" s="74"/>
    </row>
    <row r="896" spans="1:9" ht="25.5" hidden="1" customHeight="1">
      <c r="A896" s="16" t="s">
        <v>9</v>
      </c>
      <c r="B896" s="14">
        <v>793</v>
      </c>
      <c r="C896" s="15" t="s">
        <v>19</v>
      </c>
      <c r="D896" s="15" t="s">
        <v>23</v>
      </c>
      <c r="E896" s="15" t="s">
        <v>256</v>
      </c>
      <c r="F896" s="15" t="s">
        <v>8</v>
      </c>
      <c r="G896" s="74"/>
      <c r="H896" s="74"/>
      <c r="I896" s="74"/>
    </row>
    <row r="897" spans="1:16" ht="18.75" customHeight="1">
      <c r="A897" s="16" t="s">
        <v>64</v>
      </c>
      <c r="B897" s="14">
        <v>793</v>
      </c>
      <c r="C897" s="15" t="s">
        <v>19</v>
      </c>
      <c r="D897" s="15" t="s">
        <v>23</v>
      </c>
      <c r="E897" s="15" t="s">
        <v>256</v>
      </c>
      <c r="F897" s="15" t="s">
        <v>65</v>
      </c>
      <c r="G897" s="74">
        <f>G898</f>
        <v>35000</v>
      </c>
      <c r="H897" s="74">
        <f t="shared" ref="H897:I897" si="218">H898</f>
        <v>35000</v>
      </c>
      <c r="I897" s="74">
        <f t="shared" si="218"/>
        <v>35000</v>
      </c>
    </row>
    <row r="898" spans="1:16" ht="19.5" customHeight="1">
      <c r="A898" s="16" t="s">
        <v>150</v>
      </c>
      <c r="B898" s="14">
        <v>793</v>
      </c>
      <c r="C898" s="15" t="s">
        <v>19</v>
      </c>
      <c r="D898" s="15" t="s">
        <v>23</v>
      </c>
      <c r="E898" s="15" t="s">
        <v>256</v>
      </c>
      <c r="F898" s="15" t="s">
        <v>68</v>
      </c>
      <c r="G898" s="74">
        <f>35000</f>
        <v>35000</v>
      </c>
      <c r="H898" s="74">
        <v>35000</v>
      </c>
      <c r="I898" s="74">
        <v>35000</v>
      </c>
    </row>
    <row r="899" spans="1:16" ht="16.5" customHeight="1">
      <c r="A899" s="16" t="s">
        <v>464</v>
      </c>
      <c r="B899" s="14">
        <v>793</v>
      </c>
      <c r="C899" s="15" t="s">
        <v>19</v>
      </c>
      <c r="D899" s="15" t="s">
        <v>23</v>
      </c>
      <c r="E899" s="15" t="s">
        <v>465</v>
      </c>
      <c r="F899" s="15"/>
      <c r="G899" s="74">
        <f>G900</f>
        <v>35000</v>
      </c>
      <c r="H899" s="74">
        <f t="shared" ref="H899:I899" si="219">H900</f>
        <v>50000</v>
      </c>
      <c r="I899" s="74">
        <f t="shared" si="219"/>
        <v>50000</v>
      </c>
    </row>
    <row r="900" spans="1:16" ht="25.5" customHeight="1">
      <c r="A900" s="16" t="s">
        <v>334</v>
      </c>
      <c r="B900" s="14">
        <v>793</v>
      </c>
      <c r="C900" s="15" t="s">
        <v>19</v>
      </c>
      <c r="D900" s="15" t="s">
        <v>23</v>
      </c>
      <c r="E900" s="15" t="s">
        <v>465</v>
      </c>
      <c r="F900" s="15" t="s">
        <v>37</v>
      </c>
      <c r="G900" s="74">
        <f>G901</f>
        <v>35000</v>
      </c>
      <c r="H900" s="74">
        <f>H901</f>
        <v>50000</v>
      </c>
      <c r="I900" s="74">
        <f>I901</f>
        <v>50000</v>
      </c>
    </row>
    <row r="901" spans="1:16" ht="25.5" customHeight="1">
      <c r="A901" s="16" t="s">
        <v>38</v>
      </c>
      <c r="B901" s="14">
        <v>793</v>
      </c>
      <c r="C901" s="15" t="s">
        <v>19</v>
      </c>
      <c r="D901" s="15" t="s">
        <v>23</v>
      </c>
      <c r="E901" s="15" t="s">
        <v>465</v>
      </c>
      <c r="F901" s="15" t="s">
        <v>39</v>
      </c>
      <c r="G901" s="74">
        <f>50000-15000</f>
        <v>35000</v>
      </c>
      <c r="H901" s="74">
        <v>50000</v>
      </c>
      <c r="I901" s="74">
        <v>50000</v>
      </c>
    </row>
    <row r="902" spans="1:16" ht="25.5" customHeight="1">
      <c r="A902" s="16" t="s">
        <v>622</v>
      </c>
      <c r="B902" s="14">
        <v>793</v>
      </c>
      <c r="C902" s="15" t="s">
        <v>19</v>
      </c>
      <c r="D902" s="15" t="s">
        <v>23</v>
      </c>
      <c r="E902" s="15" t="s">
        <v>200</v>
      </c>
      <c r="F902" s="15"/>
      <c r="G902" s="74">
        <f>G903+G906</f>
        <v>42300</v>
      </c>
      <c r="H902" s="74">
        <f t="shared" ref="H902:I902" si="220">H903+H906</f>
        <v>0</v>
      </c>
      <c r="I902" s="74">
        <f t="shared" si="220"/>
        <v>0</v>
      </c>
    </row>
    <row r="903" spans="1:16" ht="30.75" customHeight="1">
      <c r="A903" s="16" t="s">
        <v>689</v>
      </c>
      <c r="B903" s="14">
        <v>793</v>
      </c>
      <c r="C903" s="15" t="s">
        <v>19</v>
      </c>
      <c r="D903" s="15" t="s">
        <v>23</v>
      </c>
      <c r="E903" s="15" t="s">
        <v>790</v>
      </c>
      <c r="F903" s="15"/>
      <c r="G903" s="74">
        <f>G904</f>
        <v>42300</v>
      </c>
      <c r="H903" s="74">
        <f t="shared" ref="H903:I903" si="221">H904</f>
        <v>0</v>
      </c>
      <c r="I903" s="74">
        <f t="shared" si="221"/>
        <v>0</v>
      </c>
    </row>
    <row r="904" spans="1:16" ht="19.5" customHeight="1">
      <c r="A904" s="16" t="s">
        <v>334</v>
      </c>
      <c r="B904" s="14">
        <v>793</v>
      </c>
      <c r="C904" s="15" t="s">
        <v>19</v>
      </c>
      <c r="D904" s="15" t="s">
        <v>23</v>
      </c>
      <c r="E904" s="15" t="s">
        <v>790</v>
      </c>
      <c r="F904" s="15" t="s">
        <v>37</v>
      </c>
      <c r="G904" s="74">
        <f>G905</f>
        <v>42300</v>
      </c>
      <c r="H904" s="74">
        <f t="shared" ref="H904:I904" si="222">H905</f>
        <v>0</v>
      </c>
      <c r="I904" s="74">
        <f t="shared" si="222"/>
        <v>0</v>
      </c>
    </row>
    <row r="905" spans="1:16" ht="25.5" customHeight="1">
      <c r="A905" s="16" t="s">
        <v>38</v>
      </c>
      <c r="B905" s="14">
        <v>793</v>
      </c>
      <c r="C905" s="15" t="s">
        <v>19</v>
      </c>
      <c r="D905" s="15" t="s">
        <v>23</v>
      </c>
      <c r="E905" s="15" t="s">
        <v>790</v>
      </c>
      <c r="F905" s="15" t="s">
        <v>39</v>
      </c>
      <c r="G905" s="74">
        <v>42300</v>
      </c>
      <c r="H905" s="74">
        <v>0</v>
      </c>
      <c r="I905" s="74">
        <v>0</v>
      </c>
      <c r="P905" s="2"/>
    </row>
    <row r="906" spans="1:16" ht="18" hidden="1" customHeight="1">
      <c r="A906" s="16" t="s">
        <v>687</v>
      </c>
      <c r="B906" s="14">
        <v>793</v>
      </c>
      <c r="C906" s="15" t="s">
        <v>19</v>
      </c>
      <c r="D906" s="15" t="s">
        <v>23</v>
      </c>
      <c r="E906" s="15" t="s">
        <v>686</v>
      </c>
      <c r="F906" s="15"/>
      <c r="G906" s="74">
        <f>G907</f>
        <v>0</v>
      </c>
      <c r="H906" s="74">
        <f t="shared" ref="H906:I907" si="223">H907</f>
        <v>0</v>
      </c>
      <c r="I906" s="74">
        <f t="shared" si="223"/>
        <v>0</v>
      </c>
    </row>
    <row r="907" spans="1:16" ht="19.5" hidden="1" customHeight="1">
      <c r="A907" s="16" t="s">
        <v>334</v>
      </c>
      <c r="B907" s="14">
        <v>793</v>
      </c>
      <c r="C907" s="15" t="s">
        <v>19</v>
      </c>
      <c r="D907" s="15" t="s">
        <v>23</v>
      </c>
      <c r="E907" s="15" t="s">
        <v>686</v>
      </c>
      <c r="F907" s="15" t="s">
        <v>37</v>
      </c>
      <c r="G907" s="74">
        <f>G908</f>
        <v>0</v>
      </c>
      <c r="H907" s="74">
        <f t="shared" si="223"/>
        <v>0</v>
      </c>
      <c r="I907" s="74">
        <f t="shared" si="223"/>
        <v>0</v>
      </c>
    </row>
    <row r="908" spans="1:16" ht="25.5" hidden="1" customHeight="1">
      <c r="A908" s="16" t="s">
        <v>38</v>
      </c>
      <c r="B908" s="14">
        <v>793</v>
      </c>
      <c r="C908" s="15" t="s">
        <v>19</v>
      </c>
      <c r="D908" s="15" t="s">
        <v>23</v>
      </c>
      <c r="E908" s="15" t="s">
        <v>686</v>
      </c>
      <c r="F908" s="15" t="s">
        <v>39</v>
      </c>
      <c r="G908" s="74"/>
      <c r="H908" s="74">
        <v>0</v>
      </c>
      <c r="I908" s="74">
        <v>0</v>
      </c>
    </row>
    <row r="909" spans="1:16" ht="38.25">
      <c r="A909" s="16" t="s">
        <v>461</v>
      </c>
      <c r="B909" s="14">
        <v>793</v>
      </c>
      <c r="C909" s="15" t="s">
        <v>19</v>
      </c>
      <c r="D909" s="15" t="s">
        <v>23</v>
      </c>
      <c r="E909" s="15" t="s">
        <v>257</v>
      </c>
      <c r="F909" s="15"/>
      <c r="G909" s="74">
        <f>G910+G913+G916</f>
        <v>7017854.9100000001</v>
      </c>
      <c r="H909" s="74">
        <f>H910+H913</f>
        <v>2965000</v>
      </c>
      <c r="I909" s="74">
        <f>I910+I913</f>
        <v>8114630</v>
      </c>
    </row>
    <row r="910" spans="1:16" ht="26.25" customHeight="1">
      <c r="A910" s="40" t="s">
        <v>458</v>
      </c>
      <c r="B910" s="14">
        <v>793</v>
      </c>
      <c r="C910" s="15" t="s">
        <v>19</v>
      </c>
      <c r="D910" s="15" t="s">
        <v>23</v>
      </c>
      <c r="E910" s="15" t="s">
        <v>413</v>
      </c>
      <c r="F910" s="15"/>
      <c r="G910" s="74">
        <f t="shared" ref="G910:I911" si="224">G911</f>
        <v>5058854.91</v>
      </c>
      <c r="H910" s="74">
        <f t="shared" si="224"/>
        <v>2920000</v>
      </c>
      <c r="I910" s="74">
        <f t="shared" si="224"/>
        <v>8069630</v>
      </c>
    </row>
    <row r="911" spans="1:16" ht="33.75" customHeight="1">
      <c r="A911" s="16" t="s">
        <v>334</v>
      </c>
      <c r="B911" s="14">
        <v>793</v>
      </c>
      <c r="C911" s="15" t="s">
        <v>19</v>
      </c>
      <c r="D911" s="15" t="s">
        <v>23</v>
      </c>
      <c r="E911" s="15" t="s">
        <v>413</v>
      </c>
      <c r="F911" s="15" t="s">
        <v>37</v>
      </c>
      <c r="G911" s="74">
        <f t="shared" si="224"/>
        <v>5058854.91</v>
      </c>
      <c r="H911" s="74">
        <f t="shared" si="224"/>
        <v>2920000</v>
      </c>
      <c r="I911" s="74">
        <f t="shared" si="224"/>
        <v>8069630</v>
      </c>
    </row>
    <row r="912" spans="1:16" ht="30.75" customHeight="1">
      <c r="A912" s="16" t="s">
        <v>38</v>
      </c>
      <c r="B912" s="14">
        <v>793</v>
      </c>
      <c r="C912" s="15" t="s">
        <v>19</v>
      </c>
      <c r="D912" s="15" t="s">
        <v>23</v>
      </c>
      <c r="E912" s="15" t="s">
        <v>413</v>
      </c>
      <c r="F912" s="15" t="s">
        <v>39</v>
      </c>
      <c r="G912" s="74">
        <f>4550370+508484.91</f>
        <v>5058854.91</v>
      </c>
      <c r="H912" s="74">
        <v>2920000</v>
      </c>
      <c r="I912" s="74">
        <v>8069630</v>
      </c>
    </row>
    <row r="913" spans="1:16" ht="54.75" customHeight="1">
      <c r="A913" s="40" t="s">
        <v>21</v>
      </c>
      <c r="B913" s="14">
        <v>793</v>
      </c>
      <c r="C913" s="15" t="s">
        <v>19</v>
      </c>
      <c r="D913" s="15" t="s">
        <v>23</v>
      </c>
      <c r="E913" s="15" t="s">
        <v>20</v>
      </c>
      <c r="F913" s="15"/>
      <c r="G913" s="74">
        <f t="shared" ref="G913:I914" si="225">G914</f>
        <v>40000</v>
      </c>
      <c r="H913" s="74">
        <f t="shared" si="225"/>
        <v>45000</v>
      </c>
      <c r="I913" s="74">
        <f t="shared" si="225"/>
        <v>45000</v>
      </c>
    </row>
    <row r="914" spans="1:16" ht="18" customHeight="1">
      <c r="A914" s="16" t="s">
        <v>334</v>
      </c>
      <c r="B914" s="14">
        <v>793</v>
      </c>
      <c r="C914" s="15" t="s">
        <v>19</v>
      </c>
      <c r="D914" s="15" t="s">
        <v>23</v>
      </c>
      <c r="E914" s="15" t="s">
        <v>20</v>
      </c>
      <c r="F914" s="15" t="s">
        <v>37</v>
      </c>
      <c r="G914" s="74">
        <f t="shared" si="225"/>
        <v>40000</v>
      </c>
      <c r="H914" s="74">
        <f t="shared" si="225"/>
        <v>45000</v>
      </c>
      <c r="I914" s="74">
        <f t="shared" si="225"/>
        <v>45000</v>
      </c>
    </row>
    <row r="915" spans="1:16" ht="30.75" customHeight="1">
      <c r="A915" s="86" t="s">
        <v>38</v>
      </c>
      <c r="B915" s="14">
        <v>793</v>
      </c>
      <c r="C915" s="15" t="s">
        <v>19</v>
      </c>
      <c r="D915" s="15" t="s">
        <v>23</v>
      </c>
      <c r="E915" s="15" t="s">
        <v>20</v>
      </c>
      <c r="F915" s="15" t="s">
        <v>39</v>
      </c>
      <c r="G915" s="74">
        <v>40000</v>
      </c>
      <c r="H915" s="74">
        <v>45000</v>
      </c>
      <c r="I915" s="74">
        <v>45000</v>
      </c>
    </row>
    <row r="916" spans="1:16" ht="25.5">
      <c r="A916" s="40" t="s">
        <v>866</v>
      </c>
      <c r="B916" s="14">
        <v>793</v>
      </c>
      <c r="C916" s="15" t="s">
        <v>19</v>
      </c>
      <c r="D916" s="15" t="s">
        <v>23</v>
      </c>
      <c r="E916" s="15" t="s">
        <v>865</v>
      </c>
      <c r="F916" s="15"/>
      <c r="G916" s="74">
        <f t="shared" ref="G916:I917" si="226">G917</f>
        <v>1919000</v>
      </c>
      <c r="H916" s="74">
        <f t="shared" si="226"/>
        <v>0</v>
      </c>
      <c r="I916" s="74">
        <f t="shared" si="226"/>
        <v>0</v>
      </c>
    </row>
    <row r="917" spans="1:16" ht="28.5" customHeight="1">
      <c r="A917" s="16" t="s">
        <v>334</v>
      </c>
      <c r="B917" s="14">
        <v>793</v>
      </c>
      <c r="C917" s="15" t="s">
        <v>19</v>
      </c>
      <c r="D917" s="15" t="s">
        <v>23</v>
      </c>
      <c r="E917" s="15" t="s">
        <v>865</v>
      </c>
      <c r="F917" s="15" t="s">
        <v>37</v>
      </c>
      <c r="G917" s="74">
        <f t="shared" si="226"/>
        <v>1919000</v>
      </c>
      <c r="H917" s="74">
        <f t="shared" si="226"/>
        <v>0</v>
      </c>
      <c r="I917" s="74">
        <f t="shared" si="226"/>
        <v>0</v>
      </c>
    </row>
    <row r="918" spans="1:16" ht="30.75" customHeight="1">
      <c r="A918" s="16" t="s">
        <v>38</v>
      </c>
      <c r="B918" s="14">
        <v>793</v>
      </c>
      <c r="C918" s="15" t="s">
        <v>19</v>
      </c>
      <c r="D918" s="15" t="s">
        <v>23</v>
      </c>
      <c r="E918" s="15" t="s">
        <v>865</v>
      </c>
      <c r="F918" s="15" t="s">
        <v>39</v>
      </c>
      <c r="G918" s="74">
        <v>1919000</v>
      </c>
      <c r="H918" s="74">
        <v>0</v>
      </c>
      <c r="I918" s="74">
        <v>0</v>
      </c>
    </row>
    <row r="919" spans="1:16" ht="25.5" customHeight="1">
      <c r="A919" s="86" t="s">
        <v>343</v>
      </c>
      <c r="B919" s="14">
        <v>793</v>
      </c>
      <c r="C919" s="15" t="s">
        <v>19</v>
      </c>
      <c r="D919" s="15" t="s">
        <v>23</v>
      </c>
      <c r="E919" s="15" t="s">
        <v>258</v>
      </c>
      <c r="F919" s="15"/>
      <c r="G919" s="74">
        <f>G920</f>
        <v>14859845.09</v>
      </c>
      <c r="H919" s="74">
        <f t="shared" ref="H919:I919" si="227">H920</f>
        <v>16163011</v>
      </c>
      <c r="I919" s="74">
        <f t="shared" si="227"/>
        <v>16366025</v>
      </c>
    </row>
    <row r="920" spans="1:16" ht="25.5" customHeight="1">
      <c r="A920" s="86" t="s">
        <v>51</v>
      </c>
      <c r="B920" s="14">
        <v>793</v>
      </c>
      <c r="C920" s="15" t="s">
        <v>19</v>
      </c>
      <c r="D920" s="15" t="s">
        <v>23</v>
      </c>
      <c r="E920" s="15" t="s">
        <v>302</v>
      </c>
      <c r="F920" s="15"/>
      <c r="G920" s="74">
        <f>G921+G923+G927+G925</f>
        <v>14859845.09</v>
      </c>
      <c r="H920" s="74">
        <f>H921+H923+H927+H925</f>
        <v>16163011</v>
      </c>
      <c r="I920" s="74">
        <f>I921+I923+I927+I925</f>
        <v>16366025</v>
      </c>
      <c r="O920" s="44"/>
      <c r="P920" s="2"/>
    </row>
    <row r="921" spans="1:16" ht="51">
      <c r="A921" s="16" t="s">
        <v>330</v>
      </c>
      <c r="B921" s="14">
        <v>793</v>
      </c>
      <c r="C921" s="15" t="s">
        <v>19</v>
      </c>
      <c r="D921" s="15" t="s">
        <v>23</v>
      </c>
      <c r="E921" s="15" t="s">
        <v>302</v>
      </c>
      <c r="F921" s="15" t="s">
        <v>59</v>
      </c>
      <c r="G921" s="74">
        <f>G922</f>
        <v>8579009.7799999993</v>
      </c>
      <c r="H921" s="74">
        <f t="shared" ref="H921:I921" si="228">H922</f>
        <v>8610171</v>
      </c>
      <c r="I921" s="74">
        <f t="shared" si="228"/>
        <v>8610171</v>
      </c>
    </row>
    <row r="922" spans="1:16">
      <c r="A922" s="16" t="s">
        <v>337</v>
      </c>
      <c r="B922" s="14">
        <v>793</v>
      </c>
      <c r="C922" s="15" t="s">
        <v>19</v>
      </c>
      <c r="D922" s="15" t="s">
        <v>23</v>
      </c>
      <c r="E922" s="15" t="s">
        <v>302</v>
      </c>
      <c r="F922" s="15" t="s">
        <v>336</v>
      </c>
      <c r="G922" s="74">
        <f>8610171-31161.22</f>
        <v>8579009.7799999993</v>
      </c>
      <c r="H922" s="74">
        <v>8610171</v>
      </c>
      <c r="I922" s="74">
        <v>8610171</v>
      </c>
    </row>
    <row r="923" spans="1:16" ht="33.75" customHeight="1">
      <c r="A923" s="16" t="s">
        <v>334</v>
      </c>
      <c r="B923" s="14">
        <v>793</v>
      </c>
      <c r="C923" s="15" t="s">
        <v>19</v>
      </c>
      <c r="D923" s="15" t="s">
        <v>23</v>
      </c>
      <c r="E923" s="15" t="s">
        <v>302</v>
      </c>
      <c r="F923" s="15" t="s">
        <v>37</v>
      </c>
      <c r="G923" s="74">
        <f>G924</f>
        <v>6224605.6299999999</v>
      </c>
      <c r="H923" s="74">
        <f>H924</f>
        <v>7099260</v>
      </c>
      <c r="I923" s="74">
        <f>I924</f>
        <v>7302274</v>
      </c>
    </row>
    <row r="924" spans="1:16" ht="39.75" customHeight="1">
      <c r="A924" s="16" t="s">
        <v>38</v>
      </c>
      <c r="B924" s="14">
        <v>793</v>
      </c>
      <c r="C924" s="15" t="s">
        <v>19</v>
      </c>
      <c r="D924" s="15" t="s">
        <v>23</v>
      </c>
      <c r="E924" s="15" t="s">
        <v>302</v>
      </c>
      <c r="F924" s="15" t="s">
        <v>39</v>
      </c>
      <c r="G924" s="74">
        <f>6904579+97350.32-300000+31161.22-508484.91</f>
        <v>6224605.6299999999</v>
      </c>
      <c r="H924" s="74">
        <v>7099260</v>
      </c>
      <c r="I924" s="74">
        <f>H924+203014</f>
        <v>7302274</v>
      </c>
    </row>
    <row r="925" spans="1:16" ht="24" hidden="1" customHeight="1">
      <c r="A925" s="16" t="s">
        <v>154</v>
      </c>
      <c r="B925" s="14">
        <v>793</v>
      </c>
      <c r="C925" s="15" t="s">
        <v>19</v>
      </c>
      <c r="D925" s="15" t="s">
        <v>23</v>
      </c>
      <c r="E925" s="15" t="s">
        <v>302</v>
      </c>
      <c r="F925" s="15" t="s">
        <v>155</v>
      </c>
      <c r="G925" s="74">
        <f>G926</f>
        <v>0</v>
      </c>
      <c r="H925" s="74">
        <f>H926</f>
        <v>0</v>
      </c>
      <c r="I925" s="74">
        <f>I926</f>
        <v>0</v>
      </c>
    </row>
    <row r="926" spans="1:16" ht="24" hidden="1" customHeight="1">
      <c r="A926" s="16" t="s">
        <v>156</v>
      </c>
      <c r="B926" s="14">
        <v>793</v>
      </c>
      <c r="C926" s="15" t="s">
        <v>19</v>
      </c>
      <c r="D926" s="15" t="s">
        <v>23</v>
      </c>
      <c r="E926" s="15" t="s">
        <v>302</v>
      </c>
      <c r="F926" s="15" t="s">
        <v>157</v>
      </c>
      <c r="G926" s="74"/>
      <c r="H926" s="74"/>
      <c r="I926" s="74"/>
    </row>
    <row r="927" spans="1:16" ht="18.75" customHeight="1">
      <c r="A927" s="16" t="s">
        <v>64</v>
      </c>
      <c r="B927" s="14">
        <v>793</v>
      </c>
      <c r="C927" s="15" t="s">
        <v>19</v>
      </c>
      <c r="D927" s="15" t="s">
        <v>23</v>
      </c>
      <c r="E927" s="15" t="s">
        <v>302</v>
      </c>
      <c r="F927" s="15" t="s">
        <v>65</v>
      </c>
      <c r="G927" s="74">
        <f>G929+G928+G928</f>
        <v>56229.679999999993</v>
      </c>
      <c r="H927" s="74">
        <f>H929+H928</f>
        <v>453580</v>
      </c>
      <c r="I927" s="74">
        <f>I929+I928</f>
        <v>453580</v>
      </c>
    </row>
    <row r="928" spans="1:16" ht="24" hidden="1" customHeight="1">
      <c r="A928" s="16" t="s">
        <v>339</v>
      </c>
      <c r="B928" s="14">
        <v>793</v>
      </c>
      <c r="C928" s="15" t="s">
        <v>19</v>
      </c>
      <c r="D928" s="15" t="s">
        <v>23</v>
      </c>
      <c r="E928" s="15" t="s">
        <v>302</v>
      </c>
      <c r="F928" s="15" t="s">
        <v>338</v>
      </c>
      <c r="G928" s="74"/>
      <c r="H928" s="74"/>
      <c r="I928" s="74"/>
    </row>
    <row r="929" spans="1:9" ht="17.25" customHeight="1">
      <c r="A929" s="16" t="s">
        <v>150</v>
      </c>
      <c r="B929" s="14">
        <v>793</v>
      </c>
      <c r="C929" s="15" t="s">
        <v>19</v>
      </c>
      <c r="D929" s="15" t="s">
        <v>23</v>
      </c>
      <c r="E929" s="15" t="s">
        <v>302</v>
      </c>
      <c r="F929" s="15" t="s">
        <v>68</v>
      </c>
      <c r="G929" s="74">
        <f>453580-300000-97350.32</f>
        <v>56229.679999999993</v>
      </c>
      <c r="H929" s="74">
        <v>453580</v>
      </c>
      <c r="I929" s="74">
        <v>453580</v>
      </c>
    </row>
    <row r="930" spans="1:9" ht="25.5" customHeight="1">
      <c r="A930" s="16" t="s">
        <v>171</v>
      </c>
      <c r="B930" s="14">
        <v>793</v>
      </c>
      <c r="C930" s="15" t="s">
        <v>19</v>
      </c>
      <c r="D930" s="15" t="s">
        <v>23</v>
      </c>
      <c r="E930" s="15" t="s">
        <v>217</v>
      </c>
      <c r="F930" s="15"/>
      <c r="G930" s="74">
        <f>G931+G940+G943</f>
        <v>997178.4</v>
      </c>
      <c r="H930" s="74">
        <f t="shared" ref="H930:I930" si="229">H931+H940+H943</f>
        <v>0</v>
      </c>
      <c r="I930" s="74">
        <f t="shared" si="229"/>
        <v>0</v>
      </c>
    </row>
    <row r="931" spans="1:9" ht="30.75" customHeight="1">
      <c r="A931" s="16" t="s">
        <v>724</v>
      </c>
      <c r="B931" s="14">
        <v>793</v>
      </c>
      <c r="C931" s="15" t="s">
        <v>19</v>
      </c>
      <c r="D931" s="15" t="s">
        <v>23</v>
      </c>
      <c r="E931" s="15" t="s">
        <v>723</v>
      </c>
      <c r="F931" s="15"/>
      <c r="G931" s="74">
        <f t="shared" ref="G931:I932" si="230">G932</f>
        <v>412178.4</v>
      </c>
      <c r="H931" s="74">
        <f t="shared" si="230"/>
        <v>0</v>
      </c>
      <c r="I931" s="74">
        <f t="shared" si="230"/>
        <v>0</v>
      </c>
    </row>
    <row r="932" spans="1:9" ht="35.25" customHeight="1">
      <c r="A932" s="16" t="s">
        <v>334</v>
      </c>
      <c r="B932" s="14">
        <v>793</v>
      </c>
      <c r="C932" s="15" t="s">
        <v>19</v>
      </c>
      <c r="D932" s="15" t="s">
        <v>23</v>
      </c>
      <c r="E932" s="15" t="s">
        <v>723</v>
      </c>
      <c r="F932" s="15" t="s">
        <v>37</v>
      </c>
      <c r="G932" s="74">
        <f>G933</f>
        <v>412178.4</v>
      </c>
      <c r="H932" s="74">
        <f t="shared" si="230"/>
        <v>0</v>
      </c>
      <c r="I932" s="74">
        <f t="shared" si="230"/>
        <v>0</v>
      </c>
    </row>
    <row r="933" spans="1:9" ht="32.25" customHeight="1">
      <c r="A933" s="16" t="s">
        <v>38</v>
      </c>
      <c r="B933" s="14">
        <v>793</v>
      </c>
      <c r="C933" s="15" t="s">
        <v>19</v>
      </c>
      <c r="D933" s="15" t="s">
        <v>23</v>
      </c>
      <c r="E933" s="15" t="s">
        <v>723</v>
      </c>
      <c r="F933" s="15" t="s">
        <v>39</v>
      </c>
      <c r="G933" s="74">
        <v>412178.4</v>
      </c>
      <c r="H933" s="74">
        <v>0</v>
      </c>
      <c r="I933" s="74">
        <v>0</v>
      </c>
    </row>
    <row r="934" spans="1:9" ht="30.75" hidden="1" customHeight="1">
      <c r="A934" s="16" t="s">
        <v>419</v>
      </c>
      <c r="B934" s="14">
        <v>793</v>
      </c>
      <c r="C934" s="15" t="s">
        <v>19</v>
      </c>
      <c r="D934" s="15" t="s">
        <v>23</v>
      </c>
      <c r="E934" s="15" t="s">
        <v>418</v>
      </c>
      <c r="F934" s="15"/>
      <c r="G934" s="74">
        <f t="shared" ref="G934:I935" si="231">G935</f>
        <v>0</v>
      </c>
      <c r="H934" s="74">
        <f t="shared" si="231"/>
        <v>0</v>
      </c>
      <c r="I934" s="74">
        <f t="shared" si="231"/>
        <v>0</v>
      </c>
    </row>
    <row r="935" spans="1:9" ht="19.5" hidden="1" customHeight="1">
      <c r="A935" s="16" t="s">
        <v>64</v>
      </c>
      <c r="B935" s="14">
        <v>793</v>
      </c>
      <c r="C935" s="15" t="s">
        <v>19</v>
      </c>
      <c r="D935" s="15" t="s">
        <v>23</v>
      </c>
      <c r="E935" s="15" t="s">
        <v>418</v>
      </c>
      <c r="F935" s="15" t="s">
        <v>65</v>
      </c>
      <c r="G935" s="74">
        <f>G936</f>
        <v>0</v>
      </c>
      <c r="H935" s="74">
        <f t="shared" si="231"/>
        <v>0</v>
      </c>
      <c r="I935" s="74">
        <f t="shared" si="231"/>
        <v>0</v>
      </c>
    </row>
    <row r="936" spans="1:9" ht="18.75" hidden="1" customHeight="1">
      <c r="A936" s="16" t="s">
        <v>339</v>
      </c>
      <c r="B936" s="14">
        <v>793</v>
      </c>
      <c r="C936" s="15" t="s">
        <v>19</v>
      </c>
      <c r="D936" s="15" t="s">
        <v>23</v>
      </c>
      <c r="E936" s="15" t="s">
        <v>418</v>
      </c>
      <c r="F936" s="15" t="s">
        <v>338</v>
      </c>
      <c r="G936" s="74"/>
      <c r="H936" s="74">
        <v>0</v>
      </c>
      <c r="I936" s="74">
        <v>0</v>
      </c>
    </row>
    <row r="937" spans="1:9" ht="54" hidden="1" customHeight="1">
      <c r="A937" s="16" t="s">
        <v>661</v>
      </c>
      <c r="B937" s="14">
        <v>793</v>
      </c>
      <c r="C937" s="15" t="s">
        <v>19</v>
      </c>
      <c r="D937" s="15" t="s">
        <v>23</v>
      </c>
      <c r="E937" s="15" t="s">
        <v>662</v>
      </c>
      <c r="F937" s="15"/>
      <c r="G937" s="74">
        <f>G938</f>
        <v>0</v>
      </c>
      <c r="H937" s="74">
        <v>0</v>
      </c>
      <c r="I937" s="74">
        <v>0</v>
      </c>
    </row>
    <row r="938" spans="1:9" ht="18.75" hidden="1" customHeight="1">
      <c r="A938" s="16" t="s">
        <v>334</v>
      </c>
      <c r="B938" s="14">
        <v>793</v>
      </c>
      <c r="C938" s="15" t="s">
        <v>19</v>
      </c>
      <c r="D938" s="15" t="s">
        <v>23</v>
      </c>
      <c r="E938" s="15" t="s">
        <v>662</v>
      </c>
      <c r="F938" s="15" t="s">
        <v>37</v>
      </c>
      <c r="G938" s="74">
        <f>G939</f>
        <v>0</v>
      </c>
      <c r="H938" s="74">
        <v>0</v>
      </c>
      <c r="I938" s="74">
        <v>0</v>
      </c>
    </row>
    <row r="939" spans="1:9" ht="35.25" hidden="1" customHeight="1">
      <c r="A939" s="16" t="s">
        <v>38</v>
      </c>
      <c r="B939" s="14">
        <v>793</v>
      </c>
      <c r="C939" s="15" t="s">
        <v>19</v>
      </c>
      <c r="D939" s="15" t="s">
        <v>23</v>
      </c>
      <c r="E939" s="15" t="s">
        <v>662</v>
      </c>
      <c r="F939" s="15" t="s">
        <v>39</v>
      </c>
      <c r="G939" s="74"/>
      <c r="H939" s="74">
        <v>0</v>
      </c>
      <c r="I939" s="74">
        <v>0</v>
      </c>
    </row>
    <row r="940" spans="1:9" ht="31.5" customHeight="1">
      <c r="A940" s="86" t="s">
        <v>446</v>
      </c>
      <c r="B940" s="14">
        <v>793</v>
      </c>
      <c r="C940" s="15" t="s">
        <v>19</v>
      </c>
      <c r="D940" s="15" t="s">
        <v>23</v>
      </c>
      <c r="E940" s="15" t="s">
        <v>445</v>
      </c>
      <c r="F940" s="15"/>
      <c r="G940" s="74">
        <f>G941</f>
        <v>50000</v>
      </c>
      <c r="H940" s="74">
        <f t="shared" ref="H940:I940" si="232">H941</f>
        <v>0</v>
      </c>
      <c r="I940" s="74">
        <f t="shared" si="232"/>
        <v>0</v>
      </c>
    </row>
    <row r="941" spans="1:9" ht="18.75" customHeight="1">
      <c r="A941" s="86" t="s">
        <v>64</v>
      </c>
      <c r="B941" s="14">
        <v>793</v>
      </c>
      <c r="C941" s="15" t="s">
        <v>19</v>
      </c>
      <c r="D941" s="15" t="s">
        <v>23</v>
      </c>
      <c r="E941" s="15" t="s">
        <v>445</v>
      </c>
      <c r="F941" s="15" t="s">
        <v>65</v>
      </c>
      <c r="G941" s="74">
        <f>G942</f>
        <v>50000</v>
      </c>
      <c r="H941" s="74">
        <f>H942</f>
        <v>0</v>
      </c>
      <c r="I941" s="74">
        <f>I942</f>
        <v>0</v>
      </c>
    </row>
    <row r="942" spans="1:9" ht="18.75" customHeight="1">
      <c r="A942" s="86" t="s">
        <v>150</v>
      </c>
      <c r="B942" s="14">
        <v>793</v>
      </c>
      <c r="C942" s="15" t="s">
        <v>19</v>
      </c>
      <c r="D942" s="15" t="s">
        <v>23</v>
      </c>
      <c r="E942" s="15" t="s">
        <v>445</v>
      </c>
      <c r="F942" s="15" t="s">
        <v>68</v>
      </c>
      <c r="G942" s="74">
        <v>50000</v>
      </c>
      <c r="H942" s="74">
        <v>0</v>
      </c>
      <c r="I942" s="74">
        <v>0</v>
      </c>
    </row>
    <row r="943" spans="1:9" ht="28.5" customHeight="1">
      <c r="A943" s="86" t="s">
        <v>886</v>
      </c>
      <c r="B943" s="14">
        <v>793</v>
      </c>
      <c r="C943" s="15" t="s">
        <v>19</v>
      </c>
      <c r="D943" s="15" t="s">
        <v>23</v>
      </c>
      <c r="E943" s="15" t="s">
        <v>885</v>
      </c>
      <c r="F943" s="15"/>
      <c r="G943" s="74">
        <f>G944</f>
        <v>535000</v>
      </c>
      <c r="H943" s="74">
        <f t="shared" ref="H943:I943" si="233">H944</f>
        <v>0</v>
      </c>
      <c r="I943" s="74">
        <f t="shared" si="233"/>
        <v>0</v>
      </c>
    </row>
    <row r="944" spans="1:9" ht="18.75" customHeight="1">
      <c r="A944" s="86" t="s">
        <v>64</v>
      </c>
      <c r="B944" s="14">
        <v>793</v>
      </c>
      <c r="C944" s="15" t="s">
        <v>19</v>
      </c>
      <c r="D944" s="15" t="s">
        <v>23</v>
      </c>
      <c r="E944" s="15" t="s">
        <v>885</v>
      </c>
      <c r="F944" s="15" t="s">
        <v>65</v>
      </c>
      <c r="G944" s="74">
        <f>G945</f>
        <v>535000</v>
      </c>
      <c r="H944" s="74">
        <f>H945</f>
        <v>0</v>
      </c>
      <c r="I944" s="74">
        <f>I945</f>
        <v>0</v>
      </c>
    </row>
    <row r="945" spans="1:16" ht="18.75" customHeight="1">
      <c r="A945" s="86" t="s">
        <v>150</v>
      </c>
      <c r="B945" s="14">
        <v>793</v>
      </c>
      <c r="C945" s="15" t="s">
        <v>19</v>
      </c>
      <c r="D945" s="15" t="s">
        <v>23</v>
      </c>
      <c r="E945" s="15" t="s">
        <v>885</v>
      </c>
      <c r="F945" s="15" t="s">
        <v>68</v>
      </c>
      <c r="G945" s="74">
        <f>350000+185000</f>
        <v>535000</v>
      </c>
      <c r="H945" s="74">
        <v>0</v>
      </c>
      <c r="I945" s="74">
        <v>0</v>
      </c>
    </row>
    <row r="946" spans="1:16" s="28" customFormat="1" ht="24.75" customHeight="1">
      <c r="A946" s="37" t="s">
        <v>176</v>
      </c>
      <c r="B946" s="14">
        <v>793</v>
      </c>
      <c r="C946" s="15" t="s">
        <v>19</v>
      </c>
      <c r="D946" s="15" t="s">
        <v>23</v>
      </c>
      <c r="E946" s="15" t="s">
        <v>241</v>
      </c>
      <c r="F946" s="39"/>
      <c r="G946" s="74">
        <f t="shared" ref="G946:I948" si="234">G947</f>
        <v>464000</v>
      </c>
      <c r="H946" s="74">
        <f t="shared" si="234"/>
        <v>0</v>
      </c>
      <c r="I946" s="74">
        <f t="shared" si="234"/>
        <v>0</v>
      </c>
    </row>
    <row r="947" spans="1:16" ht="25.5">
      <c r="A947" s="37" t="s">
        <v>176</v>
      </c>
      <c r="B947" s="14">
        <v>793</v>
      </c>
      <c r="C947" s="15" t="s">
        <v>19</v>
      </c>
      <c r="D947" s="15" t="s">
        <v>23</v>
      </c>
      <c r="E947" s="15" t="s">
        <v>285</v>
      </c>
      <c r="F947" s="14"/>
      <c r="G947" s="74">
        <f t="shared" si="234"/>
        <v>464000</v>
      </c>
      <c r="H947" s="74">
        <f t="shared" si="234"/>
        <v>0</v>
      </c>
      <c r="I947" s="74">
        <f t="shared" si="234"/>
        <v>0</v>
      </c>
    </row>
    <row r="948" spans="1:16">
      <c r="A948" s="86" t="s">
        <v>163</v>
      </c>
      <c r="B948" s="14">
        <v>793</v>
      </c>
      <c r="C948" s="15" t="s">
        <v>19</v>
      </c>
      <c r="D948" s="15" t="s">
        <v>23</v>
      </c>
      <c r="E948" s="15" t="s">
        <v>285</v>
      </c>
      <c r="F948" s="15" t="s">
        <v>164</v>
      </c>
      <c r="G948" s="74">
        <f t="shared" si="234"/>
        <v>464000</v>
      </c>
      <c r="H948" s="74">
        <f t="shared" si="234"/>
        <v>0</v>
      </c>
      <c r="I948" s="74">
        <f t="shared" si="234"/>
        <v>0</v>
      </c>
    </row>
    <row r="949" spans="1:16">
      <c r="A949" s="86" t="s">
        <v>185</v>
      </c>
      <c r="B949" s="14">
        <v>793</v>
      </c>
      <c r="C949" s="15" t="s">
        <v>19</v>
      </c>
      <c r="D949" s="15" t="s">
        <v>23</v>
      </c>
      <c r="E949" s="15" t="s">
        <v>285</v>
      </c>
      <c r="F949" s="15" t="s">
        <v>186</v>
      </c>
      <c r="G949" s="74">
        <v>464000</v>
      </c>
      <c r="H949" s="74">
        <v>0</v>
      </c>
      <c r="I949" s="74">
        <v>0</v>
      </c>
    </row>
    <row r="950" spans="1:16" ht="25.5">
      <c r="A950" s="11" t="s">
        <v>175</v>
      </c>
      <c r="B950" s="6">
        <v>793</v>
      </c>
      <c r="C950" s="7" t="s">
        <v>71</v>
      </c>
      <c r="D950" s="7"/>
      <c r="E950" s="7"/>
      <c r="F950" s="7"/>
      <c r="G950" s="38">
        <f>G951+G1011+G980</f>
        <v>5133428.3600000003</v>
      </c>
      <c r="H950" s="38">
        <f>H951+H1011+H980</f>
        <v>660000</v>
      </c>
      <c r="I950" s="38">
        <f>I951+I1011+I980</f>
        <v>110000</v>
      </c>
    </row>
    <row r="951" spans="1:16" s="46" customFormat="1" ht="32.25" customHeight="1">
      <c r="A951" s="40" t="s">
        <v>835</v>
      </c>
      <c r="B951" s="14">
        <v>793</v>
      </c>
      <c r="C951" s="15" t="s">
        <v>71</v>
      </c>
      <c r="D951" s="15" t="s">
        <v>127</v>
      </c>
      <c r="E951" s="15"/>
      <c r="F951" s="15"/>
      <c r="G951" s="74">
        <f>G952+G976+G973</f>
        <v>133850</v>
      </c>
      <c r="H951" s="74">
        <f t="shared" ref="H951:I951" si="235">H952+H976+H973</f>
        <v>67500</v>
      </c>
      <c r="I951" s="74">
        <f t="shared" si="235"/>
        <v>0</v>
      </c>
    </row>
    <row r="952" spans="1:16" s="28" customFormat="1" ht="51">
      <c r="A952" s="40" t="s">
        <v>504</v>
      </c>
      <c r="B952" s="14">
        <v>793</v>
      </c>
      <c r="C952" s="15" t="s">
        <v>71</v>
      </c>
      <c r="D952" s="15" t="s">
        <v>127</v>
      </c>
      <c r="E952" s="15" t="s">
        <v>259</v>
      </c>
      <c r="F952" s="39"/>
      <c r="G952" s="74">
        <f>G956+G961+G967+G970+G955+G964</f>
        <v>133850</v>
      </c>
      <c r="H952" s="74">
        <f t="shared" ref="H952:N952" si="236">H956+H961+H967+H970+H955</f>
        <v>67500</v>
      </c>
      <c r="I952" s="74">
        <f t="shared" si="236"/>
        <v>0</v>
      </c>
      <c r="J952" s="74">
        <f t="shared" si="236"/>
        <v>0</v>
      </c>
      <c r="K952" s="74">
        <f t="shared" si="236"/>
        <v>0</v>
      </c>
      <c r="L952" s="74">
        <f t="shared" si="236"/>
        <v>0</v>
      </c>
      <c r="M952" s="74">
        <f t="shared" si="236"/>
        <v>0</v>
      </c>
      <c r="N952" s="74">
        <f t="shared" si="236"/>
        <v>0</v>
      </c>
      <c r="P952" s="150"/>
    </row>
    <row r="953" spans="1:16" s="28" customFormat="1" ht="67.5" hidden="1" customHeight="1">
      <c r="A953" s="40" t="s">
        <v>345</v>
      </c>
      <c r="B953" s="14">
        <v>793</v>
      </c>
      <c r="C953" s="15" t="s">
        <v>71</v>
      </c>
      <c r="D953" s="15" t="s">
        <v>127</v>
      </c>
      <c r="E953" s="15" t="s">
        <v>144</v>
      </c>
      <c r="F953" s="39"/>
      <c r="G953" s="74">
        <f>G954</f>
        <v>0</v>
      </c>
      <c r="H953" s="74">
        <f t="shared" ref="H953:I953" si="237">H954</f>
        <v>0</v>
      </c>
      <c r="I953" s="74">
        <f t="shared" si="237"/>
        <v>0</v>
      </c>
    </row>
    <row r="954" spans="1:16" s="28" customFormat="1" ht="25.5" hidden="1">
      <c r="A954" s="16" t="s">
        <v>334</v>
      </c>
      <c r="B954" s="14">
        <v>793</v>
      </c>
      <c r="C954" s="15" t="s">
        <v>71</v>
      </c>
      <c r="D954" s="15" t="s">
        <v>127</v>
      </c>
      <c r="E954" s="15" t="s">
        <v>144</v>
      </c>
      <c r="F954" s="15" t="s">
        <v>37</v>
      </c>
      <c r="G954" s="74">
        <f>G955</f>
        <v>0</v>
      </c>
      <c r="H954" s="74">
        <f t="shared" ref="H954:I954" si="238">H955</f>
        <v>0</v>
      </c>
      <c r="I954" s="74">
        <f t="shared" si="238"/>
        <v>0</v>
      </c>
    </row>
    <row r="955" spans="1:16" s="28" customFormat="1" ht="25.5" hidden="1">
      <c r="A955" s="16" t="s">
        <v>38</v>
      </c>
      <c r="B955" s="14">
        <v>793</v>
      </c>
      <c r="C955" s="15" t="s">
        <v>71</v>
      </c>
      <c r="D955" s="15" t="s">
        <v>127</v>
      </c>
      <c r="E955" s="15" t="s">
        <v>144</v>
      </c>
      <c r="F955" s="15" t="s">
        <v>39</v>
      </c>
      <c r="G955" s="74">
        <v>0</v>
      </c>
      <c r="H955" s="27"/>
      <c r="I955" s="27"/>
    </row>
    <row r="956" spans="1:16" ht="53.25" hidden="1" customHeight="1">
      <c r="A956" s="57" t="s">
        <v>826</v>
      </c>
      <c r="B956" s="14">
        <v>793</v>
      </c>
      <c r="C956" s="15" t="s">
        <v>71</v>
      </c>
      <c r="D956" s="15" t="s">
        <v>127</v>
      </c>
      <c r="E956" s="15" t="s">
        <v>260</v>
      </c>
      <c r="F956" s="15"/>
      <c r="G956" s="74">
        <f>G957</f>
        <v>0</v>
      </c>
      <c r="H956" s="74">
        <f>H957+H959</f>
        <v>0</v>
      </c>
      <c r="I956" s="74">
        <f>I957+I959</f>
        <v>0</v>
      </c>
    </row>
    <row r="957" spans="1:16" ht="25.5" hidden="1">
      <c r="A957" s="16" t="s">
        <v>334</v>
      </c>
      <c r="B957" s="14">
        <v>793</v>
      </c>
      <c r="C957" s="15" t="s">
        <v>71</v>
      </c>
      <c r="D957" s="15" t="s">
        <v>127</v>
      </c>
      <c r="E957" s="15" t="s">
        <v>260</v>
      </c>
      <c r="F957" s="15" t="s">
        <v>37</v>
      </c>
      <c r="G957" s="74">
        <f>G958</f>
        <v>0</v>
      </c>
      <c r="H957" s="74">
        <f t="shared" ref="H957:I957" si="239">H958</f>
        <v>0</v>
      </c>
      <c r="I957" s="74">
        <f t="shared" si="239"/>
        <v>0</v>
      </c>
    </row>
    <row r="958" spans="1:16" ht="25.5" hidden="1">
      <c r="A958" s="16" t="s">
        <v>38</v>
      </c>
      <c r="B958" s="14">
        <v>793</v>
      </c>
      <c r="C958" s="15" t="s">
        <v>71</v>
      </c>
      <c r="D958" s="15" t="s">
        <v>127</v>
      </c>
      <c r="E958" s="15" t="s">
        <v>260</v>
      </c>
      <c r="F958" s="15" t="s">
        <v>39</v>
      </c>
      <c r="G958" s="74">
        <v>0</v>
      </c>
      <c r="H958" s="238">
        <v>0</v>
      </c>
      <c r="I958" s="74">
        <v>0</v>
      </c>
    </row>
    <row r="959" spans="1:16" ht="17.25" hidden="1" customHeight="1">
      <c r="A959" s="16" t="s">
        <v>64</v>
      </c>
      <c r="B959" s="14">
        <v>793</v>
      </c>
      <c r="C959" s="15" t="s">
        <v>71</v>
      </c>
      <c r="D959" s="15" t="s">
        <v>127</v>
      </c>
      <c r="E959" s="15" t="s">
        <v>261</v>
      </c>
      <c r="F959" s="15" t="s">
        <v>65</v>
      </c>
      <c r="G959" s="74">
        <f>G960</f>
        <v>0</v>
      </c>
      <c r="H959" s="74">
        <f t="shared" ref="H959:I959" si="240">H960</f>
        <v>0</v>
      </c>
      <c r="I959" s="74">
        <f t="shared" si="240"/>
        <v>0</v>
      </c>
    </row>
    <row r="960" spans="1:16" ht="13.5" hidden="1" customHeight="1">
      <c r="A960" s="16" t="s">
        <v>187</v>
      </c>
      <c r="B960" s="14">
        <v>793</v>
      </c>
      <c r="C960" s="15" t="s">
        <v>71</v>
      </c>
      <c r="D960" s="15" t="s">
        <v>127</v>
      </c>
      <c r="E960" s="15" t="s">
        <v>261</v>
      </c>
      <c r="F960" s="15" t="s">
        <v>188</v>
      </c>
      <c r="G960" s="74">
        <v>0</v>
      </c>
      <c r="H960" s="74"/>
      <c r="I960" s="74">
        <v>0</v>
      </c>
    </row>
    <row r="961" spans="1:9" ht="38.25" customHeight="1">
      <c r="A961" s="16" t="s">
        <v>466</v>
      </c>
      <c r="B961" s="14">
        <v>793</v>
      </c>
      <c r="C961" s="15" t="s">
        <v>71</v>
      </c>
      <c r="D961" s="15" t="s">
        <v>127</v>
      </c>
      <c r="E961" s="15" t="s">
        <v>467</v>
      </c>
      <c r="F961" s="15"/>
      <c r="G961" s="74">
        <f>G962</f>
        <v>57935</v>
      </c>
      <c r="H961" s="74">
        <f t="shared" ref="H961:I961" si="241">H962</f>
        <v>67500</v>
      </c>
      <c r="I961" s="74">
        <f t="shared" si="241"/>
        <v>0</v>
      </c>
    </row>
    <row r="962" spans="1:9" ht="28.5" customHeight="1">
      <c r="A962" s="16" t="s">
        <v>38</v>
      </c>
      <c r="B962" s="14">
        <v>793</v>
      </c>
      <c r="C962" s="15" t="s">
        <v>71</v>
      </c>
      <c r="D962" s="15" t="s">
        <v>127</v>
      </c>
      <c r="E962" s="15" t="s">
        <v>467</v>
      </c>
      <c r="F962" s="15" t="s">
        <v>37</v>
      </c>
      <c r="G962" s="74">
        <f>G963</f>
        <v>57935</v>
      </c>
      <c r="H962" s="74">
        <f t="shared" ref="H962:I962" si="242">H963</f>
        <v>67500</v>
      </c>
      <c r="I962" s="74">
        <f t="shared" si="242"/>
        <v>0</v>
      </c>
    </row>
    <row r="963" spans="1:9" ht="25.5">
      <c r="A963" s="16" t="s">
        <v>38</v>
      </c>
      <c r="B963" s="14">
        <v>793</v>
      </c>
      <c r="C963" s="15" t="s">
        <v>71</v>
      </c>
      <c r="D963" s="15" t="s">
        <v>127</v>
      </c>
      <c r="E963" s="15" t="s">
        <v>467</v>
      </c>
      <c r="F963" s="15" t="s">
        <v>39</v>
      </c>
      <c r="G963" s="74">
        <f>67500-12500+2935</f>
        <v>57935</v>
      </c>
      <c r="H963" s="74">
        <v>67500</v>
      </c>
      <c r="I963" s="74">
        <v>0</v>
      </c>
    </row>
    <row r="964" spans="1:9" ht="38.25" customHeight="1">
      <c r="A964" s="16" t="s">
        <v>838</v>
      </c>
      <c r="B964" s="14">
        <v>793</v>
      </c>
      <c r="C964" s="15" t="s">
        <v>71</v>
      </c>
      <c r="D964" s="15" t="s">
        <v>127</v>
      </c>
      <c r="E964" s="15" t="s">
        <v>837</v>
      </c>
      <c r="F964" s="15"/>
      <c r="G964" s="74">
        <f>G965</f>
        <v>75915</v>
      </c>
      <c r="H964" s="74">
        <f t="shared" ref="H964:I965" si="243">H965</f>
        <v>0</v>
      </c>
      <c r="I964" s="74">
        <f t="shared" si="243"/>
        <v>0</v>
      </c>
    </row>
    <row r="965" spans="1:9" ht="28.5" customHeight="1">
      <c r="A965" s="16" t="s">
        <v>38</v>
      </c>
      <c r="B965" s="14">
        <v>793</v>
      </c>
      <c r="C965" s="15" t="s">
        <v>71</v>
      </c>
      <c r="D965" s="15" t="s">
        <v>127</v>
      </c>
      <c r="E965" s="15" t="s">
        <v>837</v>
      </c>
      <c r="F965" s="15" t="s">
        <v>37</v>
      </c>
      <c r="G965" s="74">
        <f>G966</f>
        <v>75915</v>
      </c>
      <c r="H965" s="74">
        <f t="shared" si="243"/>
        <v>0</v>
      </c>
      <c r="I965" s="74">
        <f t="shared" si="243"/>
        <v>0</v>
      </c>
    </row>
    <row r="966" spans="1:9" ht="25.5">
      <c r="A966" s="16" t="s">
        <v>38</v>
      </c>
      <c r="B966" s="14">
        <v>793</v>
      </c>
      <c r="C966" s="15" t="s">
        <v>71</v>
      </c>
      <c r="D966" s="15" t="s">
        <v>127</v>
      </c>
      <c r="E966" s="15" t="s">
        <v>837</v>
      </c>
      <c r="F966" s="15" t="s">
        <v>39</v>
      </c>
      <c r="G966" s="74">
        <f>72500+3415</f>
        <v>75915</v>
      </c>
      <c r="H966" s="74">
        <v>0</v>
      </c>
      <c r="I966" s="74">
        <v>0</v>
      </c>
    </row>
    <row r="967" spans="1:9" ht="46.5" hidden="1" customHeight="1">
      <c r="A967" s="57" t="s">
        <v>517</v>
      </c>
      <c r="B967" s="14">
        <v>793</v>
      </c>
      <c r="C967" s="15" t="s">
        <v>71</v>
      </c>
      <c r="D967" s="15" t="s">
        <v>127</v>
      </c>
      <c r="E967" s="15" t="s">
        <v>516</v>
      </c>
      <c r="F967" s="15"/>
      <c r="G967" s="74">
        <f>G968</f>
        <v>0</v>
      </c>
      <c r="H967" s="74">
        <f t="shared" ref="H967:I967" si="244">H968</f>
        <v>0</v>
      </c>
      <c r="I967" s="74">
        <f t="shared" si="244"/>
        <v>0</v>
      </c>
    </row>
    <row r="968" spans="1:9" ht="25.5" hidden="1" customHeight="1">
      <c r="A968" s="16" t="s">
        <v>334</v>
      </c>
      <c r="B968" s="14">
        <v>793</v>
      </c>
      <c r="C968" s="15" t="s">
        <v>71</v>
      </c>
      <c r="D968" s="15" t="s">
        <v>127</v>
      </c>
      <c r="E968" s="15" t="s">
        <v>516</v>
      </c>
      <c r="F968" s="15" t="s">
        <v>37</v>
      </c>
      <c r="G968" s="74">
        <f>G969</f>
        <v>0</v>
      </c>
      <c r="H968" s="74">
        <f t="shared" ref="H968:I968" si="245">H969</f>
        <v>0</v>
      </c>
      <c r="I968" s="74">
        <f t="shared" si="245"/>
        <v>0</v>
      </c>
    </row>
    <row r="969" spans="1:9" ht="25.5" hidden="1" customHeight="1">
      <c r="A969" s="16" t="s">
        <v>38</v>
      </c>
      <c r="B969" s="14">
        <v>793</v>
      </c>
      <c r="C969" s="15" t="s">
        <v>71</v>
      </c>
      <c r="D969" s="15" t="s">
        <v>127</v>
      </c>
      <c r="E969" s="15" t="s">
        <v>516</v>
      </c>
      <c r="F969" s="15" t="s">
        <v>39</v>
      </c>
      <c r="G969" s="74">
        <v>0</v>
      </c>
      <c r="H969" s="74"/>
      <c r="I969" s="74">
        <v>0</v>
      </c>
    </row>
    <row r="970" spans="1:9" ht="46.5" hidden="1" customHeight="1">
      <c r="A970" s="57" t="s">
        <v>519</v>
      </c>
      <c r="B970" s="14">
        <v>793</v>
      </c>
      <c r="C970" s="15" t="s">
        <v>71</v>
      </c>
      <c r="D970" s="15" t="s">
        <v>127</v>
      </c>
      <c r="E970" s="15" t="s">
        <v>518</v>
      </c>
      <c r="F970" s="15"/>
      <c r="G970" s="74">
        <f>G971</f>
        <v>0</v>
      </c>
      <c r="H970" s="74">
        <f t="shared" ref="H970:I970" si="246">H971</f>
        <v>0</v>
      </c>
      <c r="I970" s="74">
        <f t="shared" si="246"/>
        <v>0</v>
      </c>
    </row>
    <row r="971" spans="1:9" ht="25.5" hidden="1">
      <c r="A971" s="16" t="s">
        <v>334</v>
      </c>
      <c r="B971" s="14">
        <v>793</v>
      </c>
      <c r="C971" s="15" t="s">
        <v>71</v>
      </c>
      <c r="D971" s="15" t="s">
        <v>127</v>
      </c>
      <c r="E971" s="15" t="s">
        <v>518</v>
      </c>
      <c r="F971" s="15" t="s">
        <v>37</v>
      </c>
      <c r="G971" s="74">
        <f>G972</f>
        <v>0</v>
      </c>
      <c r="H971" s="74">
        <f>H972</f>
        <v>0</v>
      </c>
      <c r="I971" s="74">
        <f>I972</f>
        <v>0</v>
      </c>
    </row>
    <row r="972" spans="1:9" ht="25.5" hidden="1">
      <c r="A972" s="16" t="s">
        <v>38</v>
      </c>
      <c r="B972" s="14">
        <v>793</v>
      </c>
      <c r="C972" s="15" t="s">
        <v>71</v>
      </c>
      <c r="D972" s="15" t="s">
        <v>127</v>
      </c>
      <c r="E972" s="15" t="s">
        <v>518</v>
      </c>
      <c r="F972" s="15" t="s">
        <v>39</v>
      </c>
      <c r="G972" s="237">
        <f>60000-60000</f>
        <v>0</v>
      </c>
      <c r="H972" s="238">
        <f>90000-90000</f>
        <v>0</v>
      </c>
      <c r="I972" s="238">
        <v>0</v>
      </c>
    </row>
    <row r="973" spans="1:9" ht="30.75" hidden="1" customHeight="1">
      <c r="A973" s="16" t="s">
        <v>280</v>
      </c>
      <c r="B973" s="14">
        <v>793</v>
      </c>
      <c r="C973" s="15" t="s">
        <v>71</v>
      </c>
      <c r="D973" s="15" t="s">
        <v>127</v>
      </c>
      <c r="E973" s="15" t="s">
        <v>592</v>
      </c>
      <c r="F973" s="15"/>
      <c r="G973" s="74">
        <f>G974</f>
        <v>0</v>
      </c>
      <c r="H973" s="74">
        <v>0</v>
      </c>
      <c r="I973" s="74">
        <v>0</v>
      </c>
    </row>
    <row r="974" spans="1:9" ht="30.75" hidden="1" customHeight="1">
      <c r="A974" s="16" t="s">
        <v>154</v>
      </c>
      <c r="B974" s="14">
        <v>793</v>
      </c>
      <c r="C974" s="15" t="s">
        <v>71</v>
      </c>
      <c r="D974" s="15" t="s">
        <v>127</v>
      </c>
      <c r="E974" s="15" t="s">
        <v>592</v>
      </c>
      <c r="F974" s="15" t="s">
        <v>155</v>
      </c>
      <c r="G974" s="74">
        <f>G975</f>
        <v>0</v>
      </c>
      <c r="H974" s="74">
        <v>0</v>
      </c>
      <c r="I974" s="74">
        <v>0</v>
      </c>
    </row>
    <row r="975" spans="1:9" ht="30.75" hidden="1" customHeight="1">
      <c r="A975" s="16" t="s">
        <v>156</v>
      </c>
      <c r="B975" s="14">
        <v>793</v>
      </c>
      <c r="C975" s="15" t="s">
        <v>71</v>
      </c>
      <c r="D975" s="15" t="s">
        <v>127</v>
      </c>
      <c r="E975" s="15" t="s">
        <v>592</v>
      </c>
      <c r="F975" s="15" t="s">
        <v>157</v>
      </c>
      <c r="G975" s="74"/>
      <c r="H975" s="74">
        <v>0</v>
      </c>
      <c r="I975" s="74">
        <v>0</v>
      </c>
    </row>
    <row r="976" spans="1:9" ht="25.5" hidden="1">
      <c r="A976" s="16" t="s">
        <v>176</v>
      </c>
      <c r="B976" s="14">
        <v>793</v>
      </c>
      <c r="C976" s="15" t="s">
        <v>71</v>
      </c>
      <c r="D976" s="15" t="s">
        <v>127</v>
      </c>
      <c r="E976" s="15" t="s">
        <v>241</v>
      </c>
      <c r="F976" s="15"/>
      <c r="G976" s="74">
        <f>G977</f>
        <v>0</v>
      </c>
      <c r="H976" s="74"/>
      <c r="I976" s="74"/>
    </row>
    <row r="977" spans="1:9" ht="25.5" hidden="1">
      <c r="A977" s="16" t="s">
        <v>176</v>
      </c>
      <c r="B977" s="14">
        <v>793</v>
      </c>
      <c r="C977" s="15" t="s">
        <v>71</v>
      </c>
      <c r="D977" s="15" t="s">
        <v>127</v>
      </c>
      <c r="E977" s="15" t="s">
        <v>285</v>
      </c>
      <c r="F977" s="15"/>
      <c r="G977" s="74">
        <f>G978</f>
        <v>0</v>
      </c>
      <c r="H977" s="74"/>
      <c r="I977" s="74"/>
    </row>
    <row r="978" spans="1:9" ht="25.5" hidden="1">
      <c r="A978" s="16" t="s">
        <v>334</v>
      </c>
      <c r="B978" s="14">
        <v>793</v>
      </c>
      <c r="C978" s="15" t="s">
        <v>71</v>
      </c>
      <c r="D978" s="15" t="s">
        <v>127</v>
      </c>
      <c r="E978" s="15" t="s">
        <v>285</v>
      </c>
      <c r="F978" s="15" t="s">
        <v>37</v>
      </c>
      <c r="G978" s="74">
        <f>G979</f>
        <v>0</v>
      </c>
      <c r="H978" s="74"/>
      <c r="I978" s="74"/>
    </row>
    <row r="979" spans="1:9" ht="25.5" hidden="1">
      <c r="A979" s="16" t="s">
        <v>38</v>
      </c>
      <c r="B979" s="14">
        <v>793</v>
      </c>
      <c r="C979" s="15" t="s">
        <v>71</v>
      </c>
      <c r="D979" s="15" t="s">
        <v>127</v>
      </c>
      <c r="E979" s="15" t="s">
        <v>285</v>
      </c>
      <c r="F979" s="15" t="s">
        <v>39</v>
      </c>
      <c r="G979" s="74"/>
      <c r="H979" s="74">
        <v>0</v>
      </c>
      <c r="I979" s="74">
        <v>0</v>
      </c>
    </row>
    <row r="980" spans="1:9" s="22" customFormat="1" ht="42" customHeight="1">
      <c r="A980" s="34" t="s">
        <v>836</v>
      </c>
      <c r="B980" s="35">
        <v>793</v>
      </c>
      <c r="C980" s="36" t="s">
        <v>71</v>
      </c>
      <c r="D980" s="36" t="s">
        <v>70</v>
      </c>
      <c r="E980" s="36"/>
      <c r="F980" s="36"/>
      <c r="G980" s="75">
        <f>G981++G992+G995+G997+G1000+G1010</f>
        <v>4835478.3600000003</v>
      </c>
      <c r="H980" s="75">
        <f t="shared" ref="H980:I980" si="247">H981++H992+H995+H997+H1000+H1010</f>
        <v>222500</v>
      </c>
      <c r="I980" s="75">
        <f t="shared" si="247"/>
        <v>30000</v>
      </c>
    </row>
    <row r="981" spans="1:9" s="28" customFormat="1" ht="51">
      <c r="A981" s="40" t="s">
        <v>504</v>
      </c>
      <c r="B981" s="14">
        <v>793</v>
      </c>
      <c r="C981" s="15" t="s">
        <v>71</v>
      </c>
      <c r="D981" s="15" t="s">
        <v>70</v>
      </c>
      <c r="E981" s="15" t="s">
        <v>259</v>
      </c>
      <c r="F981" s="39"/>
      <c r="G981" s="102">
        <f>G987+G982</f>
        <v>0</v>
      </c>
      <c r="H981" s="74">
        <f>H987</f>
        <v>70000</v>
      </c>
      <c r="I981" s="74">
        <f>I987</f>
        <v>0</v>
      </c>
    </row>
    <row r="982" spans="1:9" s="28" customFormat="1" ht="25.5" hidden="1">
      <c r="A982" s="40" t="s">
        <v>641</v>
      </c>
      <c r="B982" s="14">
        <v>793</v>
      </c>
      <c r="C982" s="15" t="s">
        <v>71</v>
      </c>
      <c r="D982" s="15" t="s">
        <v>70</v>
      </c>
      <c r="E982" s="15" t="s">
        <v>678</v>
      </c>
      <c r="F982" s="39"/>
      <c r="G982" s="102">
        <f>G985+G983</f>
        <v>0</v>
      </c>
      <c r="H982" s="74"/>
      <c r="I982" s="74"/>
    </row>
    <row r="983" spans="1:9" s="28" customFormat="1" hidden="1">
      <c r="A983" s="16" t="s">
        <v>163</v>
      </c>
      <c r="B983" s="14">
        <v>793</v>
      </c>
      <c r="C983" s="15" t="s">
        <v>71</v>
      </c>
      <c r="D983" s="15" t="s">
        <v>70</v>
      </c>
      <c r="E983" s="15" t="s">
        <v>678</v>
      </c>
      <c r="F983" s="15" t="s">
        <v>164</v>
      </c>
      <c r="G983" s="102">
        <f>G984</f>
        <v>0</v>
      </c>
      <c r="H983" s="74"/>
      <c r="I983" s="74"/>
    </row>
    <row r="984" spans="1:9" s="28" customFormat="1" hidden="1">
      <c r="A984" s="16" t="s">
        <v>177</v>
      </c>
      <c r="B984" s="14">
        <v>793</v>
      </c>
      <c r="C984" s="15" t="s">
        <v>71</v>
      </c>
      <c r="D984" s="15" t="s">
        <v>70</v>
      </c>
      <c r="E984" s="15" t="s">
        <v>678</v>
      </c>
      <c r="F984" s="15" t="s">
        <v>178</v>
      </c>
      <c r="G984" s="102"/>
      <c r="H984" s="74"/>
      <c r="I984" s="74"/>
    </row>
    <row r="985" spans="1:9" ht="17.25" hidden="1" customHeight="1">
      <c r="A985" s="16" t="s">
        <v>64</v>
      </c>
      <c r="B985" s="14">
        <v>793</v>
      </c>
      <c r="C985" s="15" t="s">
        <v>71</v>
      </c>
      <c r="D985" s="15" t="s">
        <v>70</v>
      </c>
      <c r="E985" s="15" t="s">
        <v>640</v>
      </c>
      <c r="F985" s="15" t="s">
        <v>65</v>
      </c>
      <c r="G985" s="74">
        <f>G986</f>
        <v>0</v>
      </c>
      <c r="H985" s="74">
        <f>H986</f>
        <v>0</v>
      </c>
      <c r="I985" s="74">
        <f>I986</f>
        <v>0</v>
      </c>
    </row>
    <row r="986" spans="1:9" ht="13.5" hidden="1" customHeight="1">
      <c r="A986" s="16" t="s">
        <v>187</v>
      </c>
      <c r="B986" s="14">
        <v>793</v>
      </c>
      <c r="C986" s="15" t="s">
        <v>71</v>
      </c>
      <c r="D986" s="15" t="s">
        <v>70</v>
      </c>
      <c r="E986" s="15" t="s">
        <v>640</v>
      </c>
      <c r="F986" s="15" t="s">
        <v>188</v>
      </c>
      <c r="G986" s="74">
        <f>2715000-2715000</f>
        <v>0</v>
      </c>
      <c r="H986" s="74"/>
      <c r="I986" s="74"/>
    </row>
    <row r="987" spans="1:9" ht="21" customHeight="1">
      <c r="A987" s="16" t="s">
        <v>193</v>
      </c>
      <c r="B987" s="14">
        <v>793</v>
      </c>
      <c r="C987" s="15" t="s">
        <v>71</v>
      </c>
      <c r="D987" s="15" t="s">
        <v>70</v>
      </c>
      <c r="E987" s="15" t="s">
        <v>142</v>
      </c>
      <c r="F987" s="15"/>
      <c r="G987" s="74">
        <f t="shared" ref="G987:I988" si="248">G988</f>
        <v>0</v>
      </c>
      <c r="H987" s="74">
        <f t="shared" si="248"/>
        <v>70000</v>
      </c>
      <c r="I987" s="74">
        <f t="shared" si="248"/>
        <v>0</v>
      </c>
    </row>
    <row r="988" spans="1:9" ht="24.75" customHeight="1">
      <c r="A988" s="16" t="s">
        <v>334</v>
      </c>
      <c r="B988" s="14">
        <v>793</v>
      </c>
      <c r="C988" s="15" t="s">
        <v>71</v>
      </c>
      <c r="D988" s="15" t="s">
        <v>70</v>
      </c>
      <c r="E988" s="15" t="s">
        <v>142</v>
      </c>
      <c r="F988" s="15" t="s">
        <v>37</v>
      </c>
      <c r="G988" s="74">
        <f t="shared" si="248"/>
        <v>0</v>
      </c>
      <c r="H988" s="74">
        <f t="shared" si="248"/>
        <v>70000</v>
      </c>
      <c r="I988" s="74">
        <f t="shared" si="248"/>
        <v>0</v>
      </c>
    </row>
    <row r="989" spans="1:9" ht="25.5">
      <c r="A989" s="16" t="s">
        <v>38</v>
      </c>
      <c r="B989" s="14">
        <v>793</v>
      </c>
      <c r="C989" s="15" t="s">
        <v>71</v>
      </c>
      <c r="D989" s="15" t="s">
        <v>70</v>
      </c>
      <c r="E989" s="15" t="s">
        <v>142</v>
      </c>
      <c r="F989" s="15" t="s">
        <v>39</v>
      </c>
      <c r="G989" s="74">
        <f>60000-60000</f>
        <v>0</v>
      </c>
      <c r="H989" s="74">
        <v>70000</v>
      </c>
      <c r="I989" s="74">
        <v>0</v>
      </c>
    </row>
    <row r="990" spans="1:9" s="28" customFormat="1" ht="67.5" customHeight="1">
      <c r="A990" s="40" t="s">
        <v>345</v>
      </c>
      <c r="B990" s="14">
        <v>793</v>
      </c>
      <c r="C990" s="15" t="s">
        <v>71</v>
      </c>
      <c r="D990" s="15" t="s">
        <v>70</v>
      </c>
      <c r="E990" s="15" t="s">
        <v>144</v>
      </c>
      <c r="F990" s="39"/>
      <c r="G990" s="74">
        <f>G991</f>
        <v>60489.880000000005</v>
      </c>
      <c r="H990" s="74">
        <f t="shared" ref="H990:I991" si="249">H991</f>
        <v>30000</v>
      </c>
      <c r="I990" s="74">
        <f t="shared" si="249"/>
        <v>30000</v>
      </c>
    </row>
    <row r="991" spans="1:9" s="28" customFormat="1" ht="25.5">
      <c r="A991" s="16" t="s">
        <v>334</v>
      </c>
      <c r="B991" s="14">
        <v>793</v>
      </c>
      <c r="C991" s="15" t="s">
        <v>71</v>
      </c>
      <c r="D991" s="15" t="s">
        <v>70</v>
      </c>
      <c r="E991" s="15" t="s">
        <v>144</v>
      </c>
      <c r="F991" s="15" t="s">
        <v>37</v>
      </c>
      <c r="G991" s="74">
        <f>G992</f>
        <v>60489.880000000005</v>
      </c>
      <c r="H991" s="74">
        <f t="shared" si="249"/>
        <v>30000</v>
      </c>
      <c r="I991" s="74">
        <f t="shared" si="249"/>
        <v>30000</v>
      </c>
    </row>
    <row r="992" spans="1:9" s="28" customFormat="1" ht="25.5">
      <c r="A992" s="16" t="s">
        <v>38</v>
      </c>
      <c r="B992" s="14">
        <v>793</v>
      </c>
      <c r="C992" s="15" t="s">
        <v>71</v>
      </c>
      <c r="D992" s="15" t="s">
        <v>70</v>
      </c>
      <c r="E992" s="15" t="s">
        <v>144</v>
      </c>
      <c r="F992" s="15" t="s">
        <v>39</v>
      </c>
      <c r="G992" s="74">
        <f>30000+30489.88</f>
        <v>60489.880000000005</v>
      </c>
      <c r="H992" s="27">
        <v>30000</v>
      </c>
      <c r="I992" s="27">
        <v>30000</v>
      </c>
    </row>
    <row r="993" spans="1:14" ht="53.25" customHeight="1">
      <c r="A993" s="57" t="s">
        <v>517</v>
      </c>
      <c r="B993" s="14">
        <v>793</v>
      </c>
      <c r="C993" s="15" t="s">
        <v>71</v>
      </c>
      <c r="D993" s="15" t="s">
        <v>70</v>
      </c>
      <c r="E993" s="15" t="s">
        <v>260</v>
      </c>
      <c r="F993" s="15"/>
      <c r="G993" s="74">
        <f>G996+G994</f>
        <v>50000</v>
      </c>
      <c r="H993" s="74">
        <f t="shared" ref="H993:I993" si="250">H996+H994</f>
        <v>50000</v>
      </c>
      <c r="I993" s="74">
        <f t="shared" si="250"/>
        <v>0</v>
      </c>
    </row>
    <row r="994" spans="1:14" ht="25.5" hidden="1">
      <c r="A994" s="16" t="s">
        <v>334</v>
      </c>
      <c r="B994" s="14">
        <v>793</v>
      </c>
      <c r="C994" s="15" t="s">
        <v>71</v>
      </c>
      <c r="D994" s="15" t="s">
        <v>70</v>
      </c>
      <c r="E994" s="15" t="s">
        <v>260</v>
      </c>
      <c r="F994" s="15" t="s">
        <v>37</v>
      </c>
      <c r="G994" s="74">
        <f>G995</f>
        <v>0</v>
      </c>
      <c r="H994" s="74">
        <f>H995</f>
        <v>0</v>
      </c>
      <c r="I994" s="74">
        <f>I995</f>
        <v>0</v>
      </c>
    </row>
    <row r="995" spans="1:14" ht="25.5" hidden="1">
      <c r="A995" s="16" t="s">
        <v>38</v>
      </c>
      <c r="B995" s="14">
        <v>793</v>
      </c>
      <c r="C995" s="15" t="s">
        <v>71</v>
      </c>
      <c r="D995" s="15" t="s">
        <v>70</v>
      </c>
      <c r="E995" s="15" t="s">
        <v>260</v>
      </c>
      <c r="F995" s="15" t="s">
        <v>39</v>
      </c>
      <c r="G995" s="74">
        <f>30000-30000</f>
        <v>0</v>
      </c>
      <c r="H995" s="74"/>
      <c r="I995" s="74"/>
    </row>
    <row r="996" spans="1:14" ht="17.25" customHeight="1">
      <c r="A996" s="16" t="s">
        <v>64</v>
      </c>
      <c r="B996" s="14">
        <v>793</v>
      </c>
      <c r="C996" s="15" t="s">
        <v>71</v>
      </c>
      <c r="D996" s="15" t="s">
        <v>70</v>
      </c>
      <c r="E996" s="15" t="s">
        <v>261</v>
      </c>
      <c r="F996" s="15" t="s">
        <v>65</v>
      </c>
      <c r="G996" s="74">
        <f>G997</f>
        <v>50000</v>
      </c>
      <c r="H996" s="74">
        <f>H997</f>
        <v>50000</v>
      </c>
      <c r="I996" s="74">
        <f>I997</f>
        <v>0</v>
      </c>
    </row>
    <row r="997" spans="1:14" ht="13.5" customHeight="1">
      <c r="A997" s="16" t="s">
        <v>187</v>
      </c>
      <c r="B997" s="14">
        <v>793</v>
      </c>
      <c r="C997" s="15" t="s">
        <v>71</v>
      </c>
      <c r="D997" s="15" t="s">
        <v>70</v>
      </c>
      <c r="E997" s="15" t="s">
        <v>261</v>
      </c>
      <c r="F997" s="15" t="s">
        <v>188</v>
      </c>
      <c r="G997" s="74">
        <v>50000</v>
      </c>
      <c r="H997" s="74">
        <v>50000</v>
      </c>
      <c r="I997" s="74"/>
    </row>
    <row r="998" spans="1:14" ht="46.5" customHeight="1">
      <c r="A998" s="57" t="s">
        <v>826</v>
      </c>
      <c r="B998" s="14">
        <v>793</v>
      </c>
      <c r="C998" s="15" t="s">
        <v>71</v>
      </c>
      <c r="D998" s="15" t="s">
        <v>70</v>
      </c>
      <c r="E998" s="15" t="s">
        <v>516</v>
      </c>
      <c r="F998" s="15"/>
      <c r="G998" s="74">
        <f>G999</f>
        <v>4704988.4800000004</v>
      </c>
      <c r="H998" s="74">
        <f t="shared" ref="H998:N998" si="251">H999</f>
        <v>72500</v>
      </c>
      <c r="I998" s="74">
        <f t="shared" si="251"/>
        <v>0</v>
      </c>
      <c r="J998" s="74">
        <f t="shared" si="251"/>
        <v>0</v>
      </c>
      <c r="K998" s="74">
        <f t="shared" si="251"/>
        <v>0</v>
      </c>
      <c r="L998" s="74">
        <f t="shared" si="251"/>
        <v>0</v>
      </c>
      <c r="M998" s="74">
        <f t="shared" si="251"/>
        <v>0</v>
      </c>
      <c r="N998" s="74">
        <f t="shared" si="251"/>
        <v>0</v>
      </c>
    </row>
    <row r="999" spans="1:14" ht="25.5">
      <c r="A999" s="16" t="s">
        <v>334</v>
      </c>
      <c r="B999" s="14">
        <v>793</v>
      </c>
      <c r="C999" s="15" t="s">
        <v>71</v>
      </c>
      <c r="D999" s="15" t="s">
        <v>70</v>
      </c>
      <c r="E999" s="15" t="s">
        <v>516</v>
      </c>
      <c r="F999" s="15" t="s">
        <v>37</v>
      </c>
      <c r="G999" s="74">
        <f>G1000</f>
        <v>4704988.4800000004</v>
      </c>
      <c r="H999" s="74">
        <f>H1000</f>
        <v>72500</v>
      </c>
      <c r="I999" s="74">
        <f>I1000</f>
        <v>0</v>
      </c>
    </row>
    <row r="1000" spans="1:14" ht="25.5">
      <c r="A1000" s="16" t="s">
        <v>38</v>
      </c>
      <c r="B1000" s="14">
        <v>793</v>
      </c>
      <c r="C1000" s="15" t="s">
        <v>71</v>
      </c>
      <c r="D1000" s="15" t="s">
        <v>70</v>
      </c>
      <c r="E1000" s="15" t="s">
        <v>516</v>
      </c>
      <c r="F1000" s="15" t="s">
        <v>39</v>
      </c>
      <c r="G1000" s="74">
        <f>72500+694640+4104800+30000-6350-184861.52-5740</f>
        <v>4704988.4800000004</v>
      </c>
      <c r="H1000" s="74">
        <f>42500+30000</f>
        <v>72500</v>
      </c>
      <c r="I1000" s="74"/>
    </row>
    <row r="1001" spans="1:14" ht="46.5" hidden="1" customHeight="1">
      <c r="A1001" s="57"/>
      <c r="B1001" s="14"/>
      <c r="C1001" s="15" t="s">
        <v>71</v>
      </c>
      <c r="D1001" s="15" t="s">
        <v>70</v>
      </c>
      <c r="E1001" s="15"/>
      <c r="F1001" s="15"/>
      <c r="G1001" s="74"/>
      <c r="H1001" s="74"/>
      <c r="I1001" s="74"/>
    </row>
    <row r="1002" spans="1:14" hidden="1">
      <c r="A1002" s="16"/>
      <c r="B1002" s="14"/>
      <c r="C1002" s="15" t="s">
        <v>71</v>
      </c>
      <c r="D1002" s="15" t="s">
        <v>70</v>
      </c>
      <c r="E1002" s="15"/>
      <c r="F1002" s="15"/>
      <c r="G1002" s="74"/>
      <c r="H1002" s="74"/>
      <c r="I1002" s="74"/>
    </row>
    <row r="1003" spans="1:14" hidden="1">
      <c r="A1003" s="16"/>
      <c r="B1003" s="14"/>
      <c r="C1003" s="15" t="s">
        <v>71</v>
      </c>
      <c r="D1003" s="15" t="s">
        <v>70</v>
      </c>
      <c r="E1003" s="15"/>
      <c r="F1003" s="15"/>
      <c r="G1003" s="74"/>
      <c r="H1003" s="74"/>
      <c r="I1003" s="74"/>
    </row>
    <row r="1004" spans="1:14" ht="46.5" hidden="1" customHeight="1">
      <c r="A1004" s="57"/>
      <c r="B1004" s="14"/>
      <c r="C1004" s="15"/>
      <c r="D1004" s="15"/>
      <c r="E1004" s="15"/>
      <c r="F1004" s="15"/>
      <c r="G1004" s="74"/>
      <c r="H1004" s="74"/>
      <c r="I1004" s="74"/>
    </row>
    <row r="1005" spans="1:14" hidden="1">
      <c r="A1005" s="16"/>
      <c r="B1005" s="14"/>
      <c r="C1005" s="15"/>
      <c r="D1005" s="15"/>
      <c r="E1005" s="15"/>
      <c r="F1005" s="15"/>
      <c r="G1005" s="74"/>
      <c r="H1005" s="74"/>
      <c r="I1005" s="74"/>
    </row>
    <row r="1006" spans="1:14" hidden="1">
      <c r="A1006" s="16"/>
      <c r="B1006" s="14"/>
      <c r="C1006" s="15"/>
      <c r="D1006" s="15"/>
      <c r="E1006" s="15"/>
      <c r="F1006" s="15"/>
      <c r="G1006" s="74"/>
      <c r="H1006" s="74"/>
      <c r="I1006" s="74"/>
    </row>
    <row r="1007" spans="1:14" s="28" customFormat="1" ht="24.75" customHeight="1">
      <c r="A1007" s="37" t="s">
        <v>176</v>
      </c>
      <c r="B1007" s="14">
        <v>793</v>
      </c>
      <c r="C1007" s="15" t="s">
        <v>71</v>
      </c>
      <c r="D1007" s="15" t="s">
        <v>70</v>
      </c>
      <c r="E1007" s="15" t="s">
        <v>241</v>
      </c>
      <c r="F1007" s="39"/>
      <c r="G1007" s="74">
        <f t="shared" ref="G1007:I1009" si="252">G1008</f>
        <v>20000</v>
      </c>
      <c r="H1007" s="74">
        <f t="shared" si="252"/>
        <v>0</v>
      </c>
      <c r="I1007" s="74">
        <f t="shared" si="252"/>
        <v>0</v>
      </c>
    </row>
    <row r="1008" spans="1:14" ht="25.5">
      <c r="A1008" s="37" t="s">
        <v>176</v>
      </c>
      <c r="B1008" s="14">
        <v>793</v>
      </c>
      <c r="C1008" s="15" t="s">
        <v>71</v>
      </c>
      <c r="D1008" s="15" t="s">
        <v>70</v>
      </c>
      <c r="E1008" s="15" t="s">
        <v>285</v>
      </c>
      <c r="F1008" s="14"/>
      <c r="G1008" s="74">
        <f t="shared" si="252"/>
        <v>20000</v>
      </c>
      <c r="H1008" s="74">
        <f t="shared" si="252"/>
        <v>0</v>
      </c>
      <c r="I1008" s="74">
        <f t="shared" si="252"/>
        <v>0</v>
      </c>
    </row>
    <row r="1009" spans="1:9">
      <c r="A1009" s="86" t="s">
        <v>163</v>
      </c>
      <c r="B1009" s="14">
        <v>793</v>
      </c>
      <c r="C1009" s="15" t="s">
        <v>71</v>
      </c>
      <c r="D1009" s="15" t="s">
        <v>70</v>
      </c>
      <c r="E1009" s="15" t="s">
        <v>285</v>
      </c>
      <c r="F1009" s="15" t="s">
        <v>164</v>
      </c>
      <c r="G1009" s="74">
        <f t="shared" si="252"/>
        <v>20000</v>
      </c>
      <c r="H1009" s="74">
        <f t="shared" si="252"/>
        <v>0</v>
      </c>
      <c r="I1009" s="74">
        <f t="shared" si="252"/>
        <v>0</v>
      </c>
    </row>
    <row r="1010" spans="1:9">
      <c r="A1010" s="86" t="s">
        <v>185</v>
      </c>
      <c r="B1010" s="14">
        <v>793</v>
      </c>
      <c r="C1010" s="15" t="s">
        <v>71</v>
      </c>
      <c r="D1010" s="15" t="s">
        <v>70</v>
      </c>
      <c r="E1010" s="15" t="s">
        <v>285</v>
      </c>
      <c r="F1010" s="15" t="s">
        <v>186</v>
      </c>
      <c r="G1010" s="74">
        <v>20000</v>
      </c>
      <c r="H1010" s="74"/>
      <c r="I1010" s="74"/>
    </row>
    <row r="1011" spans="1:9" s="22" customFormat="1" ht="25.5">
      <c r="A1011" s="34" t="s">
        <v>346</v>
      </c>
      <c r="B1011" s="35">
        <v>793</v>
      </c>
      <c r="C1011" s="36" t="s">
        <v>71</v>
      </c>
      <c r="D1011" s="36" t="s">
        <v>319</v>
      </c>
      <c r="E1011" s="36"/>
      <c r="F1011" s="36"/>
      <c r="G1011" s="75">
        <f>G1012+G1022</f>
        <v>164100</v>
      </c>
      <c r="H1011" s="75">
        <f t="shared" ref="H1011:I1011" si="253">H1012+H1022</f>
        <v>370000</v>
      </c>
      <c r="I1011" s="75">
        <f t="shared" si="253"/>
        <v>80000</v>
      </c>
    </row>
    <row r="1012" spans="1:9" ht="51">
      <c r="A1012" s="16" t="s">
        <v>490</v>
      </c>
      <c r="B1012" s="14">
        <v>793</v>
      </c>
      <c r="C1012" s="15" t="s">
        <v>71</v>
      </c>
      <c r="D1012" s="15" t="s">
        <v>319</v>
      </c>
      <c r="E1012" s="15" t="s">
        <v>262</v>
      </c>
      <c r="F1012" s="15"/>
      <c r="G1012" s="74">
        <f>G1013+G1016+G1019</f>
        <v>89100</v>
      </c>
      <c r="H1012" s="74">
        <f t="shared" ref="H1012:I1012" si="254">H1013+H1016+H1019</f>
        <v>295000</v>
      </c>
      <c r="I1012" s="74">
        <f t="shared" si="254"/>
        <v>5000</v>
      </c>
    </row>
    <row r="1013" spans="1:9" ht="63.75" customHeight="1">
      <c r="A1013" s="16" t="s">
        <v>540</v>
      </c>
      <c r="B1013" s="14">
        <v>793</v>
      </c>
      <c r="C1013" s="15" t="s">
        <v>71</v>
      </c>
      <c r="D1013" s="15" t="s">
        <v>319</v>
      </c>
      <c r="E1013" s="15" t="s">
        <v>263</v>
      </c>
      <c r="F1013" s="15"/>
      <c r="G1013" s="74">
        <f t="shared" ref="G1013:I1014" si="255">G1014</f>
        <v>74100</v>
      </c>
      <c r="H1013" s="74">
        <f t="shared" si="255"/>
        <v>200000</v>
      </c>
      <c r="I1013" s="74">
        <f t="shared" si="255"/>
        <v>0</v>
      </c>
    </row>
    <row r="1014" spans="1:9" ht="25.5">
      <c r="A1014" s="16" t="s">
        <v>473</v>
      </c>
      <c r="B1014" s="14">
        <v>793</v>
      </c>
      <c r="C1014" s="15" t="s">
        <v>71</v>
      </c>
      <c r="D1014" s="15" t="s">
        <v>319</v>
      </c>
      <c r="E1014" s="15" t="s">
        <v>263</v>
      </c>
      <c r="F1014" s="15" t="s">
        <v>37</v>
      </c>
      <c r="G1014" s="74">
        <f t="shared" si="255"/>
        <v>74100</v>
      </c>
      <c r="H1014" s="74">
        <f t="shared" si="255"/>
        <v>200000</v>
      </c>
      <c r="I1014" s="74">
        <f t="shared" si="255"/>
        <v>0</v>
      </c>
    </row>
    <row r="1015" spans="1:9" ht="30.75" customHeight="1">
      <c r="A1015" s="16" t="s">
        <v>38</v>
      </c>
      <c r="B1015" s="14">
        <v>793</v>
      </c>
      <c r="C1015" s="15" t="s">
        <v>71</v>
      </c>
      <c r="D1015" s="15" t="s">
        <v>319</v>
      </c>
      <c r="E1015" s="15" t="s">
        <v>263</v>
      </c>
      <c r="F1015" s="15" t="s">
        <v>39</v>
      </c>
      <c r="G1015" s="74">
        <f>100000-25900</f>
        <v>74100</v>
      </c>
      <c r="H1015" s="74">
        <v>200000</v>
      </c>
      <c r="I1015" s="74">
        <v>0</v>
      </c>
    </row>
    <row r="1016" spans="1:9" ht="51">
      <c r="A1016" s="16" t="s">
        <v>430</v>
      </c>
      <c r="B1016" s="14">
        <v>793</v>
      </c>
      <c r="C1016" s="15" t="s">
        <v>71</v>
      </c>
      <c r="D1016" s="15" t="s">
        <v>319</v>
      </c>
      <c r="E1016" s="15" t="s">
        <v>429</v>
      </c>
      <c r="F1016" s="15"/>
      <c r="G1016" s="74">
        <f>G1017</f>
        <v>15000</v>
      </c>
      <c r="H1016" s="74">
        <f t="shared" ref="H1016:I1016" si="256">H1017</f>
        <v>5000</v>
      </c>
      <c r="I1016" s="74">
        <f t="shared" si="256"/>
        <v>5000</v>
      </c>
    </row>
    <row r="1017" spans="1:9" ht="25.5">
      <c r="A1017" s="16" t="s">
        <v>38</v>
      </c>
      <c r="B1017" s="14">
        <v>793</v>
      </c>
      <c r="C1017" s="15" t="s">
        <v>71</v>
      </c>
      <c r="D1017" s="15" t="s">
        <v>319</v>
      </c>
      <c r="E1017" s="15" t="s">
        <v>429</v>
      </c>
      <c r="F1017" s="15" t="s">
        <v>37</v>
      </c>
      <c r="G1017" s="74">
        <f>G1018</f>
        <v>15000</v>
      </c>
      <c r="H1017" s="74">
        <f t="shared" ref="H1017:I1017" si="257">H1018</f>
        <v>5000</v>
      </c>
      <c r="I1017" s="74">
        <f t="shared" si="257"/>
        <v>5000</v>
      </c>
    </row>
    <row r="1018" spans="1:9" ht="25.5">
      <c r="A1018" s="16" t="s">
        <v>38</v>
      </c>
      <c r="B1018" s="14">
        <v>793</v>
      </c>
      <c r="C1018" s="15" t="s">
        <v>71</v>
      </c>
      <c r="D1018" s="15" t="s">
        <v>319</v>
      </c>
      <c r="E1018" s="15" t="s">
        <v>429</v>
      </c>
      <c r="F1018" s="15" t="s">
        <v>39</v>
      </c>
      <c r="G1018" s="74">
        <f>5000+10000</f>
        <v>15000</v>
      </c>
      <c r="H1018" s="8">
        <v>5000</v>
      </c>
      <c r="I1018" s="8">
        <v>5000</v>
      </c>
    </row>
    <row r="1019" spans="1:9" ht="46.5" customHeight="1">
      <c r="A1019" s="57" t="s">
        <v>519</v>
      </c>
      <c r="B1019" s="14">
        <v>793</v>
      </c>
      <c r="C1019" s="15" t="s">
        <v>71</v>
      </c>
      <c r="D1019" s="15" t="s">
        <v>319</v>
      </c>
      <c r="E1019" s="15" t="s">
        <v>822</v>
      </c>
      <c r="F1019" s="15"/>
      <c r="G1019" s="74">
        <f>G1020</f>
        <v>0</v>
      </c>
      <c r="H1019" s="74">
        <f t="shared" ref="H1019:I1019" si="258">H1020</f>
        <v>90000</v>
      </c>
      <c r="I1019" s="74">
        <f t="shared" si="258"/>
        <v>0</v>
      </c>
    </row>
    <row r="1020" spans="1:9" ht="25.5">
      <c r="A1020" s="16" t="s">
        <v>334</v>
      </c>
      <c r="B1020" s="14">
        <v>793</v>
      </c>
      <c r="C1020" s="15" t="s">
        <v>71</v>
      </c>
      <c r="D1020" s="15" t="s">
        <v>319</v>
      </c>
      <c r="E1020" s="15" t="s">
        <v>822</v>
      </c>
      <c r="F1020" s="15" t="s">
        <v>37</v>
      </c>
      <c r="G1020" s="74">
        <f>G1021</f>
        <v>0</v>
      </c>
      <c r="H1020" s="74">
        <f>H1021</f>
        <v>90000</v>
      </c>
      <c r="I1020" s="74">
        <f>I1021</f>
        <v>0</v>
      </c>
    </row>
    <row r="1021" spans="1:9" ht="25.5">
      <c r="A1021" s="16" t="s">
        <v>38</v>
      </c>
      <c r="B1021" s="14">
        <v>793</v>
      </c>
      <c r="C1021" s="15" t="s">
        <v>71</v>
      </c>
      <c r="D1021" s="15" t="s">
        <v>319</v>
      </c>
      <c r="E1021" s="15" t="s">
        <v>822</v>
      </c>
      <c r="F1021" s="15" t="s">
        <v>39</v>
      </c>
      <c r="G1021" s="74">
        <f>60000-60000</f>
        <v>0</v>
      </c>
      <c r="H1021" s="74">
        <f>90000</f>
        <v>90000</v>
      </c>
      <c r="I1021" s="74">
        <v>0</v>
      </c>
    </row>
    <row r="1022" spans="1:9" ht="38.25">
      <c r="A1022" s="16" t="s">
        <v>502</v>
      </c>
      <c r="B1022" s="14">
        <v>793</v>
      </c>
      <c r="C1022" s="15" t="s">
        <v>71</v>
      </c>
      <c r="D1022" s="15" t="s">
        <v>319</v>
      </c>
      <c r="E1022" s="15" t="s">
        <v>264</v>
      </c>
      <c r="F1022" s="15"/>
      <c r="G1022" s="74">
        <f t="shared" ref="G1022:I1024" si="259">G1023</f>
        <v>75000</v>
      </c>
      <c r="H1022" s="74">
        <f t="shared" si="259"/>
        <v>75000</v>
      </c>
      <c r="I1022" s="74">
        <f t="shared" si="259"/>
        <v>75000</v>
      </c>
    </row>
    <row r="1023" spans="1:9" ht="38.25">
      <c r="A1023" s="16" t="s">
        <v>347</v>
      </c>
      <c r="B1023" s="14">
        <v>793</v>
      </c>
      <c r="C1023" s="15" t="s">
        <v>71</v>
      </c>
      <c r="D1023" s="15" t="s">
        <v>319</v>
      </c>
      <c r="E1023" s="15" t="s">
        <v>265</v>
      </c>
      <c r="F1023" s="15"/>
      <c r="G1023" s="74">
        <f t="shared" si="259"/>
        <v>75000</v>
      </c>
      <c r="H1023" s="74">
        <f t="shared" si="259"/>
        <v>75000</v>
      </c>
      <c r="I1023" s="74">
        <f t="shared" si="259"/>
        <v>75000</v>
      </c>
    </row>
    <row r="1024" spans="1:9" ht="25.5">
      <c r="A1024" s="16" t="s">
        <v>473</v>
      </c>
      <c r="B1024" s="14">
        <v>793</v>
      </c>
      <c r="C1024" s="15" t="s">
        <v>71</v>
      </c>
      <c r="D1024" s="15" t="s">
        <v>319</v>
      </c>
      <c r="E1024" s="15" t="s">
        <v>265</v>
      </c>
      <c r="F1024" s="15" t="s">
        <v>37</v>
      </c>
      <c r="G1024" s="74">
        <f t="shared" si="259"/>
        <v>75000</v>
      </c>
      <c r="H1024" s="74">
        <f t="shared" si="259"/>
        <v>75000</v>
      </c>
      <c r="I1024" s="74">
        <f t="shared" si="259"/>
        <v>75000</v>
      </c>
    </row>
    <row r="1025" spans="1:14" ht="31.5" customHeight="1">
      <c r="A1025" s="16" t="s">
        <v>38</v>
      </c>
      <c r="B1025" s="14">
        <v>793</v>
      </c>
      <c r="C1025" s="15" t="s">
        <v>71</v>
      </c>
      <c r="D1025" s="15" t="s">
        <v>319</v>
      </c>
      <c r="E1025" s="15" t="s">
        <v>265</v>
      </c>
      <c r="F1025" s="15" t="s">
        <v>39</v>
      </c>
      <c r="G1025" s="74">
        <v>75000</v>
      </c>
      <c r="H1025" s="74">
        <v>75000</v>
      </c>
      <c r="I1025" s="74">
        <v>75000</v>
      </c>
    </row>
    <row r="1026" spans="1:14">
      <c r="A1026" s="11" t="s">
        <v>88</v>
      </c>
      <c r="B1026" s="6">
        <v>793</v>
      </c>
      <c r="C1026" s="7" t="s">
        <v>55</v>
      </c>
      <c r="D1026" s="7"/>
      <c r="E1026" s="7"/>
      <c r="F1026" s="7"/>
      <c r="G1026" s="38">
        <f>G1032+G1077+G1044+G1027</f>
        <v>3937638.8699999996</v>
      </c>
      <c r="H1026" s="38">
        <f t="shared" ref="H1026:N1026" si="260">H1032+H1077+H1044+H1027</f>
        <v>36746756</v>
      </c>
      <c r="I1026" s="38">
        <f t="shared" si="260"/>
        <v>38598680</v>
      </c>
      <c r="J1026" s="38">
        <f t="shared" si="260"/>
        <v>0</v>
      </c>
      <c r="K1026" s="38">
        <f t="shared" si="260"/>
        <v>0</v>
      </c>
      <c r="L1026" s="38">
        <f t="shared" si="260"/>
        <v>0</v>
      </c>
      <c r="M1026" s="38">
        <f t="shared" si="260"/>
        <v>0</v>
      </c>
      <c r="N1026" s="38">
        <f t="shared" si="260"/>
        <v>0</v>
      </c>
    </row>
    <row r="1027" spans="1:14" hidden="1">
      <c r="A1027" s="243" t="s">
        <v>828</v>
      </c>
      <c r="B1027" s="49">
        <v>793</v>
      </c>
      <c r="C1027" s="70" t="s">
        <v>55</v>
      </c>
      <c r="D1027" s="70" t="s">
        <v>180</v>
      </c>
      <c r="E1027" s="7"/>
      <c r="F1027" s="7"/>
      <c r="G1027" s="29">
        <f>G1029</f>
        <v>0</v>
      </c>
      <c r="H1027" s="29">
        <f t="shared" ref="H1027:I1027" si="261">H1029</f>
        <v>0</v>
      </c>
      <c r="I1027" s="29">
        <f t="shared" si="261"/>
        <v>0</v>
      </c>
    </row>
    <row r="1028" spans="1:14" ht="30" hidden="1" customHeight="1">
      <c r="A1028" s="37" t="s">
        <v>740</v>
      </c>
      <c r="B1028" s="14">
        <v>793</v>
      </c>
      <c r="C1028" s="15" t="s">
        <v>55</v>
      </c>
      <c r="D1028" s="15" t="s">
        <v>90</v>
      </c>
      <c r="E1028" s="14" t="s">
        <v>250</v>
      </c>
      <c r="F1028" s="14"/>
      <c r="G1028" s="74">
        <f>G1029</f>
        <v>0</v>
      </c>
      <c r="H1028" s="74">
        <f t="shared" ref="H1028:I1028" si="262">H1029</f>
        <v>0</v>
      </c>
      <c r="I1028" s="74">
        <f t="shared" si="262"/>
        <v>0</v>
      </c>
    </row>
    <row r="1029" spans="1:14" ht="40.5" hidden="1" customHeight="1">
      <c r="A1029" s="16" t="s">
        <v>827</v>
      </c>
      <c r="B1029" s="14">
        <v>793</v>
      </c>
      <c r="C1029" s="15" t="s">
        <v>55</v>
      </c>
      <c r="D1029" s="15" t="s">
        <v>180</v>
      </c>
      <c r="E1029" s="14" t="s">
        <v>663</v>
      </c>
      <c r="F1029" s="14"/>
      <c r="G1029" s="74">
        <f>G1030</f>
        <v>0</v>
      </c>
      <c r="H1029" s="74">
        <f>H1031</f>
        <v>0</v>
      </c>
      <c r="I1029" s="74">
        <f>I1031</f>
        <v>0</v>
      </c>
    </row>
    <row r="1030" spans="1:14" hidden="1">
      <c r="A1030" s="16" t="s">
        <v>64</v>
      </c>
      <c r="B1030" s="14">
        <v>793</v>
      </c>
      <c r="C1030" s="15" t="s">
        <v>55</v>
      </c>
      <c r="D1030" s="15" t="s">
        <v>180</v>
      </c>
      <c r="E1030" s="14" t="s">
        <v>663</v>
      </c>
      <c r="F1030" s="14">
        <v>800</v>
      </c>
      <c r="G1030" s="74">
        <f t="shared" ref="G1030:I1030" si="263">G1031</f>
        <v>0</v>
      </c>
      <c r="H1030" s="74">
        <f t="shared" si="263"/>
        <v>0</v>
      </c>
      <c r="I1030" s="74">
        <f t="shared" si="263"/>
        <v>0</v>
      </c>
    </row>
    <row r="1031" spans="1:14" ht="48" hidden="1" customHeight="1">
      <c r="A1031" s="16" t="s">
        <v>447</v>
      </c>
      <c r="B1031" s="14">
        <v>793</v>
      </c>
      <c r="C1031" s="15" t="s">
        <v>55</v>
      </c>
      <c r="D1031" s="15" t="s">
        <v>180</v>
      </c>
      <c r="E1031" s="14" t="s">
        <v>663</v>
      </c>
      <c r="F1031" s="14">
        <v>810</v>
      </c>
      <c r="G1031" s="74"/>
      <c r="H1031" s="8">
        <v>0</v>
      </c>
      <c r="I1031" s="8">
        <v>0</v>
      </c>
    </row>
    <row r="1032" spans="1:14" s="46" customFormat="1" ht="16.5" customHeight="1">
      <c r="A1032" s="16" t="s">
        <v>353</v>
      </c>
      <c r="B1032" s="14">
        <v>793</v>
      </c>
      <c r="C1032" s="15" t="s">
        <v>55</v>
      </c>
      <c r="D1032" s="15" t="s">
        <v>45</v>
      </c>
      <c r="E1032" s="15"/>
      <c r="F1032" s="15"/>
      <c r="G1032" s="74">
        <f>G1034</f>
        <v>2272430.84</v>
      </c>
      <c r="H1032" s="74">
        <f>H1034</f>
        <v>1954453</v>
      </c>
      <c r="I1032" s="74">
        <f>I1034</f>
        <v>1954453</v>
      </c>
    </row>
    <row r="1033" spans="1:14" s="18" customFormat="1" ht="27" customHeight="1">
      <c r="A1033" s="16" t="s">
        <v>508</v>
      </c>
      <c r="B1033" s="14">
        <v>793</v>
      </c>
      <c r="C1033" s="15" t="s">
        <v>55</v>
      </c>
      <c r="D1033" s="15" t="s">
        <v>45</v>
      </c>
      <c r="E1033" s="15" t="s">
        <v>242</v>
      </c>
      <c r="F1033" s="15"/>
      <c r="G1033" s="74">
        <f>G1034</f>
        <v>2272430.84</v>
      </c>
      <c r="H1033" s="74">
        <f t="shared" ref="H1033:I1033" si="264">H1034</f>
        <v>1954453</v>
      </c>
      <c r="I1033" s="74">
        <f t="shared" si="264"/>
        <v>1954453</v>
      </c>
    </row>
    <row r="1034" spans="1:14" s="46" customFormat="1" ht="18" customHeight="1">
      <c r="A1034" s="86" t="s">
        <v>354</v>
      </c>
      <c r="B1034" s="14">
        <v>793</v>
      </c>
      <c r="C1034" s="15" t="s">
        <v>55</v>
      </c>
      <c r="D1034" s="15" t="s">
        <v>45</v>
      </c>
      <c r="E1034" s="15" t="s">
        <v>100</v>
      </c>
      <c r="F1034" s="15"/>
      <c r="G1034" s="74">
        <f>G1035+G1038+G1041</f>
        <v>2272430.84</v>
      </c>
      <c r="H1034" s="74">
        <f t="shared" ref="H1034:I1034" si="265">H1035</f>
        <v>1954453</v>
      </c>
      <c r="I1034" s="74">
        <f t="shared" si="265"/>
        <v>1954453</v>
      </c>
    </row>
    <row r="1035" spans="1:14" s="46" customFormat="1" ht="48" customHeight="1">
      <c r="A1035" s="86" t="s">
        <v>349</v>
      </c>
      <c r="B1035" s="14">
        <v>793</v>
      </c>
      <c r="C1035" s="15" t="s">
        <v>55</v>
      </c>
      <c r="D1035" s="15" t="s">
        <v>45</v>
      </c>
      <c r="E1035" s="15" t="s">
        <v>348</v>
      </c>
      <c r="F1035" s="15"/>
      <c r="G1035" s="74">
        <f t="shared" ref="G1035:I1042" si="266">G1036</f>
        <v>2022093</v>
      </c>
      <c r="H1035" s="74">
        <f t="shared" si="266"/>
        <v>1954453</v>
      </c>
      <c r="I1035" s="74">
        <f t="shared" si="266"/>
        <v>1954453</v>
      </c>
    </row>
    <row r="1036" spans="1:14" s="46" customFormat="1" ht="27.75" customHeight="1">
      <c r="A1036" s="86" t="s">
        <v>473</v>
      </c>
      <c r="B1036" s="14">
        <v>793</v>
      </c>
      <c r="C1036" s="15" t="s">
        <v>55</v>
      </c>
      <c r="D1036" s="15" t="s">
        <v>45</v>
      </c>
      <c r="E1036" s="15" t="s">
        <v>348</v>
      </c>
      <c r="F1036" s="15" t="s">
        <v>37</v>
      </c>
      <c r="G1036" s="74">
        <f t="shared" si="266"/>
        <v>2022093</v>
      </c>
      <c r="H1036" s="74">
        <f t="shared" si="266"/>
        <v>1954453</v>
      </c>
      <c r="I1036" s="74">
        <f t="shared" si="266"/>
        <v>1954453</v>
      </c>
    </row>
    <row r="1037" spans="1:14" s="46" customFormat="1" ht="31.5" customHeight="1">
      <c r="A1037" s="86" t="s">
        <v>38</v>
      </c>
      <c r="B1037" s="14">
        <v>793</v>
      </c>
      <c r="C1037" s="15" t="s">
        <v>55</v>
      </c>
      <c r="D1037" s="15" t="s">
        <v>45</v>
      </c>
      <c r="E1037" s="15" t="s">
        <v>348</v>
      </c>
      <c r="F1037" s="15" t="s">
        <v>39</v>
      </c>
      <c r="G1037" s="74">
        <f>1954453-24000+91640</f>
        <v>2022093</v>
      </c>
      <c r="H1037" s="74">
        <v>1954453</v>
      </c>
      <c r="I1037" s="74">
        <v>1954453</v>
      </c>
    </row>
    <row r="1038" spans="1:14" s="46" customFormat="1" ht="75" customHeight="1">
      <c r="A1038" s="86" t="s">
        <v>734</v>
      </c>
      <c r="B1038" s="14">
        <v>793</v>
      </c>
      <c r="C1038" s="15" t="s">
        <v>55</v>
      </c>
      <c r="D1038" s="15" t="s">
        <v>45</v>
      </c>
      <c r="E1038" s="15" t="s">
        <v>733</v>
      </c>
      <c r="F1038" s="15"/>
      <c r="G1038" s="74">
        <f t="shared" si="266"/>
        <v>226337.84</v>
      </c>
      <c r="H1038" s="74">
        <f t="shared" si="266"/>
        <v>0</v>
      </c>
      <c r="I1038" s="74">
        <f t="shared" si="266"/>
        <v>0</v>
      </c>
    </row>
    <row r="1039" spans="1:14" s="46" customFormat="1" ht="27.75" customHeight="1">
      <c r="A1039" s="86" t="s">
        <v>473</v>
      </c>
      <c r="B1039" s="14">
        <v>793</v>
      </c>
      <c r="C1039" s="15" t="s">
        <v>55</v>
      </c>
      <c r="D1039" s="15" t="s">
        <v>45</v>
      </c>
      <c r="E1039" s="15" t="s">
        <v>733</v>
      </c>
      <c r="F1039" s="15" t="s">
        <v>65</v>
      </c>
      <c r="G1039" s="74">
        <f t="shared" si="266"/>
        <v>226337.84</v>
      </c>
      <c r="H1039" s="74">
        <f t="shared" si="266"/>
        <v>0</v>
      </c>
      <c r="I1039" s="74">
        <f t="shared" si="266"/>
        <v>0</v>
      </c>
    </row>
    <row r="1040" spans="1:14" s="46" customFormat="1" ht="31.5" customHeight="1">
      <c r="A1040" s="86" t="s">
        <v>38</v>
      </c>
      <c r="B1040" s="14">
        <v>793</v>
      </c>
      <c r="C1040" s="15" t="s">
        <v>55</v>
      </c>
      <c r="D1040" s="15" t="s">
        <v>45</v>
      </c>
      <c r="E1040" s="15" t="s">
        <v>733</v>
      </c>
      <c r="F1040" s="15" t="s">
        <v>352</v>
      </c>
      <c r="G1040" s="74">
        <v>226337.84</v>
      </c>
      <c r="H1040" s="74">
        <v>0</v>
      </c>
      <c r="I1040" s="74">
        <v>0</v>
      </c>
    </row>
    <row r="1041" spans="1:16" s="46" customFormat="1" ht="75" customHeight="1">
      <c r="A1041" s="86" t="s">
        <v>821</v>
      </c>
      <c r="B1041" s="14">
        <v>793</v>
      </c>
      <c r="C1041" s="15" t="s">
        <v>55</v>
      </c>
      <c r="D1041" s="15" t="s">
        <v>45</v>
      </c>
      <c r="E1041" s="15" t="s">
        <v>820</v>
      </c>
      <c r="F1041" s="15"/>
      <c r="G1041" s="74">
        <f t="shared" si="266"/>
        <v>24000</v>
      </c>
      <c r="H1041" s="74">
        <f t="shared" si="266"/>
        <v>0</v>
      </c>
      <c r="I1041" s="74">
        <f t="shared" si="266"/>
        <v>0</v>
      </c>
    </row>
    <row r="1042" spans="1:16" s="46" customFormat="1" ht="27.75" customHeight="1">
      <c r="A1042" s="86" t="s">
        <v>473</v>
      </c>
      <c r="B1042" s="14">
        <v>793</v>
      </c>
      <c r="C1042" s="15" t="s">
        <v>55</v>
      </c>
      <c r="D1042" s="15" t="s">
        <v>45</v>
      </c>
      <c r="E1042" s="15" t="s">
        <v>820</v>
      </c>
      <c r="F1042" s="15" t="s">
        <v>37</v>
      </c>
      <c r="G1042" s="74">
        <f t="shared" si="266"/>
        <v>24000</v>
      </c>
      <c r="H1042" s="74">
        <f t="shared" si="266"/>
        <v>0</v>
      </c>
      <c r="I1042" s="74">
        <f t="shared" si="266"/>
        <v>0</v>
      </c>
    </row>
    <row r="1043" spans="1:16" s="46" customFormat="1" ht="31.5" customHeight="1">
      <c r="A1043" s="86" t="s">
        <v>38</v>
      </c>
      <c r="B1043" s="14">
        <v>793</v>
      </c>
      <c r="C1043" s="15" t="s">
        <v>55</v>
      </c>
      <c r="D1043" s="15" t="s">
        <v>45</v>
      </c>
      <c r="E1043" s="15" t="s">
        <v>820</v>
      </c>
      <c r="F1043" s="15" t="s">
        <v>39</v>
      </c>
      <c r="G1043" s="74">
        <v>24000</v>
      </c>
      <c r="H1043" s="74">
        <v>0</v>
      </c>
      <c r="I1043" s="74">
        <v>0</v>
      </c>
    </row>
    <row r="1044" spans="1:16" ht="19.5" customHeight="1">
      <c r="A1044" s="86" t="s">
        <v>179</v>
      </c>
      <c r="B1044" s="14">
        <v>793</v>
      </c>
      <c r="C1044" s="15" t="s">
        <v>55</v>
      </c>
      <c r="D1044" s="15" t="s">
        <v>127</v>
      </c>
      <c r="E1044" s="15"/>
      <c r="F1044" s="15"/>
      <c r="G1044" s="74">
        <f>G1045+G1049</f>
        <v>57233.03</v>
      </c>
      <c r="H1044" s="74">
        <f t="shared" ref="H1044:N1044" si="267">H1045+H1049</f>
        <v>33876503</v>
      </c>
      <c r="I1044" s="74">
        <f t="shared" si="267"/>
        <v>35733827</v>
      </c>
      <c r="J1044" s="74">
        <f t="shared" si="267"/>
        <v>0</v>
      </c>
      <c r="K1044" s="74">
        <f t="shared" si="267"/>
        <v>0</v>
      </c>
      <c r="L1044" s="74">
        <f t="shared" si="267"/>
        <v>0</v>
      </c>
      <c r="M1044" s="74">
        <f t="shared" si="267"/>
        <v>0</v>
      </c>
      <c r="N1044" s="74">
        <f t="shared" si="267"/>
        <v>0</v>
      </c>
    </row>
    <row r="1045" spans="1:16" ht="47.25" customHeight="1">
      <c r="A1045" s="86" t="s">
        <v>476</v>
      </c>
      <c r="B1045" s="14">
        <v>793</v>
      </c>
      <c r="C1045" s="15" t="s">
        <v>55</v>
      </c>
      <c r="D1045" s="15" t="s">
        <v>127</v>
      </c>
      <c r="E1045" s="15" t="s">
        <v>475</v>
      </c>
      <c r="F1045" s="15"/>
      <c r="G1045" s="74">
        <f>G1046</f>
        <v>57233.03</v>
      </c>
      <c r="H1045" s="74">
        <f t="shared" ref="H1045:I1045" si="268">H1046</f>
        <v>63000</v>
      </c>
      <c r="I1045" s="74">
        <f t="shared" si="268"/>
        <v>63000</v>
      </c>
    </row>
    <row r="1046" spans="1:16" ht="33.75" customHeight="1">
      <c r="A1046" s="86" t="s">
        <v>474</v>
      </c>
      <c r="B1046" s="14">
        <v>793</v>
      </c>
      <c r="C1046" s="15" t="s">
        <v>55</v>
      </c>
      <c r="D1046" s="15" t="s">
        <v>127</v>
      </c>
      <c r="E1046" s="15" t="s">
        <v>472</v>
      </c>
      <c r="F1046" s="15"/>
      <c r="G1046" s="74">
        <f>G1047</f>
        <v>57233.03</v>
      </c>
      <c r="H1046" s="74">
        <f t="shared" ref="H1046:I1046" si="269">H1047</f>
        <v>63000</v>
      </c>
      <c r="I1046" s="74">
        <f t="shared" si="269"/>
        <v>63000</v>
      </c>
    </row>
    <row r="1047" spans="1:16" ht="30.75" customHeight="1">
      <c r="A1047" s="16" t="s">
        <v>473</v>
      </c>
      <c r="B1047" s="14">
        <v>793</v>
      </c>
      <c r="C1047" s="15" t="s">
        <v>55</v>
      </c>
      <c r="D1047" s="15" t="s">
        <v>127</v>
      </c>
      <c r="E1047" s="15" t="s">
        <v>472</v>
      </c>
      <c r="F1047" s="15" t="s">
        <v>37</v>
      </c>
      <c r="G1047" s="74">
        <f>G1048</f>
        <v>57233.03</v>
      </c>
      <c r="H1047" s="74">
        <f t="shared" ref="H1047:I1047" si="270">H1048</f>
        <v>63000</v>
      </c>
      <c r="I1047" s="74">
        <f t="shared" si="270"/>
        <v>63000</v>
      </c>
    </row>
    <row r="1048" spans="1:16" ht="33" customHeight="1">
      <c r="A1048" s="16" t="s">
        <v>38</v>
      </c>
      <c r="B1048" s="14">
        <v>793</v>
      </c>
      <c r="C1048" s="15" t="s">
        <v>55</v>
      </c>
      <c r="D1048" s="15" t="s">
        <v>127</v>
      </c>
      <c r="E1048" s="15" t="s">
        <v>472</v>
      </c>
      <c r="F1048" s="15" t="s">
        <v>39</v>
      </c>
      <c r="G1048" s="74">
        <f>63000-5766.97</f>
        <v>57233.03</v>
      </c>
      <c r="H1048" s="74">
        <v>63000</v>
      </c>
      <c r="I1048" s="74">
        <v>63000</v>
      </c>
    </row>
    <row r="1049" spans="1:16" s="18" customFormat="1" ht="27" customHeight="1">
      <c r="A1049" s="16" t="s">
        <v>508</v>
      </c>
      <c r="B1049" s="14">
        <v>793</v>
      </c>
      <c r="C1049" s="15" t="s">
        <v>55</v>
      </c>
      <c r="D1049" s="15" t="s">
        <v>127</v>
      </c>
      <c r="E1049" s="15" t="s">
        <v>242</v>
      </c>
      <c r="F1049" s="15"/>
      <c r="G1049" s="74">
        <f>G1050+G1057+G1065</f>
        <v>0</v>
      </c>
      <c r="H1049" s="74">
        <f t="shared" ref="H1049:I1049" si="271">H1050+H1057+H1065</f>
        <v>33813503</v>
      </c>
      <c r="I1049" s="74">
        <f t="shared" si="271"/>
        <v>35670827</v>
      </c>
    </row>
    <row r="1050" spans="1:16" s="18" customFormat="1" ht="75" customHeight="1">
      <c r="A1050" s="50" t="s">
        <v>400</v>
      </c>
      <c r="B1050" s="14">
        <v>793</v>
      </c>
      <c r="C1050" s="15" t="s">
        <v>55</v>
      </c>
      <c r="D1050" s="15" t="s">
        <v>127</v>
      </c>
      <c r="E1050" s="15" t="s">
        <v>105</v>
      </c>
      <c r="F1050" s="15"/>
      <c r="G1050" s="74">
        <f>G1051+G1054</f>
        <v>0</v>
      </c>
      <c r="H1050" s="74">
        <f t="shared" ref="H1050:I1050" si="272">H1051+H1054</f>
        <v>14255603</v>
      </c>
      <c r="I1050" s="74">
        <f t="shared" si="272"/>
        <v>15205091</v>
      </c>
      <c r="P1050" s="17"/>
    </row>
    <row r="1051" spans="1:16" s="18" customFormat="1" ht="41.25" customHeight="1">
      <c r="A1051" s="50" t="s">
        <v>401</v>
      </c>
      <c r="B1051" s="14">
        <v>793</v>
      </c>
      <c r="C1051" s="15" t="s">
        <v>55</v>
      </c>
      <c r="D1051" s="15" t="s">
        <v>127</v>
      </c>
      <c r="E1051" s="15" t="s">
        <v>106</v>
      </c>
      <c r="F1051" s="15"/>
      <c r="G1051" s="74">
        <f t="shared" ref="G1051:I1052" si="273">G1052</f>
        <v>0</v>
      </c>
      <c r="H1051" s="74">
        <f t="shared" si="273"/>
        <v>8960881</v>
      </c>
      <c r="I1051" s="74">
        <f t="shared" si="273"/>
        <v>9546105</v>
      </c>
    </row>
    <row r="1052" spans="1:16" s="18" customFormat="1" ht="15" customHeight="1">
      <c r="A1052" s="16" t="s">
        <v>334</v>
      </c>
      <c r="B1052" s="14">
        <v>793</v>
      </c>
      <c r="C1052" s="15" t="s">
        <v>55</v>
      </c>
      <c r="D1052" s="15" t="s">
        <v>127</v>
      </c>
      <c r="E1052" s="15" t="s">
        <v>106</v>
      </c>
      <c r="F1052" s="15" t="s">
        <v>37</v>
      </c>
      <c r="G1052" s="74">
        <f t="shared" si="273"/>
        <v>0</v>
      </c>
      <c r="H1052" s="74">
        <f t="shared" si="273"/>
        <v>8960881</v>
      </c>
      <c r="I1052" s="74">
        <f t="shared" si="273"/>
        <v>9546105</v>
      </c>
    </row>
    <row r="1053" spans="1:16" s="18" customFormat="1" ht="32.25" customHeight="1">
      <c r="A1053" s="16" t="s">
        <v>38</v>
      </c>
      <c r="B1053" s="14">
        <v>793</v>
      </c>
      <c r="C1053" s="15" t="s">
        <v>55</v>
      </c>
      <c r="D1053" s="15" t="s">
        <v>127</v>
      </c>
      <c r="E1053" s="15" t="s">
        <v>106</v>
      </c>
      <c r="F1053" s="15" t="s">
        <v>39</v>
      </c>
      <c r="G1053" s="74">
        <v>0</v>
      </c>
      <c r="H1053" s="74">
        <v>8960881</v>
      </c>
      <c r="I1053" s="74">
        <v>9546105</v>
      </c>
      <c r="J1053" s="18" t="s">
        <v>482</v>
      </c>
      <c r="L1053" s="18">
        <v>26808448</v>
      </c>
    </row>
    <row r="1054" spans="1:16" s="18" customFormat="1" ht="76.5" customHeight="1">
      <c r="A1054" s="50" t="s">
        <v>693</v>
      </c>
      <c r="B1054" s="14">
        <v>793</v>
      </c>
      <c r="C1054" s="15" t="s">
        <v>55</v>
      </c>
      <c r="D1054" s="15" t="s">
        <v>127</v>
      </c>
      <c r="E1054" s="15" t="s">
        <v>692</v>
      </c>
      <c r="F1054" s="15"/>
      <c r="G1054" s="74">
        <f t="shared" ref="G1054:I1055" si="274">G1055</f>
        <v>0</v>
      </c>
      <c r="H1054" s="74">
        <f t="shared" si="274"/>
        <v>5294722</v>
      </c>
      <c r="I1054" s="74">
        <f t="shared" si="274"/>
        <v>5658986</v>
      </c>
    </row>
    <row r="1055" spans="1:16" s="18" customFormat="1" ht="15" customHeight="1">
      <c r="A1055" s="16" t="s">
        <v>334</v>
      </c>
      <c r="B1055" s="14">
        <v>793</v>
      </c>
      <c r="C1055" s="15" t="s">
        <v>55</v>
      </c>
      <c r="D1055" s="15" t="s">
        <v>127</v>
      </c>
      <c r="E1055" s="15" t="s">
        <v>692</v>
      </c>
      <c r="F1055" s="15" t="s">
        <v>37</v>
      </c>
      <c r="G1055" s="74">
        <f t="shared" si="274"/>
        <v>0</v>
      </c>
      <c r="H1055" s="74">
        <f t="shared" si="274"/>
        <v>5294722</v>
      </c>
      <c r="I1055" s="74">
        <f t="shared" si="274"/>
        <v>5658986</v>
      </c>
    </row>
    <row r="1056" spans="1:16" s="18" customFormat="1" ht="32.25" customHeight="1">
      <c r="A1056" s="16" t="s">
        <v>38</v>
      </c>
      <c r="B1056" s="14">
        <v>793</v>
      </c>
      <c r="C1056" s="15" t="s">
        <v>55</v>
      </c>
      <c r="D1056" s="15" t="s">
        <v>127</v>
      </c>
      <c r="E1056" s="15" t="s">
        <v>692</v>
      </c>
      <c r="F1056" s="15" t="s">
        <v>39</v>
      </c>
      <c r="G1056" s="74">
        <v>0</v>
      </c>
      <c r="H1056" s="74">
        <v>5294722</v>
      </c>
      <c r="I1056" s="74">
        <v>5658986</v>
      </c>
      <c r="J1056" s="18" t="s">
        <v>482</v>
      </c>
      <c r="L1056" s="18">
        <v>26808448</v>
      </c>
    </row>
    <row r="1057" spans="1:12" ht="63.75" customHeight="1">
      <c r="A1057" s="86" t="s">
        <v>402</v>
      </c>
      <c r="B1057" s="14">
        <v>793</v>
      </c>
      <c r="C1057" s="15" t="s">
        <v>55</v>
      </c>
      <c r="D1057" s="15" t="s">
        <v>127</v>
      </c>
      <c r="E1057" s="15" t="s">
        <v>109</v>
      </c>
      <c r="F1057" s="15"/>
      <c r="G1057" s="74">
        <f>G1064</f>
        <v>0</v>
      </c>
      <c r="H1057" s="74">
        <f t="shared" ref="H1057:I1057" si="275">H1064</f>
        <v>13441321</v>
      </c>
      <c r="I1057" s="74">
        <f t="shared" si="275"/>
        <v>14319157</v>
      </c>
      <c r="L1057" s="2">
        <f>H1031+H1034+H1062</f>
        <v>1954453</v>
      </c>
    </row>
    <row r="1058" spans="1:12" ht="48.75" customHeight="1">
      <c r="A1058" s="16" t="s">
        <v>403</v>
      </c>
      <c r="B1058" s="14">
        <v>793</v>
      </c>
      <c r="C1058" s="15" t="s">
        <v>55</v>
      </c>
      <c r="D1058" s="15" t="s">
        <v>127</v>
      </c>
      <c r="E1058" s="15" t="s">
        <v>110</v>
      </c>
      <c r="F1058" s="15"/>
      <c r="G1058" s="74">
        <f>G1059+G1061+G1063</f>
        <v>0</v>
      </c>
      <c r="H1058" s="74">
        <f t="shared" ref="H1058:I1058" si="276">H1059+H1061+H1063</f>
        <v>13441321</v>
      </c>
      <c r="I1058" s="74">
        <f t="shared" si="276"/>
        <v>14319157</v>
      </c>
      <c r="L1058" s="2">
        <f>I1029+I1032+I1062</f>
        <v>1954453</v>
      </c>
    </row>
    <row r="1059" spans="1:12" s="18" customFormat="1" ht="15.75" hidden="1" customHeight="1">
      <c r="A1059" s="16" t="s">
        <v>64</v>
      </c>
      <c r="B1059" s="14">
        <v>793</v>
      </c>
      <c r="C1059" s="15" t="s">
        <v>55</v>
      </c>
      <c r="D1059" s="15" t="s">
        <v>127</v>
      </c>
      <c r="E1059" s="15" t="s">
        <v>110</v>
      </c>
      <c r="F1059" s="15" t="s">
        <v>65</v>
      </c>
      <c r="G1059" s="74">
        <f>G1060</f>
        <v>0</v>
      </c>
      <c r="H1059" s="168">
        <v>0</v>
      </c>
      <c r="I1059" s="168">
        <v>0</v>
      </c>
      <c r="J1059" s="164"/>
    </row>
    <row r="1060" spans="1:12" s="18" customFormat="1" ht="15.75" hidden="1" customHeight="1">
      <c r="A1060" s="16" t="s">
        <v>187</v>
      </c>
      <c r="B1060" s="14">
        <v>793</v>
      </c>
      <c r="C1060" s="15" t="s">
        <v>55</v>
      </c>
      <c r="D1060" s="15" t="s">
        <v>127</v>
      </c>
      <c r="E1060" s="15" t="s">
        <v>110</v>
      </c>
      <c r="F1060" s="15" t="s">
        <v>188</v>
      </c>
      <c r="G1060" s="74">
        <f>5198269.13-268287.5-423091+149078.6-4655969.23</f>
        <v>0</v>
      </c>
      <c r="H1060" s="168">
        <v>0</v>
      </c>
      <c r="I1060" s="168">
        <v>0</v>
      </c>
      <c r="J1060" s="164"/>
    </row>
    <row r="1061" spans="1:12" ht="22.5" hidden="1" customHeight="1">
      <c r="A1061" s="16" t="s">
        <v>163</v>
      </c>
      <c r="B1061" s="14">
        <v>793</v>
      </c>
      <c r="C1061" s="15" t="s">
        <v>55</v>
      </c>
      <c r="D1061" s="15" t="s">
        <v>127</v>
      </c>
      <c r="E1061" s="15" t="s">
        <v>110</v>
      </c>
      <c r="F1061" s="15" t="s">
        <v>164</v>
      </c>
      <c r="G1061" s="74">
        <f>G1062</f>
        <v>0</v>
      </c>
      <c r="H1061" s="74">
        <f>H1062</f>
        <v>0</v>
      </c>
      <c r="I1061" s="74">
        <f>I1062</f>
        <v>0</v>
      </c>
    </row>
    <row r="1062" spans="1:12" ht="16.5" hidden="1" customHeight="1">
      <c r="A1062" s="16"/>
      <c r="B1062" s="14">
        <v>793</v>
      </c>
      <c r="C1062" s="15"/>
      <c r="D1062" s="15"/>
      <c r="E1062" s="15"/>
      <c r="F1062" s="15"/>
      <c r="G1062" s="74"/>
      <c r="H1062" s="74"/>
      <c r="I1062" s="74"/>
    </row>
    <row r="1063" spans="1:12" ht="22.5" customHeight="1">
      <c r="A1063" s="16" t="s">
        <v>334</v>
      </c>
      <c r="B1063" s="14">
        <v>793</v>
      </c>
      <c r="C1063" s="15" t="s">
        <v>55</v>
      </c>
      <c r="D1063" s="15" t="s">
        <v>127</v>
      </c>
      <c r="E1063" s="15" t="s">
        <v>110</v>
      </c>
      <c r="F1063" s="15" t="s">
        <v>37</v>
      </c>
      <c r="G1063" s="74">
        <f>G1064</f>
        <v>0</v>
      </c>
      <c r="H1063" s="74">
        <f>H1064</f>
        <v>13441321</v>
      </c>
      <c r="I1063" s="74">
        <f>I1064</f>
        <v>14319157</v>
      </c>
    </row>
    <row r="1064" spans="1:12" ht="30.75" customHeight="1">
      <c r="A1064" s="16" t="s">
        <v>38</v>
      </c>
      <c r="B1064" s="14">
        <v>793</v>
      </c>
      <c r="C1064" s="15" t="s">
        <v>55</v>
      </c>
      <c r="D1064" s="15" t="s">
        <v>127</v>
      </c>
      <c r="E1064" s="15" t="s">
        <v>110</v>
      </c>
      <c r="F1064" s="15" t="s">
        <v>39</v>
      </c>
      <c r="G1064" s="74">
        <v>0</v>
      </c>
      <c r="H1064" s="74">
        <v>13441321</v>
      </c>
      <c r="I1064" s="74">
        <v>14319157</v>
      </c>
    </row>
    <row r="1065" spans="1:12" ht="87" customHeight="1">
      <c r="A1065" s="16" t="s">
        <v>698</v>
      </c>
      <c r="B1065" s="14">
        <v>793</v>
      </c>
      <c r="C1065" s="15" t="s">
        <v>55</v>
      </c>
      <c r="D1065" s="15" t="s">
        <v>127</v>
      </c>
      <c r="E1065" s="15" t="s">
        <v>11</v>
      </c>
      <c r="F1065" s="15"/>
      <c r="G1065" s="74">
        <f>G1076</f>
        <v>0</v>
      </c>
      <c r="H1065" s="74">
        <f t="shared" ref="H1065:I1065" si="277">H1076</f>
        <v>6116579</v>
      </c>
      <c r="I1065" s="74">
        <f t="shared" si="277"/>
        <v>6146579</v>
      </c>
    </row>
    <row r="1066" spans="1:12" ht="91.5" hidden="1" customHeight="1">
      <c r="A1066" s="16" t="s">
        <v>643</v>
      </c>
      <c r="B1066" s="14">
        <v>793</v>
      </c>
      <c r="C1066" s="15" t="s">
        <v>55</v>
      </c>
      <c r="D1066" s="15" t="s">
        <v>127</v>
      </c>
      <c r="E1066" s="15" t="s">
        <v>642</v>
      </c>
      <c r="F1066" s="15"/>
      <c r="G1066" s="74">
        <f>G1067</f>
        <v>0</v>
      </c>
      <c r="H1066" s="74">
        <v>0</v>
      </c>
      <c r="I1066" s="74">
        <v>0</v>
      </c>
    </row>
    <row r="1067" spans="1:12" ht="22.5" hidden="1" customHeight="1">
      <c r="A1067" s="16" t="s">
        <v>163</v>
      </c>
      <c r="B1067" s="14">
        <v>793</v>
      </c>
      <c r="C1067" s="15" t="s">
        <v>55</v>
      </c>
      <c r="D1067" s="15" t="s">
        <v>127</v>
      </c>
      <c r="E1067" s="15" t="s">
        <v>642</v>
      </c>
      <c r="F1067" s="15" t="s">
        <v>164</v>
      </c>
      <c r="G1067" s="74">
        <f>G1068</f>
        <v>0</v>
      </c>
      <c r="H1067" s="74">
        <v>0</v>
      </c>
      <c r="I1067" s="74">
        <v>0</v>
      </c>
    </row>
    <row r="1068" spans="1:12" ht="16.5" hidden="1" customHeight="1">
      <c r="A1068" s="16" t="s">
        <v>177</v>
      </c>
      <c r="B1068" s="14">
        <v>793</v>
      </c>
      <c r="C1068" s="15" t="s">
        <v>55</v>
      </c>
      <c r="D1068" s="15" t="s">
        <v>127</v>
      </c>
      <c r="E1068" s="15" t="s">
        <v>642</v>
      </c>
      <c r="F1068" s="15" t="s">
        <v>178</v>
      </c>
      <c r="G1068" s="74"/>
      <c r="H1068" s="74">
        <v>0</v>
      </c>
      <c r="I1068" s="74">
        <v>0</v>
      </c>
    </row>
    <row r="1069" spans="1:12" ht="48" hidden="1" customHeight="1">
      <c r="A1069" s="16" t="s">
        <v>627</v>
      </c>
      <c r="B1069" s="14">
        <v>793</v>
      </c>
      <c r="C1069" s="15" t="s">
        <v>55</v>
      </c>
      <c r="D1069" s="15" t="s">
        <v>127</v>
      </c>
      <c r="E1069" s="15" t="s">
        <v>420</v>
      </c>
      <c r="F1069" s="15"/>
      <c r="G1069" s="74">
        <f>G1070</f>
        <v>0</v>
      </c>
      <c r="H1069" s="74">
        <v>0</v>
      </c>
      <c r="I1069" s="74">
        <v>0</v>
      </c>
    </row>
    <row r="1070" spans="1:12" ht="22.5" hidden="1" customHeight="1">
      <c r="A1070" s="16" t="s">
        <v>163</v>
      </c>
      <c r="B1070" s="14">
        <v>793</v>
      </c>
      <c r="C1070" s="15" t="s">
        <v>55</v>
      </c>
      <c r="D1070" s="15" t="s">
        <v>127</v>
      </c>
      <c r="E1070" s="15" t="s">
        <v>420</v>
      </c>
      <c r="F1070" s="15" t="s">
        <v>164</v>
      </c>
      <c r="G1070" s="74">
        <f>G1071</f>
        <v>0</v>
      </c>
      <c r="H1070" s="74">
        <v>0</v>
      </c>
      <c r="I1070" s="74">
        <v>0</v>
      </c>
    </row>
    <row r="1071" spans="1:12" ht="16.5" hidden="1" customHeight="1">
      <c r="A1071" s="16" t="s">
        <v>177</v>
      </c>
      <c r="B1071" s="14">
        <v>793</v>
      </c>
      <c r="C1071" s="15" t="s">
        <v>55</v>
      </c>
      <c r="D1071" s="15" t="s">
        <v>127</v>
      </c>
      <c r="E1071" s="15" t="s">
        <v>420</v>
      </c>
      <c r="F1071" s="15" t="s">
        <v>178</v>
      </c>
      <c r="G1071" s="74"/>
      <c r="H1071" s="74">
        <v>0</v>
      </c>
      <c r="I1071" s="74">
        <v>0</v>
      </c>
    </row>
    <row r="1072" spans="1:12" s="18" customFormat="1" ht="122.25" customHeight="1">
      <c r="A1072" s="84" t="s">
        <v>699</v>
      </c>
      <c r="B1072" s="14">
        <v>793</v>
      </c>
      <c r="C1072" s="15" t="s">
        <v>55</v>
      </c>
      <c r="D1072" s="15" t="s">
        <v>127</v>
      </c>
      <c r="E1072" s="15" t="s">
        <v>644</v>
      </c>
      <c r="F1072" s="15"/>
      <c r="G1072" s="74">
        <f>G1073+G1075</f>
        <v>0</v>
      </c>
      <c r="H1072" s="74">
        <f t="shared" ref="H1072:I1072" si="278">H1073+H1075</f>
        <v>6116579</v>
      </c>
      <c r="I1072" s="74">
        <f t="shared" si="278"/>
        <v>6146579</v>
      </c>
    </row>
    <row r="1073" spans="1:9" s="18" customFormat="1" ht="24.75" hidden="1" customHeight="1">
      <c r="A1073" s="16" t="s">
        <v>334</v>
      </c>
      <c r="B1073" s="14">
        <v>793</v>
      </c>
      <c r="C1073" s="15" t="s">
        <v>55</v>
      </c>
      <c r="D1073" s="15" t="s">
        <v>127</v>
      </c>
      <c r="E1073" s="15" t="s">
        <v>644</v>
      </c>
      <c r="F1073" s="15" t="s">
        <v>37</v>
      </c>
      <c r="G1073" s="74">
        <f t="shared" ref="G1073:I1073" si="279">G1074</f>
        <v>0</v>
      </c>
      <c r="H1073" s="74">
        <f t="shared" si="279"/>
        <v>0</v>
      </c>
      <c r="I1073" s="74">
        <f t="shared" si="279"/>
        <v>0</v>
      </c>
    </row>
    <row r="1074" spans="1:9" s="18" customFormat="1" ht="30.75" hidden="1" customHeight="1">
      <c r="A1074" s="16" t="s">
        <v>38</v>
      </c>
      <c r="B1074" s="14">
        <v>793</v>
      </c>
      <c r="C1074" s="15" t="s">
        <v>55</v>
      </c>
      <c r="D1074" s="15" t="s">
        <v>127</v>
      </c>
      <c r="E1074" s="15" t="s">
        <v>644</v>
      </c>
      <c r="F1074" s="15" t="s">
        <v>39</v>
      </c>
      <c r="G1074" s="74">
        <f>5365800-50+268287.5-5634037.5</f>
        <v>0</v>
      </c>
      <c r="H1074" s="74"/>
      <c r="I1074" s="74"/>
    </row>
    <row r="1075" spans="1:9" ht="22.5" customHeight="1">
      <c r="A1075" s="16" t="s">
        <v>163</v>
      </c>
      <c r="B1075" s="14">
        <v>793</v>
      </c>
      <c r="C1075" s="15" t="s">
        <v>55</v>
      </c>
      <c r="D1075" s="15" t="s">
        <v>127</v>
      </c>
      <c r="E1075" s="15" t="s">
        <v>644</v>
      </c>
      <c r="F1075" s="15" t="s">
        <v>164</v>
      </c>
      <c r="G1075" s="74">
        <f>G1076</f>
        <v>0</v>
      </c>
      <c r="H1075" s="74">
        <f t="shared" ref="H1075:I1075" si="280">H1076</f>
        <v>6116579</v>
      </c>
      <c r="I1075" s="74">
        <f t="shared" si="280"/>
        <v>6146579</v>
      </c>
    </row>
    <row r="1076" spans="1:9" ht="16.5" customHeight="1">
      <c r="A1076" s="16" t="s">
        <v>185</v>
      </c>
      <c r="B1076" s="14">
        <v>793</v>
      </c>
      <c r="C1076" s="15" t="s">
        <v>55</v>
      </c>
      <c r="D1076" s="15" t="s">
        <v>127</v>
      </c>
      <c r="E1076" s="15" t="s">
        <v>644</v>
      </c>
      <c r="F1076" s="15" t="s">
        <v>186</v>
      </c>
      <c r="G1076" s="74">
        <v>0</v>
      </c>
      <c r="H1076" s="118">
        <v>6116579</v>
      </c>
      <c r="I1076" s="118">
        <v>6146579</v>
      </c>
    </row>
    <row r="1077" spans="1:9" ht="18.75" customHeight="1">
      <c r="A1077" s="16" t="s">
        <v>89</v>
      </c>
      <c r="B1077" s="14">
        <v>793</v>
      </c>
      <c r="C1077" s="15" t="s">
        <v>55</v>
      </c>
      <c r="D1077" s="15" t="s">
        <v>90</v>
      </c>
      <c r="E1077" s="15"/>
      <c r="F1077" s="14"/>
      <c r="G1077" s="74">
        <f>G1078+G1095+G1109</f>
        <v>1607975</v>
      </c>
      <c r="H1077" s="74">
        <f>H1078+H1095</f>
        <v>915800</v>
      </c>
      <c r="I1077" s="74">
        <f>I1078+I1095</f>
        <v>910400</v>
      </c>
    </row>
    <row r="1078" spans="1:9" ht="30" customHeight="1">
      <c r="A1078" s="37" t="s">
        <v>740</v>
      </c>
      <c r="B1078" s="14">
        <v>793</v>
      </c>
      <c r="C1078" s="15" t="s">
        <v>55</v>
      </c>
      <c r="D1078" s="15" t="s">
        <v>90</v>
      </c>
      <c r="E1078" s="14" t="s">
        <v>250</v>
      </c>
      <c r="F1078" s="14"/>
      <c r="G1078" s="74">
        <f>G1082+G1079+G1092+G1085</f>
        <v>1464975</v>
      </c>
      <c r="H1078" s="74">
        <f>H1082+H1079+H1092+H1085</f>
        <v>735800</v>
      </c>
      <c r="I1078" s="74">
        <f>I1082+I1079+I1092+I1085</f>
        <v>730400</v>
      </c>
    </row>
    <row r="1079" spans="1:9" ht="27" customHeight="1">
      <c r="A1079" s="16" t="s">
        <v>355</v>
      </c>
      <c r="B1079" s="14">
        <v>793</v>
      </c>
      <c r="C1079" s="15" t="s">
        <v>55</v>
      </c>
      <c r="D1079" s="15" t="s">
        <v>90</v>
      </c>
      <c r="E1079" s="14" t="s">
        <v>407</v>
      </c>
      <c r="F1079" s="14"/>
      <c r="G1079" s="74">
        <f t="shared" ref="G1079:I1080" si="281">G1080</f>
        <v>874975</v>
      </c>
      <c r="H1079" s="74">
        <f t="shared" si="281"/>
        <v>335800</v>
      </c>
      <c r="I1079" s="74">
        <f t="shared" si="281"/>
        <v>330400</v>
      </c>
    </row>
    <row r="1080" spans="1:9">
      <c r="A1080" s="16" t="s">
        <v>64</v>
      </c>
      <c r="B1080" s="14">
        <v>793</v>
      </c>
      <c r="C1080" s="15" t="s">
        <v>55</v>
      </c>
      <c r="D1080" s="15" t="s">
        <v>90</v>
      </c>
      <c r="E1080" s="14" t="s">
        <v>407</v>
      </c>
      <c r="F1080" s="14">
        <v>800</v>
      </c>
      <c r="G1080" s="74">
        <f t="shared" si="281"/>
        <v>874975</v>
      </c>
      <c r="H1080" s="74">
        <f t="shared" si="281"/>
        <v>335800</v>
      </c>
      <c r="I1080" s="74">
        <f t="shared" si="281"/>
        <v>330400</v>
      </c>
    </row>
    <row r="1081" spans="1:9" ht="39" customHeight="1">
      <c r="A1081" s="16" t="s">
        <v>351</v>
      </c>
      <c r="B1081" s="14">
        <v>793</v>
      </c>
      <c r="C1081" s="15" t="s">
        <v>55</v>
      </c>
      <c r="D1081" s="15" t="s">
        <v>90</v>
      </c>
      <c r="E1081" s="14" t="s">
        <v>407</v>
      </c>
      <c r="F1081" s="14">
        <v>810</v>
      </c>
      <c r="G1081" s="74">
        <v>874975</v>
      </c>
      <c r="H1081" s="74">
        <v>335800</v>
      </c>
      <c r="I1081" s="74">
        <v>330400</v>
      </c>
    </row>
    <row r="1082" spans="1:9" ht="47.25" customHeight="1">
      <c r="A1082" s="16" t="s">
        <v>356</v>
      </c>
      <c r="B1082" s="14">
        <v>793</v>
      </c>
      <c r="C1082" s="15" t="s">
        <v>55</v>
      </c>
      <c r="D1082" s="15" t="s">
        <v>90</v>
      </c>
      <c r="E1082" s="14" t="s">
        <v>266</v>
      </c>
      <c r="F1082" s="14"/>
      <c r="G1082" s="74">
        <f>G1083</f>
        <v>590000</v>
      </c>
      <c r="H1082" s="74">
        <f t="shared" ref="H1082:I1082" si="282">H1083</f>
        <v>400000</v>
      </c>
      <c r="I1082" s="74">
        <f t="shared" si="282"/>
        <v>400000</v>
      </c>
    </row>
    <row r="1083" spans="1:9">
      <c r="A1083" s="16" t="s">
        <v>64</v>
      </c>
      <c r="B1083" s="14">
        <v>793</v>
      </c>
      <c r="C1083" s="15" t="s">
        <v>55</v>
      </c>
      <c r="D1083" s="15" t="s">
        <v>90</v>
      </c>
      <c r="E1083" s="14" t="s">
        <v>266</v>
      </c>
      <c r="F1083" s="14">
        <v>800</v>
      </c>
      <c r="G1083" s="74">
        <f t="shared" ref="G1083:I1083" si="283">G1084</f>
        <v>590000</v>
      </c>
      <c r="H1083" s="74">
        <f t="shared" si="283"/>
        <v>400000</v>
      </c>
      <c r="I1083" s="74">
        <f t="shared" si="283"/>
        <v>400000</v>
      </c>
    </row>
    <row r="1084" spans="1:9" ht="45" customHeight="1">
      <c r="A1084" s="16" t="s">
        <v>351</v>
      </c>
      <c r="B1084" s="14">
        <v>793</v>
      </c>
      <c r="C1084" s="15" t="s">
        <v>55</v>
      </c>
      <c r="D1084" s="15" t="s">
        <v>90</v>
      </c>
      <c r="E1084" s="14" t="s">
        <v>266</v>
      </c>
      <c r="F1084" s="14">
        <v>810</v>
      </c>
      <c r="G1084" s="74">
        <v>590000</v>
      </c>
      <c r="H1084" s="74">
        <v>400000</v>
      </c>
      <c r="I1084" s="74">
        <v>400000</v>
      </c>
    </row>
    <row r="1085" spans="1:9" ht="40.5" hidden="1" customHeight="1">
      <c r="A1085" s="16" t="s">
        <v>768</v>
      </c>
      <c r="B1085" s="14">
        <v>793</v>
      </c>
      <c r="C1085" s="15" t="s">
        <v>55</v>
      </c>
      <c r="D1085" s="15" t="s">
        <v>90</v>
      </c>
      <c r="E1085" s="14" t="s">
        <v>767</v>
      </c>
      <c r="F1085" s="14"/>
      <c r="G1085" s="74">
        <f>G1086+G1088+G1090</f>
        <v>0</v>
      </c>
      <c r="H1085" s="74">
        <f>H1086+H1088</f>
        <v>0</v>
      </c>
      <c r="I1085" s="74">
        <f>I1086+I1088</f>
        <v>0</v>
      </c>
    </row>
    <row r="1086" spans="1:9" ht="25.5" hidden="1">
      <c r="A1086" s="16" t="s">
        <v>334</v>
      </c>
      <c r="B1086" s="14">
        <v>793</v>
      </c>
      <c r="C1086" s="15" t="s">
        <v>55</v>
      </c>
      <c r="D1086" s="15" t="s">
        <v>90</v>
      </c>
      <c r="E1086" s="14" t="s">
        <v>767</v>
      </c>
      <c r="F1086" s="14">
        <v>200</v>
      </c>
      <c r="G1086" s="74">
        <f t="shared" ref="G1086:I1086" si="284">G1087</f>
        <v>0</v>
      </c>
      <c r="H1086" s="74">
        <f t="shared" si="284"/>
        <v>0</v>
      </c>
      <c r="I1086" s="74">
        <f t="shared" si="284"/>
        <v>0</v>
      </c>
    </row>
    <row r="1087" spans="1:9" ht="31.5" hidden="1" customHeight="1">
      <c r="A1087" s="16" t="s">
        <v>38</v>
      </c>
      <c r="B1087" s="14">
        <v>793</v>
      </c>
      <c r="C1087" s="15" t="s">
        <v>55</v>
      </c>
      <c r="D1087" s="15" t="s">
        <v>90</v>
      </c>
      <c r="E1087" s="14" t="s">
        <v>767</v>
      </c>
      <c r="F1087" s="14">
        <v>240</v>
      </c>
      <c r="G1087" s="74">
        <f>474000-375000-99000</f>
        <v>0</v>
      </c>
      <c r="H1087" s="8">
        <v>0</v>
      </c>
      <c r="I1087" s="8">
        <v>0</v>
      </c>
    </row>
    <row r="1088" spans="1:9" ht="24.75" hidden="1" customHeight="1">
      <c r="A1088" s="16" t="s">
        <v>163</v>
      </c>
      <c r="B1088" s="14">
        <v>793</v>
      </c>
      <c r="C1088" s="15" t="s">
        <v>55</v>
      </c>
      <c r="D1088" s="15" t="s">
        <v>90</v>
      </c>
      <c r="E1088" s="14" t="s">
        <v>663</v>
      </c>
      <c r="F1088" s="14">
        <v>500</v>
      </c>
      <c r="G1088" s="74">
        <f>G1089</f>
        <v>0</v>
      </c>
      <c r="H1088" s="74">
        <f>H1089</f>
        <v>0</v>
      </c>
      <c r="I1088" s="74">
        <f>I1089</f>
        <v>0</v>
      </c>
    </row>
    <row r="1089" spans="1:9" ht="21.75" hidden="1" customHeight="1">
      <c r="A1089" s="16" t="s">
        <v>177</v>
      </c>
      <c r="B1089" s="14">
        <v>793</v>
      </c>
      <c r="C1089" s="15" t="s">
        <v>55</v>
      </c>
      <c r="D1089" s="15" t="s">
        <v>90</v>
      </c>
      <c r="E1089" s="14" t="s">
        <v>663</v>
      </c>
      <c r="F1089" s="14">
        <v>520</v>
      </c>
      <c r="G1089" s="194"/>
      <c r="H1089" s="8"/>
      <c r="I1089" s="8"/>
    </row>
    <row r="1090" spans="1:9" ht="21" hidden="1" customHeight="1">
      <c r="A1090" s="16" t="s">
        <v>64</v>
      </c>
      <c r="B1090" s="14">
        <v>793</v>
      </c>
      <c r="C1090" s="15" t="s">
        <v>55</v>
      </c>
      <c r="D1090" s="15" t="s">
        <v>90</v>
      </c>
      <c r="E1090" s="14" t="s">
        <v>663</v>
      </c>
      <c r="F1090" s="14">
        <v>800</v>
      </c>
      <c r="G1090" s="194">
        <f>G1091</f>
        <v>0</v>
      </c>
      <c r="H1090" s="8"/>
      <c r="I1090" s="8"/>
    </row>
    <row r="1091" spans="1:9" ht="20.25" hidden="1" customHeight="1">
      <c r="A1091" s="16" t="s">
        <v>187</v>
      </c>
      <c r="B1091" s="14">
        <v>793</v>
      </c>
      <c r="C1091" s="15" t="s">
        <v>55</v>
      </c>
      <c r="D1091" s="15" t="s">
        <v>90</v>
      </c>
      <c r="E1091" s="14" t="s">
        <v>663</v>
      </c>
      <c r="F1091" s="14">
        <v>870</v>
      </c>
      <c r="G1091" s="194">
        <f>50000-50000</f>
        <v>0</v>
      </c>
      <c r="H1091" s="8"/>
      <c r="I1091" s="8"/>
    </row>
    <row r="1092" spans="1:9" ht="65.25" hidden="1" customHeight="1">
      <c r="A1092" s="16" t="s">
        <v>625</v>
      </c>
      <c r="B1092" s="14">
        <v>793</v>
      </c>
      <c r="C1092" s="15" t="s">
        <v>55</v>
      </c>
      <c r="D1092" s="15" t="s">
        <v>90</v>
      </c>
      <c r="E1092" s="14" t="s">
        <v>470</v>
      </c>
      <c r="F1092" s="14"/>
      <c r="G1092" s="74">
        <f>G1093</f>
        <v>0</v>
      </c>
      <c r="H1092" s="74">
        <f t="shared" ref="H1092:I1092" si="285">H1093</f>
        <v>0</v>
      </c>
      <c r="I1092" s="74">
        <f t="shared" si="285"/>
        <v>0</v>
      </c>
    </row>
    <row r="1093" spans="1:9" ht="20.25" hidden="1" customHeight="1">
      <c r="A1093" s="16" t="s">
        <v>64</v>
      </c>
      <c r="B1093" s="14">
        <v>793</v>
      </c>
      <c r="C1093" s="15" t="s">
        <v>55</v>
      </c>
      <c r="D1093" s="15" t="s">
        <v>90</v>
      </c>
      <c r="E1093" s="14" t="s">
        <v>470</v>
      </c>
      <c r="F1093" s="14">
        <v>800</v>
      </c>
      <c r="G1093" s="74">
        <f>G1094</f>
        <v>0</v>
      </c>
      <c r="H1093" s="74">
        <f t="shared" ref="H1093:I1093" si="286">H1094</f>
        <v>0</v>
      </c>
      <c r="I1093" s="74">
        <f t="shared" si="286"/>
        <v>0</v>
      </c>
    </row>
    <row r="1094" spans="1:9" ht="38.25" hidden="1" customHeight="1">
      <c r="A1094" s="16" t="s">
        <v>351</v>
      </c>
      <c r="B1094" s="14">
        <v>793</v>
      </c>
      <c r="C1094" s="15" t="s">
        <v>55</v>
      </c>
      <c r="D1094" s="15" t="s">
        <v>90</v>
      </c>
      <c r="E1094" s="14" t="s">
        <v>470</v>
      </c>
      <c r="F1094" s="14">
        <v>810</v>
      </c>
      <c r="G1094" s="74"/>
      <c r="H1094" s="74">
        <v>0</v>
      </c>
      <c r="I1094" s="74">
        <v>0</v>
      </c>
    </row>
    <row r="1095" spans="1:9" ht="36" customHeight="1">
      <c r="A1095" s="16" t="s">
        <v>495</v>
      </c>
      <c r="B1095" s="14">
        <v>793</v>
      </c>
      <c r="C1095" s="15" t="s">
        <v>55</v>
      </c>
      <c r="D1095" s="15" t="s">
        <v>90</v>
      </c>
      <c r="E1095" s="14" t="s">
        <v>267</v>
      </c>
      <c r="F1095" s="14"/>
      <c r="G1095" s="74">
        <f>G1096</f>
        <v>0</v>
      </c>
      <c r="H1095" s="74">
        <f>H1096</f>
        <v>180000</v>
      </c>
      <c r="I1095" s="74">
        <f>I1096</f>
        <v>180000</v>
      </c>
    </row>
    <row r="1096" spans="1:9" ht="39" customHeight="1">
      <c r="A1096" s="16" t="s">
        <v>380</v>
      </c>
      <c r="B1096" s="14">
        <v>793</v>
      </c>
      <c r="C1096" s="15" t="s">
        <v>55</v>
      </c>
      <c r="D1096" s="15" t="s">
        <v>90</v>
      </c>
      <c r="E1096" s="14" t="s">
        <v>268</v>
      </c>
      <c r="F1096" s="14"/>
      <c r="G1096" s="74">
        <f>G1097</f>
        <v>0</v>
      </c>
      <c r="H1096" s="74">
        <f t="shared" ref="H1096:I1096" si="287">H1097</f>
        <v>180000</v>
      </c>
      <c r="I1096" s="74">
        <f t="shared" si="287"/>
        <v>180000</v>
      </c>
    </row>
    <row r="1097" spans="1:9" ht="17.25" customHeight="1">
      <c r="A1097" s="16" t="s">
        <v>334</v>
      </c>
      <c r="B1097" s="14">
        <v>793</v>
      </c>
      <c r="C1097" s="15" t="s">
        <v>55</v>
      </c>
      <c r="D1097" s="15" t="s">
        <v>90</v>
      </c>
      <c r="E1097" s="14" t="s">
        <v>268</v>
      </c>
      <c r="F1097" s="14">
        <v>200</v>
      </c>
      <c r="G1097" s="74">
        <f>G1098</f>
        <v>0</v>
      </c>
      <c r="H1097" s="74">
        <f>H1098</f>
        <v>180000</v>
      </c>
      <c r="I1097" s="74">
        <f>I1098</f>
        <v>180000</v>
      </c>
    </row>
    <row r="1098" spans="1:9" ht="27.75" customHeight="1">
      <c r="A1098" s="16" t="s">
        <v>38</v>
      </c>
      <c r="B1098" s="14">
        <v>793</v>
      </c>
      <c r="C1098" s="15" t="s">
        <v>55</v>
      </c>
      <c r="D1098" s="15" t="s">
        <v>90</v>
      </c>
      <c r="E1098" s="14" t="s">
        <v>268</v>
      </c>
      <c r="F1098" s="14">
        <v>240</v>
      </c>
      <c r="G1098" s="102">
        <f>180000-180000</f>
        <v>0</v>
      </c>
      <c r="H1098" s="74">
        <v>180000</v>
      </c>
      <c r="I1098" s="74">
        <v>180000</v>
      </c>
    </row>
    <row r="1099" spans="1:9" ht="15" hidden="1" customHeight="1">
      <c r="A1099" s="54" t="s">
        <v>357</v>
      </c>
      <c r="B1099" s="45">
        <v>793</v>
      </c>
      <c r="C1099" s="7" t="s">
        <v>180</v>
      </c>
      <c r="D1099" s="7"/>
      <c r="E1099" s="7"/>
      <c r="F1099" s="7"/>
      <c r="G1099" s="38">
        <f>G1100</f>
        <v>0</v>
      </c>
      <c r="H1099" s="38">
        <f t="shared" ref="H1099:I1099" si="288">H1100</f>
        <v>0</v>
      </c>
      <c r="I1099" s="38">
        <f t="shared" si="288"/>
        <v>0</v>
      </c>
    </row>
    <row r="1100" spans="1:9" s="22" customFormat="1" ht="17.25" hidden="1" customHeight="1">
      <c r="A1100" s="16" t="s">
        <v>294</v>
      </c>
      <c r="B1100" s="14">
        <v>793</v>
      </c>
      <c r="C1100" s="15" t="s">
        <v>180</v>
      </c>
      <c r="D1100" s="15" t="s">
        <v>71</v>
      </c>
      <c r="E1100" s="15"/>
      <c r="F1100" s="15"/>
      <c r="G1100" s="74">
        <f>G1101+G1105</f>
        <v>0</v>
      </c>
      <c r="H1100" s="74">
        <f t="shared" ref="H1100:I1100" si="289">H1101+H1105</f>
        <v>0</v>
      </c>
      <c r="I1100" s="74">
        <f t="shared" si="289"/>
        <v>0</v>
      </c>
    </row>
    <row r="1101" spans="1:9" s="22" customFormat="1" ht="53.25" hidden="1" customHeight="1">
      <c r="A1101" s="16" t="s">
        <v>513</v>
      </c>
      <c r="B1101" s="14">
        <v>793</v>
      </c>
      <c r="C1101" s="15" t="s">
        <v>180</v>
      </c>
      <c r="D1101" s="15" t="s">
        <v>71</v>
      </c>
      <c r="E1101" s="15" t="s">
        <v>305</v>
      </c>
      <c r="F1101" s="36"/>
      <c r="G1101" s="74">
        <f t="shared" ref="G1101:I1103" si="290">G1102</f>
        <v>0</v>
      </c>
      <c r="H1101" s="74">
        <f t="shared" si="290"/>
        <v>0</v>
      </c>
      <c r="I1101" s="74">
        <f t="shared" si="290"/>
        <v>0</v>
      </c>
    </row>
    <row r="1102" spans="1:9" s="46" customFormat="1" ht="17.25" hidden="1" customHeight="1">
      <c r="A1102" s="16" t="s">
        <v>392</v>
      </c>
      <c r="B1102" s="14">
        <v>793</v>
      </c>
      <c r="C1102" s="15" t="s">
        <v>180</v>
      </c>
      <c r="D1102" s="15" t="s">
        <v>71</v>
      </c>
      <c r="E1102" s="15" t="s">
        <v>391</v>
      </c>
      <c r="F1102" s="15"/>
      <c r="G1102" s="74">
        <f t="shared" si="290"/>
        <v>0</v>
      </c>
      <c r="H1102" s="74">
        <f t="shared" si="290"/>
        <v>0</v>
      </c>
      <c r="I1102" s="74">
        <f t="shared" si="290"/>
        <v>0</v>
      </c>
    </row>
    <row r="1103" spans="1:9" s="46" customFormat="1" ht="17.25" hidden="1" customHeight="1">
      <c r="A1103" s="16" t="s">
        <v>334</v>
      </c>
      <c r="B1103" s="14">
        <v>793</v>
      </c>
      <c r="C1103" s="15" t="s">
        <v>180</v>
      </c>
      <c r="D1103" s="15" t="s">
        <v>71</v>
      </c>
      <c r="E1103" s="15" t="s">
        <v>391</v>
      </c>
      <c r="F1103" s="15" t="s">
        <v>37</v>
      </c>
      <c r="G1103" s="74">
        <f t="shared" si="290"/>
        <v>0</v>
      </c>
      <c r="H1103" s="74">
        <f t="shared" si="290"/>
        <v>0</v>
      </c>
      <c r="I1103" s="74">
        <f t="shared" si="290"/>
        <v>0</v>
      </c>
    </row>
    <row r="1104" spans="1:9" s="46" customFormat="1" ht="31.5" hidden="1" customHeight="1">
      <c r="A1104" s="16" t="s">
        <v>38</v>
      </c>
      <c r="B1104" s="14">
        <v>793</v>
      </c>
      <c r="C1104" s="15" t="s">
        <v>180</v>
      </c>
      <c r="D1104" s="15" t="s">
        <v>71</v>
      </c>
      <c r="E1104" s="15" t="s">
        <v>391</v>
      </c>
      <c r="F1104" s="15" t="s">
        <v>39</v>
      </c>
      <c r="G1104" s="74"/>
      <c r="H1104" s="74"/>
      <c r="I1104" s="74"/>
    </row>
    <row r="1105" spans="1:9" ht="30.75" hidden="1" customHeight="1">
      <c r="A1105" s="16" t="s">
        <v>493</v>
      </c>
      <c r="B1105" s="14">
        <v>793</v>
      </c>
      <c r="C1105" s="15" t="s">
        <v>180</v>
      </c>
      <c r="D1105" s="15" t="s">
        <v>71</v>
      </c>
      <c r="E1105" s="15" t="s">
        <v>270</v>
      </c>
      <c r="F1105" s="15"/>
      <c r="G1105" s="74">
        <f>G1106</f>
        <v>0</v>
      </c>
      <c r="H1105" s="74">
        <v>0</v>
      </c>
      <c r="I1105" s="74">
        <v>0</v>
      </c>
    </row>
    <row r="1106" spans="1:9" ht="21.75" hidden="1" customHeight="1">
      <c r="A1106" s="50" t="s">
        <v>536</v>
      </c>
      <c r="B1106" s="14">
        <v>793</v>
      </c>
      <c r="C1106" s="15" t="s">
        <v>180</v>
      </c>
      <c r="D1106" s="15" t="s">
        <v>71</v>
      </c>
      <c r="E1106" s="15" t="s">
        <v>541</v>
      </c>
      <c r="F1106" s="15"/>
      <c r="G1106" s="74">
        <f>G1107</f>
        <v>0</v>
      </c>
      <c r="H1106" s="74">
        <v>0</v>
      </c>
      <c r="I1106" s="74">
        <v>0</v>
      </c>
    </row>
    <row r="1107" spans="1:9" ht="21" hidden="1" customHeight="1">
      <c r="A1107" s="16" t="s">
        <v>163</v>
      </c>
      <c r="B1107" s="14">
        <v>793</v>
      </c>
      <c r="C1107" s="15" t="s">
        <v>180</v>
      </c>
      <c r="D1107" s="15" t="s">
        <v>71</v>
      </c>
      <c r="E1107" s="15" t="s">
        <v>541</v>
      </c>
      <c r="F1107" s="15" t="s">
        <v>164</v>
      </c>
      <c r="G1107" s="74">
        <f>G1108</f>
        <v>0</v>
      </c>
      <c r="H1107" s="74">
        <v>0</v>
      </c>
      <c r="I1107" s="74">
        <v>0</v>
      </c>
    </row>
    <row r="1108" spans="1:9" ht="1.5" customHeight="1">
      <c r="A1108" s="16" t="s">
        <v>177</v>
      </c>
      <c r="B1108" s="14">
        <v>793</v>
      </c>
      <c r="C1108" s="15" t="s">
        <v>180</v>
      </c>
      <c r="D1108" s="15" t="s">
        <v>71</v>
      </c>
      <c r="E1108" s="15" t="s">
        <v>541</v>
      </c>
      <c r="F1108" s="15" t="s">
        <v>178</v>
      </c>
      <c r="G1108" s="74"/>
      <c r="H1108" s="74">
        <v>0</v>
      </c>
      <c r="I1108" s="74">
        <v>0</v>
      </c>
    </row>
    <row r="1109" spans="1:9" s="28" customFormat="1" ht="24.75" customHeight="1">
      <c r="A1109" s="37" t="s">
        <v>176</v>
      </c>
      <c r="B1109" s="14">
        <v>793</v>
      </c>
      <c r="C1109" s="15" t="s">
        <v>55</v>
      </c>
      <c r="D1109" s="15" t="s">
        <v>90</v>
      </c>
      <c r="E1109" s="15" t="s">
        <v>241</v>
      </c>
      <c r="F1109" s="39"/>
      <c r="G1109" s="74">
        <f t="shared" ref="G1109:I1111" si="291">G1110</f>
        <v>143000</v>
      </c>
      <c r="H1109" s="74">
        <f t="shared" si="291"/>
        <v>0</v>
      </c>
      <c r="I1109" s="74">
        <f t="shared" si="291"/>
        <v>0</v>
      </c>
    </row>
    <row r="1110" spans="1:9" ht="25.5">
      <c r="A1110" s="37" t="s">
        <v>176</v>
      </c>
      <c r="B1110" s="14">
        <v>793</v>
      </c>
      <c r="C1110" s="15" t="s">
        <v>55</v>
      </c>
      <c r="D1110" s="15" t="s">
        <v>90</v>
      </c>
      <c r="E1110" s="15" t="s">
        <v>285</v>
      </c>
      <c r="F1110" s="14"/>
      <c r="G1110" s="74">
        <f t="shared" si="291"/>
        <v>143000</v>
      </c>
      <c r="H1110" s="74">
        <f t="shared" si="291"/>
        <v>0</v>
      </c>
      <c r="I1110" s="74">
        <f t="shared" si="291"/>
        <v>0</v>
      </c>
    </row>
    <row r="1111" spans="1:9">
      <c r="A1111" s="16" t="s">
        <v>163</v>
      </c>
      <c r="B1111" s="14">
        <v>793</v>
      </c>
      <c r="C1111" s="15" t="s">
        <v>55</v>
      </c>
      <c r="D1111" s="15" t="s">
        <v>90</v>
      </c>
      <c r="E1111" s="15" t="s">
        <v>285</v>
      </c>
      <c r="F1111" s="15" t="s">
        <v>164</v>
      </c>
      <c r="G1111" s="74">
        <f t="shared" si="291"/>
        <v>143000</v>
      </c>
      <c r="H1111" s="74">
        <f t="shared" si="291"/>
        <v>0</v>
      </c>
      <c r="I1111" s="74">
        <f t="shared" si="291"/>
        <v>0</v>
      </c>
    </row>
    <row r="1112" spans="1:9">
      <c r="A1112" s="16" t="s">
        <v>185</v>
      </c>
      <c r="B1112" s="14">
        <v>793</v>
      </c>
      <c r="C1112" s="15" t="s">
        <v>55</v>
      </c>
      <c r="D1112" s="15" t="s">
        <v>90</v>
      </c>
      <c r="E1112" s="15" t="s">
        <v>285</v>
      </c>
      <c r="F1112" s="15" t="s">
        <v>186</v>
      </c>
      <c r="G1112" s="74">
        <v>143000</v>
      </c>
      <c r="H1112" s="74">
        <v>0</v>
      </c>
      <c r="I1112" s="74">
        <v>0</v>
      </c>
    </row>
    <row r="1113" spans="1:9" s="22" customFormat="1">
      <c r="A1113" s="54" t="s">
        <v>357</v>
      </c>
      <c r="B1113" s="35">
        <v>793</v>
      </c>
      <c r="C1113" s="36" t="s">
        <v>180</v>
      </c>
      <c r="D1113" s="36"/>
      <c r="E1113" s="36"/>
      <c r="F1113" s="36"/>
      <c r="G1113" s="75">
        <f>G1114+G1119</f>
        <v>200000</v>
      </c>
      <c r="H1113" s="75">
        <f t="shared" ref="H1113:I1113" si="292">H1114+H1119</f>
        <v>1150000</v>
      </c>
      <c r="I1113" s="75">
        <f t="shared" si="292"/>
        <v>0</v>
      </c>
    </row>
    <row r="1114" spans="1:9">
      <c r="A1114" s="13" t="s">
        <v>182</v>
      </c>
      <c r="B1114" s="49">
        <v>793</v>
      </c>
      <c r="C1114" s="15" t="s">
        <v>180</v>
      </c>
      <c r="D1114" s="15" t="s">
        <v>28</v>
      </c>
      <c r="E1114" s="15"/>
      <c r="F1114" s="15"/>
      <c r="G1114" s="74">
        <f>G1115</f>
        <v>0</v>
      </c>
      <c r="H1114" s="74">
        <f t="shared" ref="H1114:I1114" si="293">H1115</f>
        <v>1150000</v>
      </c>
      <c r="I1114" s="74">
        <f t="shared" si="293"/>
        <v>0</v>
      </c>
    </row>
    <row r="1115" spans="1:9" s="22" customFormat="1" ht="57" customHeight="1">
      <c r="A1115" s="16" t="s">
        <v>513</v>
      </c>
      <c r="B1115" s="49">
        <v>793</v>
      </c>
      <c r="C1115" s="41" t="s">
        <v>180</v>
      </c>
      <c r="D1115" s="41" t="s">
        <v>28</v>
      </c>
      <c r="E1115" s="41" t="s">
        <v>305</v>
      </c>
      <c r="F1115" s="70"/>
      <c r="G1115" s="29">
        <f>G1116</f>
        <v>0</v>
      </c>
      <c r="H1115" s="29">
        <f>H1116</f>
        <v>1150000</v>
      </c>
      <c r="I1115" s="29">
        <f>I1116</f>
        <v>0</v>
      </c>
    </row>
    <row r="1116" spans="1:9" ht="34.5" customHeight="1">
      <c r="A1116" s="16" t="s">
        <v>897</v>
      </c>
      <c r="B1116" s="14">
        <v>793</v>
      </c>
      <c r="C1116" s="15" t="s">
        <v>180</v>
      </c>
      <c r="D1116" s="15" t="s">
        <v>28</v>
      </c>
      <c r="E1116" s="15" t="s">
        <v>896</v>
      </c>
      <c r="F1116" s="15"/>
      <c r="G1116" s="74">
        <f t="shared" ref="G1116:I1117" si="294">G1117</f>
        <v>0</v>
      </c>
      <c r="H1116" s="74">
        <f t="shared" si="294"/>
        <v>1150000</v>
      </c>
      <c r="I1116" s="74">
        <f t="shared" si="294"/>
        <v>0</v>
      </c>
    </row>
    <row r="1117" spans="1:9" ht="34.5" customHeight="1">
      <c r="A1117" s="16" t="s">
        <v>36</v>
      </c>
      <c r="B1117" s="14">
        <v>793</v>
      </c>
      <c r="C1117" s="15" t="s">
        <v>180</v>
      </c>
      <c r="D1117" s="15" t="s">
        <v>28</v>
      </c>
      <c r="E1117" s="15" t="s">
        <v>896</v>
      </c>
      <c r="F1117" s="15" t="s">
        <v>37</v>
      </c>
      <c r="G1117" s="74">
        <f t="shared" si="294"/>
        <v>0</v>
      </c>
      <c r="H1117" s="74">
        <f t="shared" si="294"/>
        <v>1150000</v>
      </c>
      <c r="I1117" s="74">
        <f t="shared" si="294"/>
        <v>0</v>
      </c>
    </row>
    <row r="1118" spans="1:9" ht="34.5" customHeight="1">
      <c r="A1118" s="16" t="s">
        <v>38</v>
      </c>
      <c r="B1118" s="14">
        <v>793</v>
      </c>
      <c r="C1118" s="15" t="s">
        <v>180</v>
      </c>
      <c r="D1118" s="15" t="s">
        <v>28</v>
      </c>
      <c r="E1118" s="15" t="s">
        <v>896</v>
      </c>
      <c r="F1118" s="15" t="s">
        <v>39</v>
      </c>
      <c r="G1118" s="74">
        <v>0</v>
      </c>
      <c r="H1118" s="74">
        <v>1150000</v>
      </c>
      <c r="I1118" s="74">
        <v>0</v>
      </c>
    </row>
    <row r="1119" spans="1:9" s="46" customFormat="1" ht="17.25" customHeight="1">
      <c r="A1119" s="16" t="s">
        <v>294</v>
      </c>
      <c r="B1119" s="49">
        <v>793</v>
      </c>
      <c r="C1119" s="15" t="s">
        <v>180</v>
      </c>
      <c r="D1119" s="15" t="s">
        <v>71</v>
      </c>
      <c r="E1119" s="15"/>
      <c r="F1119" s="15"/>
      <c r="G1119" s="74">
        <f>G1122</f>
        <v>200000</v>
      </c>
      <c r="H1119" s="74">
        <f t="shared" ref="H1119:I1119" si="295">H1122</f>
        <v>0</v>
      </c>
      <c r="I1119" s="74">
        <f t="shared" si="295"/>
        <v>0</v>
      </c>
    </row>
    <row r="1120" spans="1:9" s="46" customFormat="1" ht="17.25" hidden="1" customHeight="1">
      <c r="A1120" s="16"/>
      <c r="B1120" s="49"/>
      <c r="C1120" s="15"/>
      <c r="D1120" s="15"/>
      <c r="E1120" s="15"/>
      <c r="F1120" s="15"/>
      <c r="G1120" s="74"/>
      <c r="H1120" s="74"/>
      <c r="I1120" s="74"/>
    </row>
    <row r="1121" spans="1:9" s="46" customFormat="1" ht="17.25" hidden="1" customHeight="1">
      <c r="A1121" s="16"/>
      <c r="B1121" s="49"/>
      <c r="C1121" s="15"/>
      <c r="D1121" s="15"/>
      <c r="E1121" s="15"/>
      <c r="F1121" s="15"/>
      <c r="G1121" s="74"/>
      <c r="H1121" s="74"/>
      <c r="I1121" s="74"/>
    </row>
    <row r="1122" spans="1:9" s="28" customFormat="1" ht="24.75" customHeight="1">
      <c r="A1122" s="37" t="s">
        <v>176</v>
      </c>
      <c r="B1122" s="14">
        <v>793</v>
      </c>
      <c r="C1122" s="15" t="s">
        <v>180</v>
      </c>
      <c r="D1122" s="15" t="s">
        <v>71</v>
      </c>
      <c r="E1122" s="15" t="s">
        <v>241</v>
      </c>
      <c r="F1122" s="39"/>
      <c r="G1122" s="74">
        <f t="shared" ref="G1122:I1122" si="296">G1123</f>
        <v>200000</v>
      </c>
      <c r="H1122" s="74">
        <f t="shared" si="296"/>
        <v>0</v>
      </c>
      <c r="I1122" s="74">
        <f t="shared" si="296"/>
        <v>0</v>
      </c>
    </row>
    <row r="1123" spans="1:9" ht="25.5">
      <c r="A1123" s="37" t="s">
        <v>176</v>
      </c>
      <c r="B1123" s="49">
        <v>793</v>
      </c>
      <c r="C1123" s="15" t="s">
        <v>180</v>
      </c>
      <c r="D1123" s="15" t="s">
        <v>71</v>
      </c>
      <c r="E1123" s="15" t="s">
        <v>285</v>
      </c>
      <c r="F1123" s="15"/>
      <c r="G1123" s="74">
        <f>G1124+G1126</f>
        <v>200000</v>
      </c>
      <c r="H1123" s="74">
        <f>H1124+H1126</f>
        <v>0</v>
      </c>
      <c r="I1123" s="74">
        <f>I1124+I1126</f>
        <v>0</v>
      </c>
    </row>
    <row r="1124" spans="1:9" hidden="1">
      <c r="A1124" s="16"/>
      <c r="B1124" s="49"/>
      <c r="C1124" s="15" t="s">
        <v>180</v>
      </c>
      <c r="D1124" s="15" t="s">
        <v>71</v>
      </c>
      <c r="E1124" s="15" t="s">
        <v>285</v>
      </c>
      <c r="F1124" s="15"/>
      <c r="G1124" s="74"/>
      <c r="H1124" s="74"/>
      <c r="I1124" s="74"/>
    </row>
    <row r="1125" spans="1:9" ht="30.75" hidden="1" customHeight="1">
      <c r="A1125" s="16"/>
      <c r="B1125" s="49"/>
      <c r="C1125" s="15" t="s">
        <v>180</v>
      </c>
      <c r="D1125" s="15" t="s">
        <v>71</v>
      </c>
      <c r="E1125" s="15" t="s">
        <v>285</v>
      </c>
      <c r="F1125" s="15"/>
      <c r="G1125" s="74"/>
      <c r="H1125" s="74"/>
      <c r="I1125" s="74"/>
    </row>
    <row r="1126" spans="1:9" ht="18" customHeight="1">
      <c r="A1126" s="16" t="s">
        <v>163</v>
      </c>
      <c r="B1126" s="49">
        <v>793</v>
      </c>
      <c r="C1126" s="15" t="s">
        <v>180</v>
      </c>
      <c r="D1126" s="15" t="s">
        <v>71</v>
      </c>
      <c r="E1126" s="15" t="s">
        <v>285</v>
      </c>
      <c r="F1126" s="15" t="s">
        <v>164</v>
      </c>
      <c r="G1126" s="74">
        <f>G1127</f>
        <v>200000</v>
      </c>
      <c r="H1126" s="74">
        <f>H1127</f>
        <v>0</v>
      </c>
      <c r="I1126" s="74">
        <f>I1127</f>
        <v>0</v>
      </c>
    </row>
    <row r="1127" spans="1:9" ht="18" customHeight="1">
      <c r="A1127" s="16" t="s">
        <v>185</v>
      </c>
      <c r="B1127" s="49">
        <v>793</v>
      </c>
      <c r="C1127" s="15" t="s">
        <v>180</v>
      </c>
      <c r="D1127" s="15" t="s">
        <v>71</v>
      </c>
      <c r="E1127" s="15" t="s">
        <v>285</v>
      </c>
      <c r="F1127" s="15" t="s">
        <v>186</v>
      </c>
      <c r="G1127" s="74">
        <v>200000</v>
      </c>
      <c r="H1127" s="74">
        <v>0</v>
      </c>
      <c r="I1127" s="74">
        <v>0</v>
      </c>
    </row>
    <row r="1128" spans="1:9">
      <c r="A1128" s="11" t="s">
        <v>151</v>
      </c>
      <c r="B1128" s="19">
        <v>793</v>
      </c>
      <c r="C1128" s="7" t="s">
        <v>70</v>
      </c>
      <c r="D1128" s="7"/>
      <c r="E1128" s="15"/>
      <c r="F1128" s="7"/>
      <c r="G1128" s="38">
        <f>G1129+G1134+G1170</f>
        <v>11438399.82</v>
      </c>
      <c r="H1128" s="38">
        <f t="shared" ref="H1128:I1128" si="297">H1129+H1134+H1170</f>
        <v>24893873.390000001</v>
      </c>
      <c r="I1128" s="38">
        <f t="shared" si="297"/>
        <v>8323784.4299999997</v>
      </c>
    </row>
    <row r="1129" spans="1:9">
      <c r="A1129" s="16" t="s">
        <v>152</v>
      </c>
      <c r="B1129" s="14">
        <v>793</v>
      </c>
      <c r="C1129" s="15" t="s">
        <v>70</v>
      </c>
      <c r="D1129" s="15" t="s">
        <v>19</v>
      </c>
      <c r="E1129" s="15"/>
      <c r="F1129" s="15"/>
      <c r="G1129" s="74">
        <f t="shared" ref="G1129:I1132" si="298">G1130</f>
        <v>307554.40000000002</v>
      </c>
      <c r="H1129" s="74">
        <f t="shared" si="298"/>
        <v>310000</v>
      </c>
      <c r="I1129" s="74">
        <f t="shared" si="298"/>
        <v>310000</v>
      </c>
    </row>
    <row r="1130" spans="1:9" s="28" customFormat="1" ht="25.5">
      <c r="A1130" s="16" t="s">
        <v>505</v>
      </c>
      <c r="B1130" s="14">
        <v>793</v>
      </c>
      <c r="C1130" s="15" t="s">
        <v>70</v>
      </c>
      <c r="D1130" s="15" t="s">
        <v>19</v>
      </c>
      <c r="E1130" s="15" t="s">
        <v>296</v>
      </c>
      <c r="F1130" s="39"/>
      <c r="G1130" s="74">
        <f t="shared" si="298"/>
        <v>307554.40000000002</v>
      </c>
      <c r="H1130" s="74">
        <f t="shared" si="298"/>
        <v>310000</v>
      </c>
      <c r="I1130" s="74">
        <f t="shared" si="298"/>
        <v>310000</v>
      </c>
    </row>
    <row r="1131" spans="1:9" s="28" customFormat="1">
      <c r="A1131" s="16" t="s">
        <v>153</v>
      </c>
      <c r="B1131" s="14">
        <v>793</v>
      </c>
      <c r="C1131" s="15" t="s">
        <v>70</v>
      </c>
      <c r="D1131" s="15" t="s">
        <v>19</v>
      </c>
      <c r="E1131" s="15" t="s">
        <v>300</v>
      </c>
      <c r="F1131" s="39"/>
      <c r="G1131" s="74">
        <f t="shared" si="298"/>
        <v>307554.40000000002</v>
      </c>
      <c r="H1131" s="74">
        <f t="shared" si="298"/>
        <v>310000</v>
      </c>
      <c r="I1131" s="74">
        <f t="shared" si="298"/>
        <v>310000</v>
      </c>
    </row>
    <row r="1132" spans="1:9" s="28" customFormat="1">
      <c r="A1132" s="16" t="s">
        <v>154</v>
      </c>
      <c r="B1132" s="14">
        <v>793</v>
      </c>
      <c r="C1132" s="15" t="s">
        <v>70</v>
      </c>
      <c r="D1132" s="15" t="s">
        <v>19</v>
      </c>
      <c r="E1132" s="15" t="s">
        <v>300</v>
      </c>
      <c r="F1132" s="15" t="s">
        <v>155</v>
      </c>
      <c r="G1132" s="74">
        <f t="shared" si="298"/>
        <v>307554.40000000002</v>
      </c>
      <c r="H1132" s="74">
        <f>H1133</f>
        <v>310000</v>
      </c>
      <c r="I1132" s="74">
        <f t="shared" si="298"/>
        <v>310000</v>
      </c>
    </row>
    <row r="1133" spans="1:9" s="28" customFormat="1" ht="25.5">
      <c r="A1133" s="16" t="s">
        <v>365</v>
      </c>
      <c r="B1133" s="14">
        <v>793</v>
      </c>
      <c r="C1133" s="15" t="s">
        <v>70</v>
      </c>
      <c r="D1133" s="15" t="s">
        <v>19</v>
      </c>
      <c r="E1133" s="15" t="s">
        <v>300</v>
      </c>
      <c r="F1133" s="15" t="s">
        <v>366</v>
      </c>
      <c r="G1133" s="74">
        <f>310000+6467.95-5138.48-3775.07</f>
        <v>307554.40000000002</v>
      </c>
      <c r="H1133" s="74">
        <v>310000</v>
      </c>
      <c r="I1133" s="74">
        <v>310000</v>
      </c>
    </row>
    <row r="1134" spans="1:9">
      <c r="A1134" s="16" t="s">
        <v>69</v>
      </c>
      <c r="B1134" s="14">
        <v>793</v>
      </c>
      <c r="C1134" s="15" t="s">
        <v>70</v>
      </c>
      <c r="D1134" s="15" t="s">
        <v>71</v>
      </c>
      <c r="E1134" s="15"/>
      <c r="F1134" s="15"/>
      <c r="G1134" s="74">
        <f>G1153+G1149+G1160+G1135+G1145+G1169</f>
        <v>5269394.5600000005</v>
      </c>
      <c r="H1134" s="74">
        <f t="shared" ref="H1134:I1134" si="299">H1153+H1149+H1160+H1135+H1145</f>
        <v>1838677.42</v>
      </c>
      <c r="I1134" s="74">
        <f t="shared" si="299"/>
        <v>1898677.42</v>
      </c>
    </row>
    <row r="1135" spans="1:9" ht="60" customHeight="1">
      <c r="A1135" s="16" t="s">
        <v>876</v>
      </c>
      <c r="B1135" s="14">
        <v>793</v>
      </c>
      <c r="C1135" s="15" t="s">
        <v>70</v>
      </c>
      <c r="D1135" s="15" t="s">
        <v>71</v>
      </c>
      <c r="E1135" s="15" t="s">
        <v>270</v>
      </c>
      <c r="F1135" s="15"/>
      <c r="G1135" s="74">
        <f>G1136+G1139+G1142</f>
        <v>3737309.81</v>
      </c>
      <c r="H1135" s="74">
        <f t="shared" ref="H1135:I1135" si="300">H1136+H1139+H1142</f>
        <v>200000</v>
      </c>
      <c r="I1135" s="74">
        <f t="shared" si="300"/>
        <v>200000</v>
      </c>
    </row>
    <row r="1136" spans="1:9" ht="28.5" customHeight="1">
      <c r="A1136" s="50" t="s">
        <v>535</v>
      </c>
      <c r="B1136" s="14">
        <v>793</v>
      </c>
      <c r="C1136" s="15" t="s">
        <v>70</v>
      </c>
      <c r="D1136" s="15" t="s">
        <v>71</v>
      </c>
      <c r="E1136" s="15" t="s">
        <v>542</v>
      </c>
      <c r="F1136" s="15"/>
      <c r="G1136" s="74">
        <f>G1137</f>
        <v>3737309.81</v>
      </c>
      <c r="H1136" s="74">
        <f t="shared" ref="H1136:I1136" si="301">H1137</f>
        <v>200000</v>
      </c>
      <c r="I1136" s="74">
        <f t="shared" si="301"/>
        <v>200000</v>
      </c>
    </row>
    <row r="1137" spans="1:9" ht="21" customHeight="1">
      <c r="A1137" s="16" t="s">
        <v>154</v>
      </c>
      <c r="B1137" s="14">
        <v>793</v>
      </c>
      <c r="C1137" s="15" t="s">
        <v>70</v>
      </c>
      <c r="D1137" s="15" t="s">
        <v>71</v>
      </c>
      <c r="E1137" s="15" t="s">
        <v>542</v>
      </c>
      <c r="F1137" s="15" t="s">
        <v>155</v>
      </c>
      <c r="G1137" s="74">
        <f>G1138</f>
        <v>3737309.81</v>
      </c>
      <c r="H1137" s="74">
        <f t="shared" ref="H1137:I1137" si="302">H1138</f>
        <v>200000</v>
      </c>
      <c r="I1137" s="74">
        <f t="shared" si="302"/>
        <v>200000</v>
      </c>
    </row>
    <row r="1138" spans="1:9" ht="30.75" customHeight="1">
      <c r="A1138" s="16" t="s">
        <v>156</v>
      </c>
      <c r="B1138" s="14">
        <v>793</v>
      </c>
      <c r="C1138" s="15" t="s">
        <v>70</v>
      </c>
      <c r="D1138" s="15" t="s">
        <v>71</v>
      </c>
      <c r="E1138" s="15" t="s">
        <v>542</v>
      </c>
      <c r="F1138" s="15" t="s">
        <v>157</v>
      </c>
      <c r="G1138" s="74">
        <f>2953667.5+9542.04+43520.27+730580</f>
        <v>3737309.81</v>
      </c>
      <c r="H1138" s="74">
        <v>200000</v>
      </c>
      <c r="I1138" s="74">
        <v>200000</v>
      </c>
    </row>
    <row r="1139" spans="1:9" ht="39.75" hidden="1" customHeight="1">
      <c r="A1139" s="50" t="s">
        <v>282</v>
      </c>
      <c r="B1139" s="14">
        <v>793</v>
      </c>
      <c r="C1139" s="15" t="s">
        <v>70</v>
      </c>
      <c r="D1139" s="15" t="s">
        <v>71</v>
      </c>
      <c r="E1139" s="15" t="s">
        <v>281</v>
      </c>
      <c r="F1139" s="15"/>
      <c r="G1139" s="74">
        <f>G1140</f>
        <v>0</v>
      </c>
      <c r="H1139" s="74">
        <f t="shared" ref="H1139:I1139" si="303">H1140</f>
        <v>0</v>
      </c>
      <c r="I1139" s="74">
        <f t="shared" si="303"/>
        <v>0</v>
      </c>
    </row>
    <row r="1140" spans="1:9" ht="21" hidden="1" customHeight="1">
      <c r="A1140" s="16" t="s">
        <v>154</v>
      </c>
      <c r="B1140" s="14">
        <v>793</v>
      </c>
      <c r="C1140" s="15" t="s">
        <v>70</v>
      </c>
      <c r="D1140" s="15" t="s">
        <v>71</v>
      </c>
      <c r="E1140" s="15" t="s">
        <v>281</v>
      </c>
      <c r="F1140" s="15" t="s">
        <v>155</v>
      </c>
      <c r="G1140" s="74">
        <f>G1141</f>
        <v>0</v>
      </c>
      <c r="H1140" s="74">
        <f t="shared" ref="H1140:I1140" si="304">H1141</f>
        <v>0</v>
      </c>
      <c r="I1140" s="74">
        <f t="shared" si="304"/>
        <v>0</v>
      </c>
    </row>
    <row r="1141" spans="1:9" ht="30.75" hidden="1" customHeight="1">
      <c r="A1141" s="16" t="s">
        <v>156</v>
      </c>
      <c r="B1141" s="14">
        <v>793</v>
      </c>
      <c r="C1141" s="15" t="s">
        <v>70</v>
      </c>
      <c r="D1141" s="15" t="s">
        <v>71</v>
      </c>
      <c r="E1141" s="15" t="s">
        <v>281</v>
      </c>
      <c r="F1141" s="15" t="s">
        <v>157</v>
      </c>
      <c r="G1141" s="74"/>
      <c r="H1141" s="74"/>
      <c r="I1141" s="74"/>
    </row>
    <row r="1142" spans="1:9" ht="30.75" hidden="1" customHeight="1">
      <c r="A1142" s="16" t="s">
        <v>469</v>
      </c>
      <c r="B1142" s="14">
        <v>793</v>
      </c>
      <c r="C1142" s="15" t="s">
        <v>70</v>
      </c>
      <c r="D1142" s="15" t="s">
        <v>71</v>
      </c>
      <c r="E1142" s="15" t="s">
        <v>468</v>
      </c>
      <c r="F1142" s="15"/>
      <c r="G1142" s="74">
        <f>G1143</f>
        <v>0</v>
      </c>
      <c r="H1142" s="74">
        <f t="shared" ref="H1142:I1142" si="305">H1143</f>
        <v>0</v>
      </c>
      <c r="I1142" s="74">
        <f t="shared" si="305"/>
        <v>0</v>
      </c>
    </row>
    <row r="1143" spans="1:9" ht="17.25" hidden="1" customHeight="1">
      <c r="A1143" s="16" t="s">
        <v>64</v>
      </c>
      <c r="B1143" s="14">
        <v>793</v>
      </c>
      <c r="C1143" s="15" t="s">
        <v>70</v>
      </c>
      <c r="D1143" s="15" t="s">
        <v>71</v>
      </c>
      <c r="E1143" s="15" t="s">
        <v>468</v>
      </c>
      <c r="F1143" s="15" t="s">
        <v>65</v>
      </c>
      <c r="G1143" s="74">
        <f>G1144</f>
        <v>0</v>
      </c>
      <c r="H1143" s="74">
        <f t="shared" ref="H1143:I1143" si="306">H1144</f>
        <v>0</v>
      </c>
      <c r="I1143" s="74">
        <f t="shared" si="306"/>
        <v>0</v>
      </c>
    </row>
    <row r="1144" spans="1:9" ht="23.25" hidden="1" customHeight="1">
      <c r="A1144" s="16" t="s">
        <v>187</v>
      </c>
      <c r="B1144" s="14">
        <v>793</v>
      </c>
      <c r="C1144" s="15" t="s">
        <v>70</v>
      </c>
      <c r="D1144" s="15" t="s">
        <v>71</v>
      </c>
      <c r="E1144" s="15" t="s">
        <v>468</v>
      </c>
      <c r="F1144" s="15" t="s">
        <v>188</v>
      </c>
      <c r="G1144" s="74">
        <f>11000+17010+71990-99000-1000</f>
        <v>0</v>
      </c>
      <c r="H1144" s="74"/>
      <c r="I1144" s="74"/>
    </row>
    <row r="1145" spans="1:9" ht="27.75" customHeight="1">
      <c r="A1145" s="16" t="s">
        <v>701</v>
      </c>
      <c r="B1145" s="14">
        <v>793</v>
      </c>
      <c r="C1145" s="15" t="s">
        <v>70</v>
      </c>
      <c r="D1145" s="15" t="s">
        <v>71</v>
      </c>
      <c r="E1145" s="15" t="s">
        <v>702</v>
      </c>
      <c r="F1145" s="15"/>
      <c r="G1145" s="74">
        <f>G1146</f>
        <v>0</v>
      </c>
      <c r="H1145" s="74">
        <f t="shared" ref="H1145:I1145" si="307">H1146</f>
        <v>85000</v>
      </c>
      <c r="I1145" s="74">
        <f t="shared" si="307"/>
        <v>85000</v>
      </c>
    </row>
    <row r="1146" spans="1:9" ht="28.5" customHeight="1">
      <c r="A1146" s="50" t="s">
        <v>703</v>
      </c>
      <c r="B1146" s="14">
        <v>793</v>
      </c>
      <c r="C1146" s="15" t="s">
        <v>70</v>
      </c>
      <c r="D1146" s="15" t="s">
        <v>71</v>
      </c>
      <c r="E1146" s="15" t="s">
        <v>704</v>
      </c>
      <c r="F1146" s="15"/>
      <c r="G1146" s="74">
        <f>G1147</f>
        <v>0</v>
      </c>
      <c r="H1146" s="74">
        <f t="shared" ref="H1146:I1147" si="308">H1147</f>
        <v>85000</v>
      </c>
      <c r="I1146" s="74">
        <f t="shared" si="308"/>
        <v>85000</v>
      </c>
    </row>
    <row r="1147" spans="1:9" ht="21" customHeight="1">
      <c r="A1147" s="16" t="s">
        <v>154</v>
      </c>
      <c r="B1147" s="14">
        <v>793</v>
      </c>
      <c r="C1147" s="15" t="s">
        <v>70</v>
      </c>
      <c r="D1147" s="15" t="s">
        <v>71</v>
      </c>
      <c r="E1147" s="15" t="s">
        <v>704</v>
      </c>
      <c r="F1147" s="15" t="s">
        <v>155</v>
      </c>
      <c r="G1147" s="74">
        <f>G1148</f>
        <v>0</v>
      </c>
      <c r="H1147" s="74">
        <f t="shared" si="308"/>
        <v>85000</v>
      </c>
      <c r="I1147" s="74">
        <f t="shared" si="308"/>
        <v>85000</v>
      </c>
    </row>
    <row r="1148" spans="1:9" ht="30.75" customHeight="1">
      <c r="A1148" s="16" t="s">
        <v>156</v>
      </c>
      <c r="B1148" s="14">
        <v>793</v>
      </c>
      <c r="C1148" s="15" t="s">
        <v>70</v>
      </c>
      <c r="D1148" s="15" t="s">
        <v>71</v>
      </c>
      <c r="E1148" s="15" t="s">
        <v>704</v>
      </c>
      <c r="F1148" s="15" t="s">
        <v>157</v>
      </c>
      <c r="G1148" s="74">
        <v>0</v>
      </c>
      <c r="H1148" s="74">
        <v>85000</v>
      </c>
      <c r="I1148" s="74">
        <v>85000</v>
      </c>
    </row>
    <row r="1149" spans="1:9" s="18" customFormat="1" ht="25.5">
      <c r="A1149" s="13" t="s">
        <v>501</v>
      </c>
      <c r="B1149" s="14">
        <v>793</v>
      </c>
      <c r="C1149" s="15" t="s">
        <v>70</v>
      </c>
      <c r="D1149" s="15" t="s">
        <v>71</v>
      </c>
      <c r="E1149" s="15" t="s">
        <v>227</v>
      </c>
      <c r="F1149" s="15"/>
      <c r="G1149" s="74">
        <f t="shared" ref="G1149:I1151" si="309">G1150</f>
        <v>1260000</v>
      </c>
      <c r="H1149" s="74">
        <f t="shared" si="309"/>
        <v>1260000</v>
      </c>
      <c r="I1149" s="74">
        <f t="shared" si="309"/>
        <v>1320000</v>
      </c>
    </row>
    <row r="1150" spans="1:9" s="18" customFormat="1" ht="25.5">
      <c r="A1150" s="16" t="s">
        <v>103</v>
      </c>
      <c r="B1150" s="14">
        <v>793</v>
      </c>
      <c r="C1150" s="15" t="s">
        <v>70</v>
      </c>
      <c r="D1150" s="15" t="s">
        <v>71</v>
      </c>
      <c r="E1150" s="15" t="s">
        <v>228</v>
      </c>
      <c r="F1150" s="15"/>
      <c r="G1150" s="74">
        <f t="shared" si="309"/>
        <v>1260000</v>
      </c>
      <c r="H1150" s="74">
        <f t="shared" si="309"/>
        <v>1260000</v>
      </c>
      <c r="I1150" s="74">
        <f t="shared" si="309"/>
        <v>1320000</v>
      </c>
    </row>
    <row r="1151" spans="1:9" s="18" customFormat="1" ht="10.5" customHeight="1">
      <c r="A1151" s="199" t="s">
        <v>364</v>
      </c>
      <c r="B1151" s="14">
        <v>793</v>
      </c>
      <c r="C1151" s="15" t="s">
        <v>70</v>
      </c>
      <c r="D1151" s="15" t="s">
        <v>71</v>
      </c>
      <c r="E1151" s="15" t="s">
        <v>228</v>
      </c>
      <c r="F1151" s="15" t="s">
        <v>155</v>
      </c>
      <c r="G1151" s="74">
        <f t="shared" si="309"/>
        <v>1260000</v>
      </c>
      <c r="H1151" s="74">
        <f t="shared" si="309"/>
        <v>1260000</v>
      </c>
      <c r="I1151" s="74">
        <f t="shared" si="309"/>
        <v>1320000</v>
      </c>
    </row>
    <row r="1152" spans="1:9" s="18" customFormat="1" ht="29.25" customHeight="1">
      <c r="A1152" s="16" t="s">
        <v>156</v>
      </c>
      <c r="B1152" s="14">
        <v>793</v>
      </c>
      <c r="C1152" s="15" t="s">
        <v>70</v>
      </c>
      <c r="D1152" s="15" t="s">
        <v>71</v>
      </c>
      <c r="E1152" s="15" t="s">
        <v>228</v>
      </c>
      <c r="F1152" s="15" t="s">
        <v>157</v>
      </c>
      <c r="G1152" s="74">
        <v>1260000</v>
      </c>
      <c r="H1152" s="74">
        <v>1260000</v>
      </c>
      <c r="I1152" s="74">
        <v>1320000</v>
      </c>
    </row>
    <row r="1153" spans="1:9" s="28" customFormat="1" ht="27.75" customHeight="1">
      <c r="A1153" s="16" t="s">
        <v>505</v>
      </c>
      <c r="B1153" s="14">
        <v>793</v>
      </c>
      <c r="C1153" s="15" t="s">
        <v>70</v>
      </c>
      <c r="D1153" s="15" t="s">
        <v>71</v>
      </c>
      <c r="E1153" s="15" t="s">
        <v>296</v>
      </c>
      <c r="F1153" s="39"/>
      <c r="G1153" s="74">
        <f>G1154+G1157</f>
        <v>242084.75</v>
      </c>
      <c r="H1153" s="74">
        <f>H1154+H1157</f>
        <v>293677.42</v>
      </c>
      <c r="I1153" s="74">
        <f>I1154+I1157</f>
        <v>293677.42</v>
      </c>
    </row>
    <row r="1154" spans="1:9" s="28" customFormat="1" ht="54" customHeight="1">
      <c r="A1154" s="16" t="s">
        <v>367</v>
      </c>
      <c r="B1154" s="14">
        <v>793</v>
      </c>
      <c r="C1154" s="15" t="s">
        <v>70</v>
      </c>
      <c r="D1154" s="15" t="s">
        <v>71</v>
      </c>
      <c r="E1154" s="15" t="s">
        <v>386</v>
      </c>
      <c r="F1154" s="39"/>
      <c r="G1154" s="74">
        <f t="shared" ref="G1154:I1155" si="310">G1155</f>
        <v>25879.42</v>
      </c>
      <c r="H1154" s="74">
        <f t="shared" si="310"/>
        <v>25879.42</v>
      </c>
      <c r="I1154" s="74">
        <f t="shared" si="310"/>
        <v>25879.42</v>
      </c>
    </row>
    <row r="1155" spans="1:9" s="28" customFormat="1" ht="16.5" customHeight="1">
      <c r="A1155" s="16" t="s">
        <v>64</v>
      </c>
      <c r="B1155" s="14">
        <v>793</v>
      </c>
      <c r="C1155" s="15" t="s">
        <v>70</v>
      </c>
      <c r="D1155" s="15" t="s">
        <v>71</v>
      </c>
      <c r="E1155" s="15" t="s">
        <v>386</v>
      </c>
      <c r="F1155" s="15" t="s">
        <v>65</v>
      </c>
      <c r="G1155" s="74">
        <f t="shared" si="310"/>
        <v>25879.42</v>
      </c>
      <c r="H1155" s="74">
        <f t="shared" si="310"/>
        <v>25879.42</v>
      </c>
      <c r="I1155" s="74">
        <f t="shared" si="310"/>
        <v>25879.42</v>
      </c>
    </row>
    <row r="1156" spans="1:9" ht="38.25">
      <c r="A1156" s="16" t="s">
        <v>351</v>
      </c>
      <c r="B1156" s="14">
        <v>793</v>
      </c>
      <c r="C1156" s="15" t="s">
        <v>70</v>
      </c>
      <c r="D1156" s="15" t="s">
        <v>71</v>
      </c>
      <c r="E1156" s="15" t="s">
        <v>386</v>
      </c>
      <c r="F1156" s="15" t="s">
        <v>352</v>
      </c>
      <c r="G1156" s="74">
        <v>25879.42</v>
      </c>
      <c r="H1156" s="74">
        <v>25879.42</v>
      </c>
      <c r="I1156" s="74">
        <v>25879.42</v>
      </c>
    </row>
    <row r="1157" spans="1:9" ht="25.5" customHeight="1">
      <c r="A1157" s="16" t="s">
        <v>688</v>
      </c>
      <c r="B1157" s="14">
        <v>793</v>
      </c>
      <c r="C1157" s="15" t="s">
        <v>70</v>
      </c>
      <c r="D1157" s="15" t="s">
        <v>71</v>
      </c>
      <c r="E1157" s="15" t="s">
        <v>711</v>
      </c>
      <c r="F1157" s="15"/>
      <c r="G1157" s="74">
        <f t="shared" ref="G1157:I1158" si="311">G1158</f>
        <v>216205.33000000002</v>
      </c>
      <c r="H1157" s="74">
        <f t="shared" si="311"/>
        <v>267798</v>
      </c>
      <c r="I1157" s="74">
        <f t="shared" si="311"/>
        <v>267798</v>
      </c>
    </row>
    <row r="1158" spans="1:9" ht="15.75" customHeight="1">
      <c r="A1158" s="16" t="s">
        <v>369</v>
      </c>
      <c r="B1158" s="14">
        <v>793</v>
      </c>
      <c r="C1158" s="15" t="s">
        <v>70</v>
      </c>
      <c r="D1158" s="15" t="s">
        <v>71</v>
      </c>
      <c r="E1158" s="15" t="s">
        <v>711</v>
      </c>
      <c r="F1158" s="15" t="s">
        <v>155</v>
      </c>
      <c r="G1158" s="74">
        <f t="shared" si="311"/>
        <v>216205.33000000002</v>
      </c>
      <c r="H1158" s="74">
        <f t="shared" si="311"/>
        <v>267798</v>
      </c>
      <c r="I1158" s="74">
        <f t="shared" si="311"/>
        <v>267798</v>
      </c>
    </row>
    <row r="1159" spans="1:9" ht="25.5" customHeight="1">
      <c r="A1159" s="16" t="s">
        <v>697</v>
      </c>
      <c r="B1159" s="14">
        <v>793</v>
      </c>
      <c r="C1159" s="15" t="s">
        <v>70</v>
      </c>
      <c r="D1159" s="15" t="s">
        <v>71</v>
      </c>
      <c r="E1159" s="15" t="s">
        <v>711</v>
      </c>
      <c r="F1159" s="15" t="s">
        <v>696</v>
      </c>
      <c r="G1159" s="74">
        <f>267798-51592.67</f>
        <v>216205.33000000002</v>
      </c>
      <c r="H1159" s="74">
        <v>267798</v>
      </c>
      <c r="I1159" s="74">
        <v>267798</v>
      </c>
    </row>
    <row r="1160" spans="1:9" ht="26.25" hidden="1" customHeight="1">
      <c r="A1160" s="16" t="s">
        <v>176</v>
      </c>
      <c r="B1160" s="14">
        <v>793</v>
      </c>
      <c r="C1160" s="15" t="s">
        <v>70</v>
      </c>
      <c r="D1160" s="15" t="s">
        <v>71</v>
      </c>
      <c r="E1160" s="15" t="s">
        <v>241</v>
      </c>
      <c r="F1160" s="15"/>
      <c r="G1160" s="74">
        <f>G1161</f>
        <v>0</v>
      </c>
      <c r="H1160" s="74">
        <f>H1161</f>
        <v>0</v>
      </c>
      <c r="I1160" s="74">
        <f>I1161</f>
        <v>0</v>
      </c>
    </row>
    <row r="1161" spans="1:9" ht="29.25" hidden="1" customHeight="1">
      <c r="A1161" s="16" t="s">
        <v>176</v>
      </c>
      <c r="B1161" s="14">
        <v>793</v>
      </c>
      <c r="C1161" s="15" t="s">
        <v>70</v>
      </c>
      <c r="D1161" s="15" t="s">
        <v>71</v>
      </c>
      <c r="E1161" s="15" t="s">
        <v>285</v>
      </c>
      <c r="F1161" s="15"/>
      <c r="G1161" s="74">
        <f>G1163</f>
        <v>0</v>
      </c>
      <c r="H1161" s="74">
        <f>H1163</f>
        <v>0</v>
      </c>
      <c r="I1161" s="74">
        <f>I1163</f>
        <v>0</v>
      </c>
    </row>
    <row r="1162" spans="1:9" ht="25.5" hidden="1" customHeight="1">
      <c r="A1162" s="16" t="s">
        <v>369</v>
      </c>
      <c r="B1162" s="14">
        <v>793</v>
      </c>
      <c r="C1162" s="15" t="s">
        <v>70</v>
      </c>
      <c r="D1162" s="15" t="s">
        <v>71</v>
      </c>
      <c r="E1162" s="15" t="s">
        <v>285</v>
      </c>
      <c r="F1162" s="15" t="s">
        <v>155</v>
      </c>
      <c r="G1162" s="74">
        <f>G1163</f>
        <v>0</v>
      </c>
      <c r="H1162" s="74">
        <f>H1163</f>
        <v>0</v>
      </c>
      <c r="I1162" s="74">
        <f>I1163</f>
        <v>0</v>
      </c>
    </row>
    <row r="1163" spans="1:9" ht="30.75" hidden="1" customHeight="1">
      <c r="A1163" s="16" t="s">
        <v>158</v>
      </c>
      <c r="B1163" s="14">
        <v>793</v>
      </c>
      <c r="C1163" s="15" t="s">
        <v>70</v>
      </c>
      <c r="D1163" s="15" t="s">
        <v>71</v>
      </c>
      <c r="E1163" s="15" t="s">
        <v>285</v>
      </c>
      <c r="F1163" s="15" t="s">
        <v>157</v>
      </c>
      <c r="G1163" s="74"/>
      <c r="H1163" s="74"/>
      <c r="I1163" s="74"/>
    </row>
    <row r="1164" spans="1:9" s="28" customFormat="1" ht="24.75" customHeight="1">
      <c r="A1164" s="37" t="s">
        <v>176</v>
      </c>
      <c r="B1164" s="14">
        <v>793</v>
      </c>
      <c r="C1164" s="15" t="s">
        <v>70</v>
      </c>
      <c r="D1164" s="15" t="s">
        <v>71</v>
      </c>
      <c r="E1164" s="15" t="s">
        <v>241</v>
      </c>
      <c r="F1164" s="39"/>
      <c r="G1164" s="74">
        <f t="shared" ref="G1164:I1164" si="312">G1165</f>
        <v>30000</v>
      </c>
      <c r="H1164" s="74">
        <f t="shared" si="312"/>
        <v>0</v>
      </c>
      <c r="I1164" s="74">
        <f t="shared" si="312"/>
        <v>0</v>
      </c>
    </row>
    <row r="1165" spans="1:9" ht="25.5">
      <c r="A1165" s="37" t="s">
        <v>176</v>
      </c>
      <c r="B1165" s="14">
        <v>793</v>
      </c>
      <c r="C1165" s="15" t="s">
        <v>70</v>
      </c>
      <c r="D1165" s="15" t="s">
        <v>71</v>
      </c>
      <c r="E1165" s="15" t="s">
        <v>285</v>
      </c>
      <c r="F1165" s="15"/>
      <c r="G1165" s="74">
        <f>G1166+G1168</f>
        <v>30000</v>
      </c>
      <c r="H1165" s="74">
        <f>H1166+H1168</f>
        <v>0</v>
      </c>
      <c r="I1165" s="74">
        <f>I1166+I1168</f>
        <v>0</v>
      </c>
    </row>
    <row r="1166" spans="1:9" hidden="1">
      <c r="A1166" s="16"/>
      <c r="B1166" s="14">
        <v>793</v>
      </c>
      <c r="C1166" s="15" t="s">
        <v>70</v>
      </c>
      <c r="D1166" s="15" t="s">
        <v>71</v>
      </c>
      <c r="E1166" s="15" t="s">
        <v>285</v>
      </c>
      <c r="F1166" s="15"/>
      <c r="G1166" s="74"/>
      <c r="H1166" s="74"/>
      <c r="I1166" s="74"/>
    </row>
    <row r="1167" spans="1:9" ht="30.75" hidden="1" customHeight="1">
      <c r="A1167" s="16"/>
      <c r="B1167" s="14">
        <v>793</v>
      </c>
      <c r="C1167" s="15" t="s">
        <v>70</v>
      </c>
      <c r="D1167" s="15" t="s">
        <v>71</v>
      </c>
      <c r="E1167" s="15" t="s">
        <v>285</v>
      </c>
      <c r="F1167" s="15"/>
      <c r="G1167" s="74"/>
      <c r="H1167" s="74"/>
      <c r="I1167" s="74"/>
    </row>
    <row r="1168" spans="1:9" ht="24" customHeight="1">
      <c r="A1168" s="199" t="s">
        <v>154</v>
      </c>
      <c r="B1168" s="14">
        <v>793</v>
      </c>
      <c r="C1168" s="15" t="s">
        <v>70</v>
      </c>
      <c r="D1168" s="15" t="s">
        <v>71</v>
      </c>
      <c r="E1168" s="15" t="s">
        <v>285</v>
      </c>
      <c r="F1168" s="15" t="s">
        <v>155</v>
      </c>
      <c r="G1168" s="74">
        <f>G1169</f>
        <v>30000</v>
      </c>
      <c r="H1168" s="74">
        <f>H1169</f>
        <v>0</v>
      </c>
      <c r="I1168" s="74">
        <f>I1169</f>
        <v>0</v>
      </c>
    </row>
    <row r="1169" spans="1:9" ht="18" customHeight="1">
      <c r="A1169" s="16" t="s">
        <v>156</v>
      </c>
      <c r="B1169" s="14">
        <v>793</v>
      </c>
      <c r="C1169" s="15" t="s">
        <v>70</v>
      </c>
      <c r="D1169" s="15" t="s">
        <v>71</v>
      </c>
      <c r="E1169" s="15" t="s">
        <v>285</v>
      </c>
      <c r="F1169" s="15" t="s">
        <v>157</v>
      </c>
      <c r="G1169" s="74">
        <v>30000</v>
      </c>
      <c r="H1169" s="74">
        <v>0</v>
      </c>
      <c r="I1169" s="74">
        <v>0</v>
      </c>
    </row>
    <row r="1170" spans="1:9">
      <c r="A1170" s="13" t="s">
        <v>159</v>
      </c>
      <c r="B1170" s="14">
        <v>793</v>
      </c>
      <c r="C1170" s="15" t="s">
        <v>70</v>
      </c>
      <c r="D1170" s="15" t="s">
        <v>55</v>
      </c>
      <c r="E1170" s="15"/>
      <c r="F1170" s="15"/>
      <c r="G1170" s="74">
        <f>G1171</f>
        <v>5861450.8600000003</v>
      </c>
      <c r="H1170" s="74">
        <f>H1171</f>
        <v>22745195.969999999</v>
      </c>
      <c r="I1170" s="74">
        <f>I1171</f>
        <v>6115107.0099999998</v>
      </c>
    </row>
    <row r="1171" spans="1:9" s="46" customFormat="1" ht="25.5">
      <c r="A1171" s="16" t="s">
        <v>505</v>
      </c>
      <c r="B1171" s="14">
        <v>793</v>
      </c>
      <c r="C1171" s="15" t="s">
        <v>70</v>
      </c>
      <c r="D1171" s="15" t="s">
        <v>55</v>
      </c>
      <c r="E1171" s="15" t="s">
        <v>296</v>
      </c>
      <c r="F1171" s="15"/>
      <c r="G1171" s="74">
        <f>G1172+G1178+G1175</f>
        <v>5861450.8600000003</v>
      </c>
      <c r="H1171" s="74">
        <f>H1172+H1178+H1175</f>
        <v>22745195.969999999</v>
      </c>
      <c r="I1171" s="74">
        <f>I1172+I1178+I1175</f>
        <v>6115107.0099999998</v>
      </c>
    </row>
    <row r="1172" spans="1:9" ht="58.5" customHeight="1">
      <c r="A1172" s="84" t="s">
        <v>298</v>
      </c>
      <c r="B1172" s="14">
        <v>793</v>
      </c>
      <c r="C1172" s="15" t="s">
        <v>70</v>
      </c>
      <c r="D1172" s="15" t="s">
        <v>55</v>
      </c>
      <c r="E1172" s="15" t="s">
        <v>297</v>
      </c>
      <c r="F1172" s="15"/>
      <c r="G1172" s="74">
        <f>G1173</f>
        <v>5594187.8600000003</v>
      </c>
      <c r="H1172" s="74">
        <f t="shared" ref="H1172:I1172" si="313">H1173</f>
        <v>5923107.0099999998</v>
      </c>
      <c r="I1172" s="74">
        <f t="shared" si="313"/>
        <v>5923107.0099999998</v>
      </c>
    </row>
    <row r="1173" spans="1:9" ht="38.25">
      <c r="A1173" s="16" t="s">
        <v>358</v>
      </c>
      <c r="B1173" s="14">
        <v>793</v>
      </c>
      <c r="C1173" s="15" t="s">
        <v>70</v>
      </c>
      <c r="D1173" s="15" t="s">
        <v>55</v>
      </c>
      <c r="E1173" s="15" t="s">
        <v>297</v>
      </c>
      <c r="F1173" s="15" t="s">
        <v>359</v>
      </c>
      <c r="G1173" s="74">
        <f>G1174</f>
        <v>5594187.8600000003</v>
      </c>
      <c r="H1173" s="74">
        <f>H1174</f>
        <v>5923107.0099999998</v>
      </c>
      <c r="I1173" s="74">
        <f>I1174</f>
        <v>5923107.0099999998</v>
      </c>
    </row>
    <row r="1174" spans="1:9">
      <c r="A1174" s="16" t="s">
        <v>360</v>
      </c>
      <c r="B1174" s="14">
        <v>793</v>
      </c>
      <c r="C1174" s="15" t="s">
        <v>70</v>
      </c>
      <c r="D1174" s="15" t="s">
        <v>55</v>
      </c>
      <c r="E1174" s="15" t="s">
        <v>297</v>
      </c>
      <c r="F1174" s="15" t="s">
        <v>361</v>
      </c>
      <c r="G1174" s="74">
        <v>5594187.8600000003</v>
      </c>
      <c r="H1174" s="74">
        <v>5923107.0099999998</v>
      </c>
      <c r="I1174" s="74">
        <v>5923107.0099999998</v>
      </c>
    </row>
    <row r="1175" spans="1:9" ht="55.5" customHeight="1">
      <c r="A1175" s="84" t="s">
        <v>299</v>
      </c>
      <c r="B1175" s="14">
        <v>793</v>
      </c>
      <c r="C1175" s="15" t="s">
        <v>70</v>
      </c>
      <c r="D1175" s="15" t="s">
        <v>55</v>
      </c>
      <c r="E1175" s="15" t="s">
        <v>384</v>
      </c>
      <c r="F1175" s="15"/>
      <c r="G1175" s="74">
        <f t="shared" ref="G1175:I1176" si="314">G1176</f>
        <v>79263</v>
      </c>
      <c r="H1175" s="74">
        <f t="shared" si="314"/>
        <v>16630088.960000001</v>
      </c>
      <c r="I1175" s="74">
        <f t="shared" si="314"/>
        <v>0</v>
      </c>
    </row>
    <row r="1176" spans="1:9" ht="38.25">
      <c r="A1176" s="16" t="s">
        <v>358</v>
      </c>
      <c r="B1176" s="14">
        <v>793</v>
      </c>
      <c r="C1176" s="15" t="s">
        <v>70</v>
      </c>
      <c r="D1176" s="15" t="s">
        <v>55</v>
      </c>
      <c r="E1176" s="15" t="s">
        <v>384</v>
      </c>
      <c r="F1176" s="15" t="s">
        <v>359</v>
      </c>
      <c r="G1176" s="74">
        <f t="shared" si="314"/>
        <v>79263</v>
      </c>
      <c r="H1176" s="74">
        <f t="shared" si="314"/>
        <v>16630088.960000001</v>
      </c>
      <c r="I1176" s="74">
        <f t="shared" si="314"/>
        <v>0</v>
      </c>
    </row>
    <row r="1177" spans="1:9">
      <c r="A1177" s="16" t="s">
        <v>360</v>
      </c>
      <c r="B1177" s="14">
        <v>793</v>
      </c>
      <c r="C1177" s="15" t="s">
        <v>70</v>
      </c>
      <c r="D1177" s="15" t="s">
        <v>55</v>
      </c>
      <c r="E1177" s="15" t="s">
        <v>384</v>
      </c>
      <c r="F1177" s="15" t="s">
        <v>361</v>
      </c>
      <c r="G1177" s="74">
        <v>79263</v>
      </c>
      <c r="H1177" s="74">
        <v>16630088.960000001</v>
      </c>
      <c r="I1177" s="74">
        <f>8630275.89-8630275.89</f>
        <v>0</v>
      </c>
    </row>
    <row r="1178" spans="1:9" s="18" customFormat="1" ht="25.5">
      <c r="A1178" s="16" t="s">
        <v>370</v>
      </c>
      <c r="B1178" s="14">
        <v>793</v>
      </c>
      <c r="C1178" s="15" t="s">
        <v>70</v>
      </c>
      <c r="D1178" s="15" t="s">
        <v>55</v>
      </c>
      <c r="E1178" s="15" t="s">
        <v>301</v>
      </c>
      <c r="F1178" s="15"/>
      <c r="G1178" s="74">
        <f t="shared" ref="G1178:I1179" si="315">G1179</f>
        <v>188000</v>
      </c>
      <c r="H1178" s="74">
        <f t="shared" si="315"/>
        <v>192000</v>
      </c>
      <c r="I1178" s="74">
        <f t="shared" si="315"/>
        <v>192000</v>
      </c>
    </row>
    <row r="1179" spans="1:9" s="18" customFormat="1" ht="25.5">
      <c r="A1179" s="16" t="s">
        <v>368</v>
      </c>
      <c r="B1179" s="14">
        <v>793</v>
      </c>
      <c r="C1179" s="15" t="s">
        <v>70</v>
      </c>
      <c r="D1179" s="15" t="s">
        <v>55</v>
      </c>
      <c r="E1179" s="15" t="s">
        <v>301</v>
      </c>
      <c r="F1179" s="15" t="s">
        <v>155</v>
      </c>
      <c r="G1179" s="74">
        <f t="shared" si="315"/>
        <v>188000</v>
      </c>
      <c r="H1179" s="74">
        <f t="shared" si="315"/>
        <v>192000</v>
      </c>
      <c r="I1179" s="74">
        <f t="shared" si="315"/>
        <v>192000</v>
      </c>
    </row>
    <row r="1180" spans="1:9" s="18" customFormat="1" ht="25.5">
      <c r="A1180" s="16" t="s">
        <v>365</v>
      </c>
      <c r="B1180" s="14">
        <v>793</v>
      </c>
      <c r="C1180" s="15" t="s">
        <v>70</v>
      </c>
      <c r="D1180" s="15" t="s">
        <v>55</v>
      </c>
      <c r="E1180" s="15" t="s">
        <v>301</v>
      </c>
      <c r="F1180" s="15" t="s">
        <v>366</v>
      </c>
      <c r="G1180" s="74">
        <f>192000-4000</f>
        <v>188000</v>
      </c>
      <c r="H1180" s="74">
        <v>192000</v>
      </c>
      <c r="I1180" s="74">
        <v>192000</v>
      </c>
    </row>
    <row r="1181" spans="1:9" ht="25.5">
      <c r="A1181" s="54" t="s">
        <v>310</v>
      </c>
      <c r="B1181" s="19">
        <v>793</v>
      </c>
      <c r="C1181" s="7" t="s">
        <v>23</v>
      </c>
      <c r="D1181" s="7"/>
      <c r="E1181" s="7"/>
      <c r="F1181" s="7"/>
      <c r="G1181" s="38">
        <f t="shared" ref="G1181:G1186" si="316">G1182</f>
        <v>5130000</v>
      </c>
      <c r="H1181" s="38">
        <f t="shared" ref="H1181:I1186" si="317">H1182</f>
        <v>5130000</v>
      </c>
      <c r="I1181" s="38">
        <f t="shared" si="317"/>
        <v>5130000</v>
      </c>
    </row>
    <row r="1182" spans="1:9" ht="28.5" customHeight="1">
      <c r="A1182" s="13" t="s">
        <v>311</v>
      </c>
      <c r="B1182" s="14">
        <v>793</v>
      </c>
      <c r="C1182" s="15" t="s">
        <v>23</v>
      </c>
      <c r="D1182" s="15" t="s">
        <v>19</v>
      </c>
      <c r="E1182" s="36"/>
      <c r="F1182" s="36"/>
      <c r="G1182" s="74">
        <f t="shared" si="316"/>
        <v>5130000</v>
      </c>
      <c r="H1182" s="74">
        <f t="shared" si="317"/>
        <v>5130000</v>
      </c>
      <c r="I1182" s="74">
        <f t="shared" si="317"/>
        <v>5130000</v>
      </c>
    </row>
    <row r="1183" spans="1:9" s="28" customFormat="1" ht="38.25">
      <c r="A1183" s="16" t="s">
        <v>459</v>
      </c>
      <c r="B1183" s="14">
        <v>793</v>
      </c>
      <c r="C1183" s="15" t="s">
        <v>23</v>
      </c>
      <c r="D1183" s="15" t="s">
        <v>19</v>
      </c>
      <c r="E1183" s="15" t="s">
        <v>237</v>
      </c>
      <c r="F1183" s="39"/>
      <c r="G1183" s="74">
        <f t="shared" si="316"/>
        <v>5130000</v>
      </c>
      <c r="H1183" s="74">
        <f t="shared" si="317"/>
        <v>5130000</v>
      </c>
      <c r="I1183" s="74">
        <f t="shared" si="317"/>
        <v>5130000</v>
      </c>
    </row>
    <row r="1184" spans="1:9" s="28" customFormat="1" ht="25.5">
      <c r="A1184" s="16" t="s">
        <v>312</v>
      </c>
      <c r="B1184" s="14">
        <v>793</v>
      </c>
      <c r="C1184" s="15" t="s">
        <v>23</v>
      </c>
      <c r="D1184" s="15" t="s">
        <v>19</v>
      </c>
      <c r="E1184" s="15" t="s">
        <v>243</v>
      </c>
      <c r="F1184" s="39"/>
      <c r="G1184" s="74">
        <f t="shared" si="316"/>
        <v>5130000</v>
      </c>
      <c r="H1184" s="74">
        <f t="shared" si="317"/>
        <v>5130000</v>
      </c>
      <c r="I1184" s="74">
        <f t="shared" si="317"/>
        <v>5130000</v>
      </c>
    </row>
    <row r="1185" spans="1:12">
      <c r="A1185" s="16" t="s">
        <v>313</v>
      </c>
      <c r="B1185" s="14">
        <v>793</v>
      </c>
      <c r="C1185" s="15" t="s">
        <v>23</v>
      </c>
      <c r="D1185" s="15" t="s">
        <v>19</v>
      </c>
      <c r="E1185" s="15" t="s">
        <v>244</v>
      </c>
      <c r="F1185" s="15"/>
      <c r="G1185" s="74">
        <f t="shared" si="316"/>
        <v>5130000</v>
      </c>
      <c r="H1185" s="74">
        <f t="shared" si="317"/>
        <v>5130000</v>
      </c>
      <c r="I1185" s="74">
        <f t="shared" si="317"/>
        <v>5130000</v>
      </c>
    </row>
    <row r="1186" spans="1:12" ht="25.5">
      <c r="A1186" s="16" t="s">
        <v>314</v>
      </c>
      <c r="B1186" s="14">
        <v>793</v>
      </c>
      <c r="C1186" s="15" t="s">
        <v>23</v>
      </c>
      <c r="D1186" s="15" t="s">
        <v>19</v>
      </c>
      <c r="E1186" s="15" t="s">
        <v>244</v>
      </c>
      <c r="F1186" s="15" t="s">
        <v>315</v>
      </c>
      <c r="G1186" s="74">
        <f t="shared" si="316"/>
        <v>5130000</v>
      </c>
      <c r="H1186" s="74">
        <f t="shared" si="317"/>
        <v>5130000</v>
      </c>
      <c r="I1186" s="74">
        <f t="shared" si="317"/>
        <v>5130000</v>
      </c>
    </row>
    <row r="1187" spans="1:12">
      <c r="A1187" s="16" t="s">
        <v>316</v>
      </c>
      <c r="B1187" s="14">
        <v>793</v>
      </c>
      <c r="C1187" s="15" t="s">
        <v>23</v>
      </c>
      <c r="D1187" s="15" t="s">
        <v>19</v>
      </c>
      <c r="E1187" s="15" t="s">
        <v>244</v>
      </c>
      <c r="F1187" s="15" t="s">
        <v>317</v>
      </c>
      <c r="G1187" s="74">
        <v>5130000</v>
      </c>
      <c r="H1187" s="74">
        <v>5130000</v>
      </c>
      <c r="I1187" s="74">
        <v>5130000</v>
      </c>
      <c r="J1187" s="1" t="s">
        <v>483</v>
      </c>
      <c r="K1187" s="1" t="s">
        <v>484</v>
      </c>
    </row>
    <row r="1188" spans="1:12" s="184" customFormat="1">
      <c r="A1188" s="173" t="s">
        <v>75</v>
      </c>
      <c r="B1188" s="170"/>
      <c r="C1188" s="171"/>
      <c r="D1188" s="171"/>
      <c r="E1188" s="171"/>
      <c r="F1188" s="171"/>
      <c r="G1188" s="172">
        <f>G826++G950+G1026+G1128+G1099+G1181+G1119+G1114</f>
        <v>86774674.569999993</v>
      </c>
      <c r="H1188" s="172">
        <f t="shared" ref="H1188:I1188" si="318">H826++H950+H1026+H1128+H1099+H1181+H1119+H1114</f>
        <v>123047994.69000001</v>
      </c>
      <c r="I1188" s="172">
        <f t="shared" si="318"/>
        <v>112113935.41</v>
      </c>
      <c r="J1188" s="183" t="e">
        <f>G832+G842+G844+G846+G894+G898+#REF!+G901+G905+G912+G915+G922+G924+G929+G958+G960+G963+G989+G1015+G1025+G1037+G1048+#REF!+G1084+G1094+G1098+G1104+G1133+G1144+G1152+G1159+G1187+G881</f>
        <v>#REF!</v>
      </c>
      <c r="K1188" s="183">
        <f>G837+G849+G851+G854+G858+G861+G863+G866+G871+G1081+G1156+G1177</f>
        <v>7629343.4899999993</v>
      </c>
    </row>
    <row r="1189" spans="1:12" s="105" customFormat="1" ht="25.5">
      <c r="A1189" s="98" t="s">
        <v>414</v>
      </c>
      <c r="B1189" s="91">
        <v>794</v>
      </c>
      <c r="C1189" s="97"/>
      <c r="D1189" s="97"/>
      <c r="E1189" s="97"/>
      <c r="F1189" s="97"/>
      <c r="G1189" s="96"/>
      <c r="H1189" s="96"/>
      <c r="I1189" s="96"/>
      <c r="J1189" s="188">
        <v>453900</v>
      </c>
      <c r="K1189" s="105">
        <v>1361500</v>
      </c>
    </row>
    <row r="1190" spans="1:12">
      <c r="A1190" s="59" t="s">
        <v>18</v>
      </c>
      <c r="B1190" s="19">
        <v>794</v>
      </c>
      <c r="C1190" s="7" t="s">
        <v>19</v>
      </c>
      <c r="D1190" s="7"/>
      <c r="E1190" s="7"/>
      <c r="F1190" s="7"/>
      <c r="G1190" s="38">
        <f>G1191+G1208</f>
        <v>4685270.37</v>
      </c>
      <c r="H1190" s="38">
        <f>H1191+H1208</f>
        <v>3229735.95</v>
      </c>
      <c r="I1190" s="38">
        <f>I1191+I1208</f>
        <v>3249822.7984499997</v>
      </c>
      <c r="J1190" s="1">
        <v>200000</v>
      </c>
      <c r="K1190" s="1">
        <v>4377500</v>
      </c>
    </row>
    <row r="1191" spans="1:12" ht="38.25">
      <c r="A1191" s="16" t="s">
        <v>372</v>
      </c>
      <c r="B1191" s="14">
        <v>794</v>
      </c>
      <c r="C1191" s="15" t="s">
        <v>19</v>
      </c>
      <c r="D1191" s="15" t="s">
        <v>71</v>
      </c>
      <c r="E1191" s="15"/>
      <c r="F1191" s="15"/>
      <c r="G1191" s="74">
        <f>G1192</f>
        <v>3186768</v>
      </c>
      <c r="H1191" s="74">
        <f>H1192</f>
        <v>3229735.95</v>
      </c>
      <c r="I1191" s="74">
        <f>I1192</f>
        <v>3249822.7984499997</v>
      </c>
      <c r="J1191" s="2" t="e">
        <f>J1188+J1189+J1190</f>
        <v>#REF!</v>
      </c>
      <c r="K1191" s="2">
        <f>K1188+K1189+K1190</f>
        <v>13368343.489999998</v>
      </c>
    </row>
    <row r="1192" spans="1:12" s="46" customFormat="1">
      <c r="A1192" s="16" t="s">
        <v>373</v>
      </c>
      <c r="B1192" s="14">
        <v>794</v>
      </c>
      <c r="C1192" s="15" t="s">
        <v>19</v>
      </c>
      <c r="D1192" s="15" t="s">
        <v>71</v>
      </c>
      <c r="E1192" s="15" t="s">
        <v>271</v>
      </c>
      <c r="F1192" s="15"/>
      <c r="G1192" s="74">
        <f>G1193+G1197+G1201</f>
        <v>3186768</v>
      </c>
      <c r="H1192" s="74">
        <f>H1193+H1197+H1201</f>
        <v>3229735.95</v>
      </c>
      <c r="I1192" s="74">
        <f>I1193+I1197+I1201</f>
        <v>3249822.7984499997</v>
      </c>
    </row>
    <row r="1193" spans="1:12" s="33" customFormat="1" ht="25.5">
      <c r="A1193" s="16" t="s">
        <v>374</v>
      </c>
      <c r="B1193" s="14">
        <v>794</v>
      </c>
      <c r="C1193" s="15" t="s">
        <v>19</v>
      </c>
      <c r="D1193" s="15" t="s">
        <v>71</v>
      </c>
      <c r="E1193" s="15" t="s">
        <v>272</v>
      </c>
      <c r="F1193" s="39"/>
      <c r="G1193" s="74">
        <f t="shared" ref="G1193:I1195" si="319">G1194</f>
        <v>1164450</v>
      </c>
      <c r="H1193" s="74">
        <f t="shared" si="319"/>
        <v>1177258.95</v>
      </c>
      <c r="I1193" s="74">
        <f t="shared" si="319"/>
        <v>1190208.7984499999</v>
      </c>
    </row>
    <row r="1194" spans="1:12" s="33" customFormat="1" ht="25.5">
      <c r="A1194" s="16" t="s">
        <v>78</v>
      </c>
      <c r="B1194" s="14">
        <v>794</v>
      </c>
      <c r="C1194" s="15" t="s">
        <v>19</v>
      </c>
      <c r="D1194" s="15" t="s">
        <v>71</v>
      </c>
      <c r="E1194" s="15" t="s">
        <v>273</v>
      </c>
      <c r="F1194" s="15"/>
      <c r="G1194" s="74">
        <f t="shared" si="319"/>
        <v>1164450</v>
      </c>
      <c r="H1194" s="74">
        <f t="shared" si="319"/>
        <v>1177258.95</v>
      </c>
      <c r="I1194" s="74">
        <f t="shared" si="319"/>
        <v>1190208.7984499999</v>
      </c>
    </row>
    <row r="1195" spans="1:12" s="33" customFormat="1" ht="63.75">
      <c r="A1195" s="56" t="s">
        <v>56</v>
      </c>
      <c r="B1195" s="14">
        <v>794</v>
      </c>
      <c r="C1195" s="15" t="s">
        <v>19</v>
      </c>
      <c r="D1195" s="15" t="s">
        <v>71</v>
      </c>
      <c r="E1195" s="15" t="s">
        <v>273</v>
      </c>
      <c r="F1195" s="15" t="s">
        <v>59</v>
      </c>
      <c r="G1195" s="74">
        <f t="shared" si="319"/>
        <v>1164450</v>
      </c>
      <c r="H1195" s="74">
        <f t="shared" si="319"/>
        <v>1177258.95</v>
      </c>
      <c r="I1195" s="74">
        <f t="shared" si="319"/>
        <v>1190208.7984499999</v>
      </c>
    </row>
    <row r="1196" spans="1:12" ht="25.5">
      <c r="A1196" s="56" t="s">
        <v>57</v>
      </c>
      <c r="B1196" s="14">
        <v>794</v>
      </c>
      <c r="C1196" s="15" t="s">
        <v>19</v>
      </c>
      <c r="D1196" s="15" t="s">
        <v>71</v>
      </c>
      <c r="E1196" s="15" t="s">
        <v>273</v>
      </c>
      <c r="F1196" s="15" t="s">
        <v>60</v>
      </c>
      <c r="G1196" s="74">
        <f>1164450</f>
        <v>1164450</v>
      </c>
      <c r="H1196" s="74">
        <f>G1196*1.011</f>
        <v>1177258.95</v>
      </c>
      <c r="I1196" s="74">
        <f>H1196*1.011</f>
        <v>1190208.7984499999</v>
      </c>
    </row>
    <row r="1197" spans="1:12" s="33" customFormat="1" ht="25.5">
      <c r="A1197" s="16" t="s">
        <v>375</v>
      </c>
      <c r="B1197" s="14">
        <v>794</v>
      </c>
      <c r="C1197" s="15" t="s">
        <v>19</v>
      </c>
      <c r="D1197" s="15" t="s">
        <v>71</v>
      </c>
      <c r="E1197" s="15" t="s">
        <v>274</v>
      </c>
      <c r="F1197" s="39"/>
      <c r="G1197" s="74">
        <f t="shared" ref="G1197:I1199" si="320">G1198</f>
        <v>541620</v>
      </c>
      <c r="H1197" s="74">
        <f t="shared" si="320"/>
        <v>541620</v>
      </c>
      <c r="I1197" s="74">
        <f t="shared" si="320"/>
        <v>541620</v>
      </c>
    </row>
    <row r="1198" spans="1:12" s="33" customFormat="1" ht="25.5">
      <c r="A1198" s="16" t="s">
        <v>78</v>
      </c>
      <c r="B1198" s="14">
        <v>794</v>
      </c>
      <c r="C1198" s="15" t="s">
        <v>19</v>
      </c>
      <c r="D1198" s="15" t="s">
        <v>71</v>
      </c>
      <c r="E1198" s="15" t="s">
        <v>275</v>
      </c>
      <c r="F1198" s="15"/>
      <c r="G1198" s="74">
        <f t="shared" si="320"/>
        <v>541620</v>
      </c>
      <c r="H1198" s="74">
        <f t="shared" si="320"/>
        <v>541620</v>
      </c>
      <c r="I1198" s="74">
        <f t="shared" si="320"/>
        <v>541620</v>
      </c>
    </row>
    <row r="1199" spans="1:12" s="33" customFormat="1" ht="63.75">
      <c r="A1199" s="56" t="s">
        <v>56</v>
      </c>
      <c r="B1199" s="14">
        <v>794</v>
      </c>
      <c r="C1199" s="15" t="s">
        <v>19</v>
      </c>
      <c r="D1199" s="15" t="s">
        <v>71</v>
      </c>
      <c r="E1199" s="15" t="s">
        <v>275</v>
      </c>
      <c r="F1199" s="15" t="s">
        <v>59</v>
      </c>
      <c r="G1199" s="74">
        <f t="shared" si="320"/>
        <v>541620</v>
      </c>
      <c r="H1199" s="74">
        <f t="shared" si="320"/>
        <v>541620</v>
      </c>
      <c r="I1199" s="74">
        <f t="shared" si="320"/>
        <v>541620</v>
      </c>
      <c r="J1199" s="156"/>
    </row>
    <row r="1200" spans="1:12" s="33" customFormat="1" ht="25.5">
      <c r="A1200" s="56" t="s">
        <v>57</v>
      </c>
      <c r="B1200" s="14">
        <v>794</v>
      </c>
      <c r="C1200" s="15" t="s">
        <v>19</v>
      </c>
      <c r="D1200" s="15" t="s">
        <v>71</v>
      </c>
      <c r="E1200" s="15" t="s">
        <v>275</v>
      </c>
      <c r="F1200" s="15" t="s">
        <v>60</v>
      </c>
      <c r="G1200" s="74">
        <v>541620</v>
      </c>
      <c r="H1200" s="74">
        <v>541620</v>
      </c>
      <c r="I1200" s="74">
        <v>541620</v>
      </c>
      <c r="L1200" s="156"/>
    </row>
    <row r="1201" spans="1:9" ht="25.5">
      <c r="A1201" s="56" t="s">
        <v>376</v>
      </c>
      <c r="B1201" s="14">
        <v>794</v>
      </c>
      <c r="C1201" s="15" t="s">
        <v>19</v>
      </c>
      <c r="D1201" s="15" t="s">
        <v>71</v>
      </c>
      <c r="E1201" s="15" t="s">
        <v>276</v>
      </c>
      <c r="F1201" s="15"/>
      <c r="G1201" s="74">
        <f>G1202</f>
        <v>1480698</v>
      </c>
      <c r="H1201" s="74">
        <f>H1202</f>
        <v>1510857</v>
      </c>
      <c r="I1201" s="74">
        <f>I1202</f>
        <v>1517994</v>
      </c>
    </row>
    <row r="1202" spans="1:9" s="33" customFormat="1" ht="25.5">
      <c r="A1202" s="16" t="s">
        <v>78</v>
      </c>
      <c r="B1202" s="14">
        <v>794</v>
      </c>
      <c r="C1202" s="15" t="s">
        <v>19</v>
      </c>
      <c r="D1202" s="15" t="s">
        <v>71</v>
      </c>
      <c r="E1202" s="15" t="s">
        <v>277</v>
      </c>
      <c r="F1202" s="39"/>
      <c r="G1202" s="74">
        <f>G1203+G1205</f>
        <v>1480698</v>
      </c>
      <c r="H1202" s="74">
        <f t="shared" ref="H1202:I1202" si="321">H1203+H1205</f>
        <v>1510857</v>
      </c>
      <c r="I1202" s="74">
        <f t="shared" si="321"/>
        <v>1517994</v>
      </c>
    </row>
    <row r="1203" spans="1:9" ht="63.75">
      <c r="A1203" s="56" t="s">
        <v>56</v>
      </c>
      <c r="B1203" s="14">
        <v>794</v>
      </c>
      <c r="C1203" s="15" t="s">
        <v>19</v>
      </c>
      <c r="D1203" s="15" t="s">
        <v>71</v>
      </c>
      <c r="E1203" s="15" t="s">
        <v>277</v>
      </c>
      <c r="F1203" s="15" t="s">
        <v>59</v>
      </c>
      <c r="G1203" s="74">
        <f>G1204</f>
        <v>788635</v>
      </c>
      <c r="H1203" s="74">
        <f>H1204</f>
        <v>818794</v>
      </c>
      <c r="I1203" s="74">
        <f>I1204</f>
        <v>825931</v>
      </c>
    </row>
    <row r="1204" spans="1:9" ht="25.5">
      <c r="A1204" s="56" t="s">
        <v>57</v>
      </c>
      <c r="B1204" s="14">
        <v>794</v>
      </c>
      <c r="C1204" s="15" t="s">
        <v>19</v>
      </c>
      <c r="D1204" s="15" t="s">
        <v>71</v>
      </c>
      <c r="E1204" s="15" t="s">
        <v>277</v>
      </c>
      <c r="F1204" s="15" t="s">
        <v>60</v>
      </c>
      <c r="G1204" s="74">
        <v>788635</v>
      </c>
      <c r="H1204" s="74">
        <f>648794+170000</f>
        <v>818794</v>
      </c>
      <c r="I1204" s="74">
        <f>655931+170000</f>
        <v>825931</v>
      </c>
    </row>
    <row r="1205" spans="1:9" ht="25.5">
      <c r="A1205" s="16" t="s">
        <v>36</v>
      </c>
      <c r="B1205" s="14">
        <v>794</v>
      </c>
      <c r="C1205" s="15" t="s">
        <v>19</v>
      </c>
      <c r="D1205" s="15" t="s">
        <v>71</v>
      </c>
      <c r="E1205" s="15" t="s">
        <v>277</v>
      </c>
      <c r="F1205" s="15" t="s">
        <v>37</v>
      </c>
      <c r="G1205" s="74">
        <f>G1206</f>
        <v>692063</v>
      </c>
      <c r="H1205" s="74">
        <f>H1206</f>
        <v>692063</v>
      </c>
      <c r="I1205" s="74">
        <f>I1206</f>
        <v>692063</v>
      </c>
    </row>
    <row r="1206" spans="1:9" ht="25.5">
      <c r="A1206" s="16" t="s">
        <v>38</v>
      </c>
      <c r="B1206" s="14">
        <v>794</v>
      </c>
      <c r="C1206" s="15" t="s">
        <v>19</v>
      </c>
      <c r="D1206" s="15" t="s">
        <v>71</v>
      </c>
      <c r="E1206" s="15" t="s">
        <v>277</v>
      </c>
      <c r="F1206" s="15" t="s">
        <v>39</v>
      </c>
      <c r="G1206" s="74">
        <v>692063</v>
      </c>
      <c r="H1206" s="74">
        <v>692063</v>
      </c>
      <c r="I1206" s="74">
        <v>692063</v>
      </c>
    </row>
    <row r="1207" spans="1:9" s="33" customFormat="1" ht="39" customHeight="1">
      <c r="A1207" s="30" t="s">
        <v>377</v>
      </c>
      <c r="B1207" s="14">
        <v>794</v>
      </c>
      <c r="C1207" s="15" t="s">
        <v>19</v>
      </c>
      <c r="D1207" s="15" t="s">
        <v>168</v>
      </c>
      <c r="E1207" s="15"/>
      <c r="F1207" s="15"/>
      <c r="G1207" s="74">
        <f t="shared" ref="G1207:I1209" si="322">G1208</f>
        <v>1498502.37</v>
      </c>
      <c r="H1207" s="74">
        <f t="shared" si="322"/>
        <v>0</v>
      </c>
      <c r="I1207" s="74">
        <f t="shared" si="322"/>
        <v>0</v>
      </c>
    </row>
    <row r="1208" spans="1:9" s="3" customFormat="1" ht="38.25" hidden="1">
      <c r="A1208" s="16" t="s">
        <v>167</v>
      </c>
      <c r="B1208" s="14">
        <v>794</v>
      </c>
      <c r="C1208" s="15" t="s">
        <v>19</v>
      </c>
      <c r="D1208" s="15" t="s">
        <v>168</v>
      </c>
      <c r="E1208" s="15"/>
      <c r="F1208" s="15"/>
      <c r="G1208" s="74">
        <f t="shared" si="322"/>
        <v>1498502.37</v>
      </c>
      <c r="H1208" s="74">
        <f t="shared" si="322"/>
        <v>0</v>
      </c>
      <c r="I1208" s="74">
        <f t="shared" si="322"/>
        <v>0</v>
      </c>
    </row>
    <row r="1209" spans="1:9" s="46" customFormat="1">
      <c r="A1209" s="16" t="s">
        <v>373</v>
      </c>
      <c r="B1209" s="14">
        <v>794</v>
      </c>
      <c r="C1209" s="15" t="s">
        <v>19</v>
      </c>
      <c r="D1209" s="15" t="s">
        <v>168</v>
      </c>
      <c r="E1209" s="15" t="s">
        <v>271</v>
      </c>
      <c r="F1209" s="15"/>
      <c r="G1209" s="74">
        <f t="shared" si="322"/>
        <v>1498502.37</v>
      </c>
      <c r="H1209" s="74">
        <f t="shared" si="322"/>
        <v>0</v>
      </c>
      <c r="I1209" s="74">
        <f t="shared" si="322"/>
        <v>0</v>
      </c>
    </row>
    <row r="1210" spans="1:9" s="46" customFormat="1" ht="25.5">
      <c r="A1210" s="56" t="s">
        <v>378</v>
      </c>
      <c r="B1210" s="14">
        <v>794</v>
      </c>
      <c r="C1210" s="15" t="s">
        <v>19</v>
      </c>
      <c r="D1210" s="15" t="s">
        <v>168</v>
      </c>
      <c r="E1210" s="15" t="s">
        <v>278</v>
      </c>
      <c r="F1210" s="15"/>
      <c r="G1210" s="74">
        <f>G1211+G1216</f>
        <v>1498502.37</v>
      </c>
      <c r="H1210" s="74">
        <f>H1211+H1216</f>
        <v>0</v>
      </c>
      <c r="I1210" s="74">
        <f>I1211+I1216</f>
        <v>0</v>
      </c>
    </row>
    <row r="1211" spans="1:9" s="46" customFormat="1" ht="25.5">
      <c r="A1211" s="16" t="s">
        <v>78</v>
      </c>
      <c r="B1211" s="14">
        <v>794</v>
      </c>
      <c r="C1211" s="15" t="s">
        <v>19</v>
      </c>
      <c r="D1211" s="15" t="s">
        <v>168</v>
      </c>
      <c r="E1211" s="15" t="s">
        <v>283</v>
      </c>
      <c r="F1211" s="15"/>
      <c r="G1211" s="74">
        <f>G1212+G1214</f>
        <v>1497002.37</v>
      </c>
      <c r="H1211" s="74">
        <f t="shared" ref="H1211:I1211" si="323">H1212+H1214</f>
        <v>0</v>
      </c>
      <c r="I1211" s="74">
        <f t="shared" si="323"/>
        <v>0</v>
      </c>
    </row>
    <row r="1212" spans="1:9" s="3" customFormat="1" ht="63.75">
      <c r="A1212" s="56" t="s">
        <v>56</v>
      </c>
      <c r="B1212" s="14">
        <v>794</v>
      </c>
      <c r="C1212" s="15" t="s">
        <v>19</v>
      </c>
      <c r="D1212" s="15" t="s">
        <v>168</v>
      </c>
      <c r="E1212" s="15" t="s">
        <v>283</v>
      </c>
      <c r="F1212" s="15" t="s">
        <v>59</v>
      </c>
      <c r="G1212" s="74">
        <f>G1213</f>
        <v>1481237.37</v>
      </c>
      <c r="H1212" s="74">
        <f>H1213</f>
        <v>0</v>
      </c>
      <c r="I1212" s="74">
        <f>I1213</f>
        <v>0</v>
      </c>
    </row>
    <row r="1213" spans="1:9" s="3" customFormat="1" ht="25.5">
      <c r="A1213" s="56" t="s">
        <v>57</v>
      </c>
      <c r="B1213" s="14">
        <v>794</v>
      </c>
      <c r="C1213" s="15" t="s">
        <v>19</v>
      </c>
      <c r="D1213" s="15" t="s">
        <v>168</v>
      </c>
      <c r="E1213" s="15" t="s">
        <v>283</v>
      </c>
      <c r="F1213" s="15" t="s">
        <v>60</v>
      </c>
      <c r="G1213" s="74">
        <f>1917379-436141.63</f>
        <v>1481237.37</v>
      </c>
      <c r="H1213" s="74">
        <f>1878821+69000-1947821</f>
        <v>0</v>
      </c>
      <c r="I1213" s="74">
        <f>1899488+69000-1968488</f>
        <v>0</v>
      </c>
    </row>
    <row r="1214" spans="1:9" s="3" customFormat="1" ht="25.5">
      <c r="A1214" s="16" t="s">
        <v>36</v>
      </c>
      <c r="B1214" s="14">
        <v>794</v>
      </c>
      <c r="C1214" s="15" t="s">
        <v>19</v>
      </c>
      <c r="D1214" s="15" t="s">
        <v>168</v>
      </c>
      <c r="E1214" s="15" t="s">
        <v>283</v>
      </c>
      <c r="F1214" s="15" t="s">
        <v>37</v>
      </c>
      <c r="G1214" s="74">
        <f>G1215</f>
        <v>15765</v>
      </c>
      <c r="H1214" s="74">
        <f>H1215</f>
        <v>0</v>
      </c>
      <c r="I1214" s="74">
        <f>I1215</f>
        <v>0</v>
      </c>
    </row>
    <row r="1215" spans="1:9" s="3" customFormat="1" ht="25.5">
      <c r="A1215" s="16" t="s">
        <v>38</v>
      </c>
      <c r="B1215" s="14">
        <v>794</v>
      </c>
      <c r="C1215" s="15" t="s">
        <v>19</v>
      </c>
      <c r="D1215" s="15" t="s">
        <v>168</v>
      </c>
      <c r="E1215" s="15" t="s">
        <v>283</v>
      </c>
      <c r="F1215" s="15" t="s">
        <v>39</v>
      </c>
      <c r="G1215" s="74">
        <f>57500-41735</f>
        <v>15765</v>
      </c>
      <c r="H1215" s="74">
        <f>57500-57500</f>
        <v>0</v>
      </c>
      <c r="I1215" s="74">
        <f>57500-57500</f>
        <v>0</v>
      </c>
    </row>
    <row r="1216" spans="1:9" s="3" customFormat="1" ht="66" customHeight="1">
      <c r="A1216" s="30" t="s">
        <v>146</v>
      </c>
      <c r="B1216" s="14">
        <v>794</v>
      </c>
      <c r="C1216" s="15" t="s">
        <v>19</v>
      </c>
      <c r="D1216" s="15" t="s">
        <v>168</v>
      </c>
      <c r="E1216" s="15" t="s">
        <v>284</v>
      </c>
      <c r="F1216" s="15"/>
      <c r="G1216" s="74">
        <f t="shared" ref="G1216:I1217" si="324">G1217</f>
        <v>1500</v>
      </c>
      <c r="H1216" s="74">
        <f t="shared" si="324"/>
        <v>0</v>
      </c>
      <c r="I1216" s="74">
        <f t="shared" si="324"/>
        <v>0</v>
      </c>
    </row>
    <row r="1217" spans="1:16" s="3" customFormat="1" ht="25.5">
      <c r="A1217" s="16" t="s">
        <v>36</v>
      </c>
      <c r="B1217" s="14">
        <v>794</v>
      </c>
      <c r="C1217" s="15" t="s">
        <v>19</v>
      </c>
      <c r="D1217" s="15" t="s">
        <v>168</v>
      </c>
      <c r="E1217" s="15" t="s">
        <v>284</v>
      </c>
      <c r="F1217" s="15" t="s">
        <v>37</v>
      </c>
      <c r="G1217" s="74">
        <f t="shared" si="324"/>
        <v>1500</v>
      </c>
      <c r="H1217" s="74">
        <f t="shared" si="324"/>
        <v>0</v>
      </c>
      <c r="I1217" s="74">
        <f t="shared" si="324"/>
        <v>0</v>
      </c>
    </row>
    <row r="1218" spans="1:16" s="3" customFormat="1" ht="25.5">
      <c r="A1218" s="16" t="s">
        <v>38</v>
      </c>
      <c r="B1218" s="14">
        <v>794</v>
      </c>
      <c r="C1218" s="15" t="s">
        <v>19</v>
      </c>
      <c r="D1218" s="15" t="s">
        <v>168</v>
      </c>
      <c r="E1218" s="15" t="s">
        <v>284</v>
      </c>
      <c r="F1218" s="15" t="s">
        <v>39</v>
      </c>
      <c r="G1218" s="74">
        <f>68129-66629</f>
        <v>1500</v>
      </c>
      <c r="H1218" s="74">
        <v>0</v>
      </c>
      <c r="I1218" s="74">
        <v>0</v>
      </c>
    </row>
    <row r="1219" spans="1:16" s="184" customFormat="1">
      <c r="A1219" s="173" t="s">
        <v>75</v>
      </c>
      <c r="B1219" s="170"/>
      <c r="C1219" s="171"/>
      <c r="D1219" s="171"/>
      <c r="E1219" s="171"/>
      <c r="F1219" s="171"/>
      <c r="G1219" s="172">
        <f>G1190</f>
        <v>4685270.37</v>
      </c>
      <c r="H1219" s="172">
        <f>H1190</f>
        <v>3229735.95</v>
      </c>
      <c r="I1219" s="172">
        <f>I1190</f>
        <v>3249822.7984499997</v>
      </c>
    </row>
    <row r="1220" spans="1:16" s="184" customFormat="1" ht="38.25">
      <c r="A1220" s="98" t="s">
        <v>415</v>
      </c>
      <c r="B1220" s="99">
        <v>795</v>
      </c>
      <c r="C1220" s="100"/>
      <c r="D1220" s="100"/>
      <c r="E1220" s="100"/>
      <c r="F1220" s="100"/>
      <c r="G1220" s="101"/>
      <c r="H1220" s="101"/>
      <c r="I1220" s="101"/>
    </row>
    <row r="1221" spans="1:16">
      <c r="A1221" s="5" t="s">
        <v>18</v>
      </c>
      <c r="B1221" s="19">
        <v>795</v>
      </c>
      <c r="C1221" s="7" t="s">
        <v>19</v>
      </c>
      <c r="D1221" s="7"/>
      <c r="E1221" s="7"/>
      <c r="F1221" s="7"/>
      <c r="G1221" s="38">
        <f>G1222</f>
        <v>17117</v>
      </c>
      <c r="H1221" s="38">
        <f t="shared" ref="H1221:I1221" si="325">H1222</f>
        <v>0</v>
      </c>
      <c r="I1221" s="38">
        <f t="shared" si="325"/>
        <v>0</v>
      </c>
    </row>
    <row r="1222" spans="1:16">
      <c r="A1222" s="40" t="s">
        <v>22</v>
      </c>
      <c r="B1222" s="14">
        <v>795</v>
      </c>
      <c r="C1222" s="15" t="s">
        <v>19</v>
      </c>
      <c r="D1222" s="15" t="s">
        <v>23</v>
      </c>
      <c r="E1222" s="15"/>
      <c r="F1222" s="15"/>
      <c r="G1222" s="74">
        <f>G1223</f>
        <v>17117</v>
      </c>
      <c r="H1222" s="74">
        <f t="shared" ref="H1222:I1222" si="326">H1223</f>
        <v>0</v>
      </c>
      <c r="I1222" s="74">
        <f t="shared" si="326"/>
        <v>0</v>
      </c>
    </row>
    <row r="1223" spans="1:16" ht="25.5" customHeight="1">
      <c r="A1223" s="16" t="s">
        <v>171</v>
      </c>
      <c r="B1223" s="49">
        <v>795</v>
      </c>
      <c r="C1223" s="15" t="s">
        <v>19</v>
      </c>
      <c r="D1223" s="15" t="s">
        <v>23</v>
      </c>
      <c r="E1223" s="15" t="s">
        <v>217</v>
      </c>
      <c r="F1223" s="15"/>
      <c r="G1223" s="74">
        <f t="shared" ref="G1223:I1224" si="327">G1224</f>
        <v>17117</v>
      </c>
      <c r="H1223" s="74">
        <f t="shared" si="327"/>
        <v>0</v>
      </c>
      <c r="I1223" s="74">
        <f t="shared" si="327"/>
        <v>0</v>
      </c>
    </row>
    <row r="1224" spans="1:16" ht="27" customHeight="1">
      <c r="A1224" s="16" t="s">
        <v>419</v>
      </c>
      <c r="B1224" s="49">
        <v>795</v>
      </c>
      <c r="C1224" s="15" t="s">
        <v>19</v>
      </c>
      <c r="D1224" s="15" t="s">
        <v>23</v>
      </c>
      <c r="E1224" s="15" t="s">
        <v>418</v>
      </c>
      <c r="F1224" s="15"/>
      <c r="G1224" s="74">
        <f t="shared" si="327"/>
        <v>17117</v>
      </c>
      <c r="H1224" s="74">
        <f t="shared" si="327"/>
        <v>0</v>
      </c>
      <c r="I1224" s="74">
        <f t="shared" si="327"/>
        <v>0</v>
      </c>
    </row>
    <row r="1225" spans="1:16" ht="19.5" customHeight="1">
      <c r="A1225" s="16" t="s">
        <v>64</v>
      </c>
      <c r="B1225" s="49">
        <v>795</v>
      </c>
      <c r="C1225" s="15" t="s">
        <v>19</v>
      </c>
      <c r="D1225" s="15" t="s">
        <v>23</v>
      </c>
      <c r="E1225" s="15" t="s">
        <v>418</v>
      </c>
      <c r="F1225" s="15" t="s">
        <v>65</v>
      </c>
      <c r="G1225" s="74">
        <f>G1226</f>
        <v>17117</v>
      </c>
      <c r="H1225" s="74">
        <v>0</v>
      </c>
      <c r="I1225" s="74">
        <v>0</v>
      </c>
    </row>
    <row r="1226" spans="1:16" ht="18.75" customHeight="1">
      <c r="A1226" s="16" t="s">
        <v>339</v>
      </c>
      <c r="B1226" s="49">
        <v>795</v>
      </c>
      <c r="C1226" s="15" t="s">
        <v>19</v>
      </c>
      <c r="D1226" s="15" t="s">
        <v>23</v>
      </c>
      <c r="E1226" s="15" t="s">
        <v>418</v>
      </c>
      <c r="F1226" s="15" t="s">
        <v>338</v>
      </c>
      <c r="G1226" s="74">
        <f>5281+11836</f>
        <v>17117</v>
      </c>
      <c r="H1226" s="74">
        <v>0</v>
      </c>
      <c r="I1226" s="74">
        <v>0</v>
      </c>
    </row>
    <row r="1227" spans="1:16" s="22" customFormat="1">
      <c r="A1227" s="11" t="s">
        <v>88</v>
      </c>
      <c r="B1227" s="19">
        <v>795</v>
      </c>
      <c r="C1227" s="20" t="s">
        <v>55</v>
      </c>
      <c r="D1227" s="20"/>
      <c r="E1227" s="20"/>
      <c r="F1227" s="20"/>
      <c r="G1227" s="12">
        <f>G1313+G1228</f>
        <v>52689926.950000003</v>
      </c>
      <c r="H1227" s="12">
        <f>H1313+H1228</f>
        <v>234615981</v>
      </c>
      <c r="I1227" s="12">
        <f>I1313+I1228</f>
        <v>12522838</v>
      </c>
    </row>
    <row r="1228" spans="1:16" s="3" customFormat="1">
      <c r="A1228" s="81" t="s">
        <v>179</v>
      </c>
      <c r="B1228" s="19">
        <v>795</v>
      </c>
      <c r="C1228" s="36" t="s">
        <v>55</v>
      </c>
      <c r="D1228" s="36" t="s">
        <v>127</v>
      </c>
      <c r="E1228" s="36"/>
      <c r="F1228" s="36"/>
      <c r="G1228" s="75">
        <f>G1229+G1297+G1304+G1307</f>
        <v>41118481.950000003</v>
      </c>
      <c r="H1228" s="75">
        <f>H1229+H1297+H1301</f>
        <v>222222222</v>
      </c>
      <c r="I1228" s="75">
        <f>I1229+I1297</f>
        <v>0</v>
      </c>
    </row>
    <row r="1229" spans="1:16" s="18" customFormat="1" ht="27" customHeight="1">
      <c r="A1229" s="16" t="s">
        <v>508</v>
      </c>
      <c r="B1229" s="49">
        <v>795</v>
      </c>
      <c r="C1229" s="15" t="s">
        <v>55</v>
      </c>
      <c r="D1229" s="15" t="s">
        <v>127</v>
      </c>
      <c r="E1229" s="15" t="s">
        <v>242</v>
      </c>
      <c r="F1229" s="15"/>
      <c r="G1229" s="74">
        <f>G1230+G1258+G1285+G1279</f>
        <v>37968481.950000003</v>
      </c>
      <c r="H1229" s="74">
        <f t="shared" ref="H1229:N1229" si="328">H1230+H1258+H1285+H1279</f>
        <v>0</v>
      </c>
      <c r="I1229" s="74">
        <f t="shared" si="328"/>
        <v>0</v>
      </c>
      <c r="J1229" s="74">
        <f t="shared" si="328"/>
        <v>0</v>
      </c>
      <c r="K1229" s="74">
        <f t="shared" si="328"/>
        <v>0</v>
      </c>
      <c r="L1229" s="74">
        <f t="shared" si="328"/>
        <v>0</v>
      </c>
      <c r="M1229" s="74">
        <f t="shared" si="328"/>
        <v>0</v>
      </c>
      <c r="N1229" s="74">
        <f t="shared" si="328"/>
        <v>0</v>
      </c>
      <c r="P1229" s="17"/>
    </row>
    <row r="1230" spans="1:16" s="18" customFormat="1" ht="75" customHeight="1">
      <c r="A1230" s="50" t="s">
        <v>400</v>
      </c>
      <c r="B1230" s="49">
        <v>795</v>
      </c>
      <c r="C1230" s="15" t="s">
        <v>55</v>
      </c>
      <c r="D1230" s="15" t="s">
        <v>127</v>
      </c>
      <c r="E1230" s="15" t="s">
        <v>105</v>
      </c>
      <c r="F1230" s="15"/>
      <c r="G1230" s="74">
        <f>G1234+G1237+G1248+G1243+G1240+G1255+G1231</f>
        <v>13754024.530000001</v>
      </c>
      <c r="H1230" s="74">
        <f t="shared" ref="H1230" si="329">H1234+H1237+H1248+H1243+H1240+H1255+H1231</f>
        <v>0</v>
      </c>
      <c r="I1230" s="74">
        <f>I1234+I1237+I1248+I1243+I1240+I1255+I1231</f>
        <v>0</v>
      </c>
      <c r="P1230" s="17"/>
    </row>
    <row r="1231" spans="1:16" s="18" customFormat="1" ht="76.5" customHeight="1">
      <c r="A1231" s="50" t="s">
        <v>693</v>
      </c>
      <c r="B1231" s="49">
        <v>795</v>
      </c>
      <c r="C1231" s="15" t="s">
        <v>55</v>
      </c>
      <c r="D1231" s="15" t="s">
        <v>127</v>
      </c>
      <c r="E1231" s="15" t="s">
        <v>692</v>
      </c>
      <c r="F1231" s="15"/>
      <c r="G1231" s="74">
        <f t="shared" ref="G1231:I1232" si="330">G1232</f>
        <v>360809</v>
      </c>
      <c r="H1231" s="74">
        <f t="shared" si="330"/>
        <v>0</v>
      </c>
      <c r="I1231" s="74">
        <f t="shared" si="330"/>
        <v>0</v>
      </c>
    </row>
    <row r="1232" spans="1:16" s="18" customFormat="1" ht="15" customHeight="1">
      <c r="A1232" s="16" t="s">
        <v>334</v>
      </c>
      <c r="B1232" s="49">
        <v>795</v>
      </c>
      <c r="C1232" s="15" t="s">
        <v>55</v>
      </c>
      <c r="D1232" s="15" t="s">
        <v>127</v>
      </c>
      <c r="E1232" s="15" t="s">
        <v>692</v>
      </c>
      <c r="F1232" s="15" t="s">
        <v>37</v>
      </c>
      <c r="G1232" s="74">
        <f t="shared" si="330"/>
        <v>360809</v>
      </c>
      <c r="H1232" s="74">
        <f t="shared" si="330"/>
        <v>0</v>
      </c>
      <c r="I1232" s="74">
        <f t="shared" si="330"/>
        <v>0</v>
      </c>
    </row>
    <row r="1233" spans="1:12" s="18" customFormat="1" ht="32.25" customHeight="1">
      <c r="A1233" s="16" t="s">
        <v>38</v>
      </c>
      <c r="B1233" s="49">
        <v>795</v>
      </c>
      <c r="C1233" s="15" t="s">
        <v>55</v>
      </c>
      <c r="D1233" s="15" t="s">
        <v>127</v>
      </c>
      <c r="E1233" s="15" t="s">
        <v>692</v>
      </c>
      <c r="F1233" s="15" t="s">
        <v>39</v>
      </c>
      <c r="G1233" s="74">
        <f>2268833-600000-1308024</f>
        <v>360809</v>
      </c>
      <c r="H1233" s="74">
        <f>5294722-5294722</f>
        <v>0</v>
      </c>
      <c r="I1233" s="74">
        <f>5658986-5658986</f>
        <v>0</v>
      </c>
      <c r="J1233" s="18" t="s">
        <v>482</v>
      </c>
      <c r="L1233" s="18">
        <v>26808448</v>
      </c>
    </row>
    <row r="1234" spans="1:12" s="18" customFormat="1" ht="41.25" customHeight="1">
      <c r="A1234" s="50" t="s">
        <v>401</v>
      </c>
      <c r="B1234" s="49">
        <v>795</v>
      </c>
      <c r="C1234" s="15" t="s">
        <v>55</v>
      </c>
      <c r="D1234" s="15" t="s">
        <v>127</v>
      </c>
      <c r="E1234" s="15" t="s">
        <v>106</v>
      </c>
      <c r="F1234" s="15"/>
      <c r="G1234" s="74">
        <f t="shared" ref="G1234:I1235" si="331">G1235</f>
        <v>3793628.7199999997</v>
      </c>
      <c r="H1234" s="74">
        <f t="shared" si="331"/>
        <v>0</v>
      </c>
      <c r="I1234" s="74">
        <f t="shared" si="331"/>
        <v>0</v>
      </c>
    </row>
    <row r="1235" spans="1:12" s="18" customFormat="1" ht="15" customHeight="1">
      <c r="A1235" s="16" t="s">
        <v>334</v>
      </c>
      <c r="B1235" s="49">
        <v>795</v>
      </c>
      <c r="C1235" s="15" t="s">
        <v>55</v>
      </c>
      <c r="D1235" s="15" t="s">
        <v>127</v>
      </c>
      <c r="E1235" s="15" t="s">
        <v>106</v>
      </c>
      <c r="F1235" s="15" t="s">
        <v>37</v>
      </c>
      <c r="G1235" s="74">
        <f t="shared" si="331"/>
        <v>3793628.7199999997</v>
      </c>
      <c r="H1235" s="74">
        <f t="shared" si="331"/>
        <v>0</v>
      </c>
      <c r="I1235" s="74">
        <f t="shared" si="331"/>
        <v>0</v>
      </c>
    </row>
    <row r="1236" spans="1:12" s="18" customFormat="1" ht="32.25" customHeight="1">
      <c r="A1236" s="16" t="s">
        <v>38</v>
      </c>
      <c r="B1236" s="49">
        <v>795</v>
      </c>
      <c r="C1236" s="15" t="s">
        <v>55</v>
      </c>
      <c r="D1236" s="15" t="s">
        <v>127</v>
      </c>
      <c r="E1236" s="15" t="s">
        <v>106</v>
      </c>
      <c r="F1236" s="15" t="s">
        <v>39</v>
      </c>
      <c r="G1236" s="74">
        <f>3505868-600000+553437.92-1073701.2+1308024+100000</f>
        <v>3793628.7199999997</v>
      </c>
      <c r="H1236" s="74">
        <f>2294836+6666045-8960881</f>
        <v>0</v>
      </c>
      <c r="I1236" s="74">
        <f>2444712+7101393-9546105</f>
        <v>0</v>
      </c>
      <c r="J1236" s="18" t="s">
        <v>482</v>
      </c>
      <c r="L1236" s="18">
        <v>26808448</v>
      </c>
    </row>
    <row r="1237" spans="1:12" ht="63" customHeight="1">
      <c r="A1237" s="201" t="s">
        <v>400</v>
      </c>
      <c r="B1237" s="49">
        <v>795</v>
      </c>
      <c r="C1237" s="15" t="s">
        <v>55</v>
      </c>
      <c r="D1237" s="15" t="s">
        <v>127</v>
      </c>
      <c r="E1237" s="15" t="s">
        <v>137</v>
      </c>
      <c r="F1237" s="15"/>
      <c r="G1237" s="74">
        <f>G1238</f>
        <v>4672076.08</v>
      </c>
      <c r="H1237" s="74">
        <f t="shared" ref="H1237:I1237" si="332">H1238</f>
        <v>0</v>
      </c>
      <c r="I1237" s="74">
        <f t="shared" si="332"/>
        <v>0</v>
      </c>
      <c r="L1237" s="2" t="e">
        <f>#REF!+G1236+G1239</f>
        <v>#REF!</v>
      </c>
    </row>
    <row r="1238" spans="1:12" ht="15" customHeight="1">
      <c r="A1238" s="86" t="s">
        <v>163</v>
      </c>
      <c r="B1238" s="49">
        <v>795</v>
      </c>
      <c r="C1238" s="15" t="s">
        <v>55</v>
      </c>
      <c r="D1238" s="15" t="s">
        <v>127</v>
      </c>
      <c r="E1238" s="15" t="s">
        <v>135</v>
      </c>
      <c r="F1238" s="15" t="s">
        <v>164</v>
      </c>
      <c r="G1238" s="74">
        <f>G1239</f>
        <v>4672076.08</v>
      </c>
      <c r="H1238" s="74">
        <f>H1239</f>
        <v>0</v>
      </c>
      <c r="I1238" s="74">
        <f>I1239</f>
        <v>0</v>
      </c>
    </row>
    <row r="1239" spans="1:12" ht="15" customHeight="1">
      <c r="A1239" s="86" t="s">
        <v>185</v>
      </c>
      <c r="B1239" s="49">
        <v>795</v>
      </c>
      <c r="C1239" s="15" t="s">
        <v>55</v>
      </c>
      <c r="D1239" s="15" t="s">
        <v>127</v>
      </c>
      <c r="E1239" s="15" t="s">
        <v>135</v>
      </c>
      <c r="F1239" s="15" t="s">
        <v>186</v>
      </c>
      <c r="G1239" s="74">
        <f>6015514-420000-553437.92-300000-70000</f>
        <v>4672076.08</v>
      </c>
      <c r="H1239" s="74">
        <v>0</v>
      </c>
      <c r="I1239" s="74">
        <v>0</v>
      </c>
    </row>
    <row r="1240" spans="1:12" ht="81.75" hidden="1" customHeight="1">
      <c r="A1240" s="201" t="s">
        <v>435</v>
      </c>
      <c r="B1240" s="49">
        <v>795</v>
      </c>
      <c r="C1240" s="15" t="s">
        <v>55</v>
      </c>
      <c r="D1240" s="15" t="s">
        <v>127</v>
      </c>
      <c r="E1240" s="15" t="s">
        <v>138</v>
      </c>
      <c r="F1240" s="15"/>
      <c r="G1240" s="74">
        <f>G1241</f>
        <v>0</v>
      </c>
      <c r="H1240" s="74">
        <v>0</v>
      </c>
      <c r="I1240" s="74">
        <v>0</v>
      </c>
    </row>
    <row r="1241" spans="1:12" ht="24" hidden="1" customHeight="1">
      <c r="A1241" s="86" t="s">
        <v>334</v>
      </c>
      <c r="B1241" s="49">
        <v>795</v>
      </c>
      <c r="C1241" s="15" t="s">
        <v>55</v>
      </c>
      <c r="D1241" s="15" t="s">
        <v>127</v>
      </c>
      <c r="E1241" s="15" t="s">
        <v>136</v>
      </c>
      <c r="F1241" s="15" t="s">
        <v>37</v>
      </c>
      <c r="G1241" s="74">
        <f>G1242</f>
        <v>0</v>
      </c>
      <c r="H1241" s="74">
        <v>0</v>
      </c>
      <c r="I1241" s="74">
        <v>0</v>
      </c>
    </row>
    <row r="1242" spans="1:12" ht="41.25" hidden="1" customHeight="1">
      <c r="A1242" s="16" t="s">
        <v>38</v>
      </c>
      <c r="B1242" s="49">
        <v>795</v>
      </c>
      <c r="C1242" s="15" t="s">
        <v>55</v>
      </c>
      <c r="D1242" s="15" t="s">
        <v>127</v>
      </c>
      <c r="E1242" s="15" t="s">
        <v>136</v>
      </c>
      <c r="F1242" s="15" t="s">
        <v>39</v>
      </c>
      <c r="G1242" s="74"/>
      <c r="H1242" s="74">
        <v>0</v>
      </c>
      <c r="I1242" s="74">
        <v>0</v>
      </c>
    </row>
    <row r="1243" spans="1:12" ht="78" customHeight="1">
      <c r="A1243" s="50" t="s">
        <v>551</v>
      </c>
      <c r="B1243" s="49">
        <v>795</v>
      </c>
      <c r="C1243" s="15" t="s">
        <v>55</v>
      </c>
      <c r="D1243" s="15" t="s">
        <v>127</v>
      </c>
      <c r="E1243" s="15" t="s">
        <v>550</v>
      </c>
      <c r="F1243" s="15"/>
      <c r="G1243" s="74">
        <f>G1244+G1246</f>
        <v>4563626.29</v>
      </c>
      <c r="H1243" s="74">
        <v>0</v>
      </c>
      <c r="I1243" s="74">
        <v>0</v>
      </c>
    </row>
    <row r="1244" spans="1:12" ht="18" hidden="1" customHeight="1">
      <c r="A1244" s="16" t="s">
        <v>334</v>
      </c>
      <c r="B1244" s="49">
        <v>795</v>
      </c>
      <c r="C1244" s="15" t="s">
        <v>55</v>
      </c>
      <c r="D1244" s="15" t="s">
        <v>127</v>
      </c>
      <c r="E1244" s="15" t="s">
        <v>549</v>
      </c>
      <c r="F1244" s="15" t="s">
        <v>37</v>
      </c>
      <c r="G1244" s="74">
        <f>G1245</f>
        <v>0</v>
      </c>
      <c r="H1244" s="74">
        <v>0</v>
      </c>
      <c r="I1244" s="74">
        <v>0</v>
      </c>
    </row>
    <row r="1245" spans="1:12" ht="27.75" hidden="1" customHeight="1">
      <c r="A1245" s="16" t="s">
        <v>38</v>
      </c>
      <c r="B1245" s="49">
        <v>795</v>
      </c>
      <c r="C1245" s="15" t="s">
        <v>55</v>
      </c>
      <c r="D1245" s="15" t="s">
        <v>127</v>
      </c>
      <c r="E1245" s="15" t="s">
        <v>549</v>
      </c>
      <c r="F1245" s="15" t="s">
        <v>39</v>
      </c>
      <c r="G1245" s="74"/>
      <c r="H1245" s="74">
        <v>0</v>
      </c>
      <c r="I1245" s="74">
        <v>0</v>
      </c>
    </row>
    <row r="1246" spans="1:12" ht="36.75" customHeight="1">
      <c r="A1246" s="16" t="s">
        <v>99</v>
      </c>
      <c r="B1246" s="49">
        <v>795</v>
      </c>
      <c r="C1246" s="15" t="s">
        <v>55</v>
      </c>
      <c r="D1246" s="15" t="s">
        <v>127</v>
      </c>
      <c r="E1246" s="15" t="s">
        <v>549</v>
      </c>
      <c r="F1246" s="15" t="s">
        <v>359</v>
      </c>
      <c r="G1246" s="74">
        <f>G1247</f>
        <v>4563626.29</v>
      </c>
      <c r="H1246" s="74">
        <v>0</v>
      </c>
      <c r="I1246" s="74">
        <v>0</v>
      </c>
    </row>
    <row r="1247" spans="1:12" ht="27.75" customHeight="1">
      <c r="A1247" s="16" t="s">
        <v>360</v>
      </c>
      <c r="B1247" s="49">
        <v>795</v>
      </c>
      <c r="C1247" s="15" t="s">
        <v>55</v>
      </c>
      <c r="D1247" s="15" t="s">
        <v>127</v>
      </c>
      <c r="E1247" s="15" t="s">
        <v>549</v>
      </c>
      <c r="F1247" s="15" t="s">
        <v>361</v>
      </c>
      <c r="G1247" s="74">
        <v>4563626.29</v>
      </c>
      <c r="H1247" s="74">
        <v>0</v>
      </c>
      <c r="I1247" s="74">
        <v>0</v>
      </c>
    </row>
    <row r="1248" spans="1:12" s="18" customFormat="1" ht="62.25" customHeight="1">
      <c r="A1248" s="16" t="s">
        <v>548</v>
      </c>
      <c r="B1248" s="49">
        <v>795</v>
      </c>
      <c r="C1248" s="15" t="s">
        <v>55</v>
      </c>
      <c r="D1248" s="15" t="s">
        <v>127</v>
      </c>
      <c r="E1248" s="15" t="s">
        <v>194</v>
      </c>
      <c r="F1248" s="15"/>
      <c r="G1248" s="74">
        <f>G1249+G1253+G1252</f>
        <v>363884.44</v>
      </c>
      <c r="H1248" s="74">
        <v>0</v>
      </c>
      <c r="I1248" s="74">
        <v>0</v>
      </c>
    </row>
    <row r="1249" spans="1:12" s="18" customFormat="1" ht="32.25" hidden="1" customHeight="1">
      <c r="A1249" s="16" t="s">
        <v>334</v>
      </c>
      <c r="B1249" s="49">
        <v>795</v>
      </c>
      <c r="C1249" s="15" t="s">
        <v>55</v>
      </c>
      <c r="D1249" s="15" t="s">
        <v>127</v>
      </c>
      <c r="E1249" s="15" t="s">
        <v>194</v>
      </c>
      <c r="F1249" s="15" t="s">
        <v>37</v>
      </c>
      <c r="G1249" s="74">
        <f>G1250</f>
        <v>0</v>
      </c>
      <c r="H1249" s="74">
        <v>0</v>
      </c>
      <c r="I1249" s="74">
        <v>0</v>
      </c>
    </row>
    <row r="1250" spans="1:12" s="18" customFormat="1" ht="32.25" hidden="1" customHeight="1">
      <c r="A1250" s="16" t="s">
        <v>38</v>
      </c>
      <c r="B1250" s="49">
        <v>795</v>
      </c>
      <c r="C1250" s="15" t="s">
        <v>55</v>
      </c>
      <c r="D1250" s="15" t="s">
        <v>127</v>
      </c>
      <c r="E1250" s="15" t="s">
        <v>194</v>
      </c>
      <c r="F1250" s="15" t="s">
        <v>39</v>
      </c>
      <c r="G1250" s="74"/>
      <c r="H1250" s="74">
        <v>0</v>
      </c>
      <c r="I1250" s="74">
        <v>0</v>
      </c>
    </row>
    <row r="1251" spans="1:12" ht="18" customHeight="1">
      <c r="A1251" s="16" t="s">
        <v>334</v>
      </c>
      <c r="B1251" s="49">
        <v>795</v>
      </c>
      <c r="C1251" s="15" t="s">
        <v>55</v>
      </c>
      <c r="D1251" s="15" t="s">
        <v>127</v>
      </c>
      <c r="E1251" s="15" t="s">
        <v>194</v>
      </c>
      <c r="F1251" s="15" t="s">
        <v>37</v>
      </c>
      <c r="G1251" s="74">
        <f>G1252</f>
        <v>164748</v>
      </c>
      <c r="H1251" s="74">
        <v>0</v>
      </c>
      <c r="I1251" s="74">
        <v>0</v>
      </c>
    </row>
    <row r="1252" spans="1:12" ht="29.25" customHeight="1">
      <c r="A1252" s="16" t="s">
        <v>38</v>
      </c>
      <c r="B1252" s="49">
        <v>795</v>
      </c>
      <c r="C1252" s="15" t="s">
        <v>55</v>
      </c>
      <c r="D1252" s="15" t="s">
        <v>127</v>
      </c>
      <c r="E1252" s="15" t="s">
        <v>194</v>
      </c>
      <c r="F1252" s="15" t="s">
        <v>39</v>
      </c>
      <c r="G1252" s="74">
        <v>164748</v>
      </c>
      <c r="H1252" s="74">
        <v>0</v>
      </c>
      <c r="I1252" s="74">
        <v>0</v>
      </c>
    </row>
    <row r="1253" spans="1:12" ht="18" customHeight="1">
      <c r="A1253" s="16" t="s">
        <v>163</v>
      </c>
      <c r="B1253" s="49">
        <v>795</v>
      </c>
      <c r="C1253" s="15" t="s">
        <v>55</v>
      </c>
      <c r="D1253" s="15" t="s">
        <v>127</v>
      </c>
      <c r="E1253" s="15" t="s">
        <v>194</v>
      </c>
      <c r="F1253" s="15" t="s">
        <v>164</v>
      </c>
      <c r="G1253" s="74">
        <f>G1254</f>
        <v>199136.44</v>
      </c>
      <c r="H1253" s="74">
        <v>0</v>
      </c>
      <c r="I1253" s="74">
        <v>0</v>
      </c>
    </row>
    <row r="1254" spans="1:12" ht="15" customHeight="1">
      <c r="A1254" s="16" t="s">
        <v>185</v>
      </c>
      <c r="B1254" s="49">
        <v>795</v>
      </c>
      <c r="C1254" s="15" t="s">
        <v>55</v>
      </c>
      <c r="D1254" s="15" t="s">
        <v>127</v>
      </c>
      <c r="E1254" s="15" t="s">
        <v>194</v>
      </c>
      <c r="F1254" s="15" t="s">
        <v>186</v>
      </c>
      <c r="G1254" s="74">
        <f>199136.44</f>
        <v>199136.44</v>
      </c>
      <c r="H1254" s="74">
        <v>0</v>
      </c>
      <c r="I1254" s="74">
        <v>0</v>
      </c>
    </row>
    <row r="1255" spans="1:12" ht="78" hidden="1" customHeight="1">
      <c r="A1255" s="50" t="s">
        <v>679</v>
      </c>
      <c r="B1255" s="49">
        <v>795</v>
      </c>
      <c r="C1255" s="15" t="s">
        <v>55</v>
      </c>
      <c r="D1255" s="15" t="s">
        <v>127</v>
      </c>
      <c r="E1255" s="15" t="s">
        <v>681</v>
      </c>
      <c r="F1255" s="15"/>
      <c r="G1255" s="74">
        <f>G1256</f>
        <v>0</v>
      </c>
      <c r="H1255" s="74">
        <v>0</v>
      </c>
      <c r="I1255" s="74">
        <v>0</v>
      </c>
    </row>
    <row r="1256" spans="1:12" ht="18" hidden="1" customHeight="1">
      <c r="A1256" s="16" t="s">
        <v>163</v>
      </c>
      <c r="B1256" s="49">
        <v>795</v>
      </c>
      <c r="C1256" s="15" t="s">
        <v>55</v>
      </c>
      <c r="D1256" s="15" t="s">
        <v>127</v>
      </c>
      <c r="E1256" s="15" t="s">
        <v>681</v>
      </c>
      <c r="F1256" s="15" t="s">
        <v>164</v>
      </c>
      <c r="G1256" s="74">
        <f>G1257</f>
        <v>0</v>
      </c>
      <c r="H1256" s="74">
        <v>0</v>
      </c>
      <c r="I1256" s="74">
        <v>0</v>
      </c>
    </row>
    <row r="1257" spans="1:12" ht="27.75" hidden="1" customHeight="1">
      <c r="A1257" s="16" t="s">
        <v>185</v>
      </c>
      <c r="B1257" s="49">
        <v>795</v>
      </c>
      <c r="C1257" s="15" t="s">
        <v>55</v>
      </c>
      <c r="D1257" s="15" t="s">
        <v>127</v>
      </c>
      <c r="E1257" s="15" t="s">
        <v>681</v>
      </c>
      <c r="F1257" s="15" t="s">
        <v>186</v>
      </c>
      <c r="G1257" s="74"/>
      <c r="H1257" s="74">
        <v>0</v>
      </c>
      <c r="I1257" s="74">
        <v>0</v>
      </c>
    </row>
    <row r="1258" spans="1:12" ht="63.75" customHeight="1">
      <c r="A1258" s="86" t="s">
        <v>402</v>
      </c>
      <c r="B1258" s="49">
        <v>795</v>
      </c>
      <c r="C1258" s="15" t="s">
        <v>55</v>
      </c>
      <c r="D1258" s="15" t="s">
        <v>127</v>
      </c>
      <c r="E1258" s="15" t="s">
        <v>109</v>
      </c>
      <c r="F1258" s="15"/>
      <c r="G1258" s="74">
        <f>G1259+G1266+G1276+G1282+G1273</f>
        <v>18124193.419999998</v>
      </c>
      <c r="H1258" s="74">
        <f t="shared" ref="H1258:I1258" si="333">H1259+H1266+H1276</f>
        <v>0</v>
      </c>
      <c r="I1258" s="74">
        <f t="shared" si="333"/>
        <v>0</v>
      </c>
      <c r="L1258" s="2">
        <f>H1236+H1239+H1263</f>
        <v>0</v>
      </c>
    </row>
    <row r="1259" spans="1:12" ht="48.75" customHeight="1">
      <c r="A1259" s="86" t="s">
        <v>403</v>
      </c>
      <c r="B1259" s="49">
        <v>795</v>
      </c>
      <c r="C1259" s="15" t="s">
        <v>55</v>
      </c>
      <c r="D1259" s="15" t="s">
        <v>127</v>
      </c>
      <c r="E1259" s="15" t="s">
        <v>110</v>
      </c>
      <c r="F1259" s="15"/>
      <c r="G1259" s="74">
        <f>G1260+G1262+G1264</f>
        <v>16602436.199999999</v>
      </c>
      <c r="H1259" s="74">
        <f t="shared" ref="H1259:I1259" si="334">H1260+H1262+H1264</f>
        <v>0</v>
      </c>
      <c r="I1259" s="74">
        <f t="shared" si="334"/>
        <v>0</v>
      </c>
      <c r="L1259" s="2">
        <f>I1236+I1239+I1263</f>
        <v>0</v>
      </c>
    </row>
    <row r="1260" spans="1:12" s="18" customFormat="1" ht="15.75" hidden="1" customHeight="1">
      <c r="A1260" s="86" t="s">
        <v>64</v>
      </c>
      <c r="B1260" s="49">
        <v>795</v>
      </c>
      <c r="C1260" s="15" t="s">
        <v>55</v>
      </c>
      <c r="D1260" s="15" t="s">
        <v>127</v>
      </c>
      <c r="E1260" s="15" t="s">
        <v>110</v>
      </c>
      <c r="F1260" s="15" t="s">
        <v>65</v>
      </c>
      <c r="G1260" s="74">
        <f>G1261</f>
        <v>0</v>
      </c>
      <c r="H1260" s="168">
        <v>0</v>
      </c>
      <c r="I1260" s="168">
        <v>0</v>
      </c>
      <c r="J1260" s="164"/>
    </row>
    <row r="1261" spans="1:12" s="18" customFormat="1" ht="15.75" hidden="1" customHeight="1">
      <c r="A1261" s="86" t="s">
        <v>187</v>
      </c>
      <c r="B1261" s="49">
        <v>795</v>
      </c>
      <c r="C1261" s="15" t="s">
        <v>55</v>
      </c>
      <c r="D1261" s="15" t="s">
        <v>127</v>
      </c>
      <c r="E1261" s="15" t="s">
        <v>110</v>
      </c>
      <c r="F1261" s="15" t="s">
        <v>188</v>
      </c>
      <c r="G1261" s="74">
        <f>5198269.13-268287.5-423091+149078.6-4655969.23</f>
        <v>0</v>
      </c>
      <c r="H1261" s="168">
        <v>0</v>
      </c>
      <c r="I1261" s="168">
        <v>0</v>
      </c>
      <c r="J1261" s="164"/>
    </row>
    <row r="1262" spans="1:12" ht="22.5" customHeight="1">
      <c r="A1262" s="86" t="s">
        <v>163</v>
      </c>
      <c r="B1262" s="49">
        <v>795</v>
      </c>
      <c r="C1262" s="15" t="s">
        <v>55</v>
      </c>
      <c r="D1262" s="15" t="s">
        <v>127</v>
      </c>
      <c r="E1262" s="15" t="s">
        <v>110</v>
      </c>
      <c r="F1262" s="15" t="s">
        <v>164</v>
      </c>
      <c r="G1262" s="74">
        <f>G1263</f>
        <v>11161981.66</v>
      </c>
      <c r="H1262" s="74">
        <f>H1263</f>
        <v>0</v>
      </c>
      <c r="I1262" s="74">
        <f>I1263</f>
        <v>0</v>
      </c>
    </row>
    <row r="1263" spans="1:12" ht="16.5" customHeight="1">
      <c r="A1263" s="86" t="s">
        <v>185</v>
      </c>
      <c r="B1263" s="49">
        <v>795</v>
      </c>
      <c r="C1263" s="15" t="s">
        <v>55</v>
      </c>
      <c r="D1263" s="15" t="s">
        <v>127</v>
      </c>
      <c r="E1263" s="15" t="s">
        <v>110</v>
      </c>
      <c r="F1263" s="15" t="s">
        <v>186</v>
      </c>
      <c r="G1263" s="74">
        <f>10715042+420000-343060.34+300000+70000</f>
        <v>11161981.66</v>
      </c>
      <c r="H1263" s="74">
        <v>0</v>
      </c>
      <c r="I1263" s="74">
        <v>0</v>
      </c>
    </row>
    <row r="1264" spans="1:12" ht="22.5" customHeight="1">
      <c r="A1264" s="86" t="s">
        <v>334</v>
      </c>
      <c r="B1264" s="49">
        <v>795</v>
      </c>
      <c r="C1264" s="15" t="s">
        <v>55</v>
      </c>
      <c r="D1264" s="15" t="s">
        <v>127</v>
      </c>
      <c r="E1264" s="15" t="s">
        <v>110</v>
      </c>
      <c r="F1264" s="15" t="s">
        <v>37</v>
      </c>
      <c r="G1264" s="74">
        <f>G1265</f>
        <v>5440454.54</v>
      </c>
      <c r="H1264" s="74">
        <f>H1265</f>
        <v>0</v>
      </c>
      <c r="I1264" s="74">
        <f>I1265</f>
        <v>0</v>
      </c>
    </row>
    <row r="1265" spans="1:12" ht="30.75" customHeight="1">
      <c r="A1265" s="86" t="s">
        <v>38</v>
      </c>
      <c r="B1265" s="49">
        <v>795</v>
      </c>
      <c r="C1265" s="15" t="s">
        <v>55</v>
      </c>
      <c r="D1265" s="15" t="s">
        <v>127</v>
      </c>
      <c r="E1265" s="15" t="s">
        <v>110</v>
      </c>
      <c r="F1265" s="15" t="s">
        <v>39</v>
      </c>
      <c r="G1265" s="74">
        <f>2923693+600000+343060.34+1073701.2+400000+100000</f>
        <v>5440454.54</v>
      </c>
      <c r="H1265" s="74">
        <f>1795859+11645462-13441321</f>
        <v>0</v>
      </c>
      <c r="I1265" s="74">
        <f>1913145+12406012-14319157</f>
        <v>0</v>
      </c>
    </row>
    <row r="1266" spans="1:12" s="18" customFormat="1" ht="65.25" customHeight="1">
      <c r="A1266" s="16" t="s">
        <v>547</v>
      </c>
      <c r="B1266" s="49">
        <v>795</v>
      </c>
      <c r="C1266" s="15" t="s">
        <v>55</v>
      </c>
      <c r="D1266" s="15" t="s">
        <v>127</v>
      </c>
      <c r="E1266" s="15" t="s">
        <v>47</v>
      </c>
      <c r="F1266" s="15"/>
      <c r="G1266" s="74">
        <f>G1267+G1271+G1269</f>
        <v>222763.46999999997</v>
      </c>
      <c r="H1266" s="74">
        <v>0</v>
      </c>
      <c r="I1266" s="74">
        <v>0</v>
      </c>
      <c r="J1266" s="164"/>
    </row>
    <row r="1267" spans="1:12" s="18" customFormat="1" ht="15.75" hidden="1" customHeight="1">
      <c r="A1267" s="16" t="s">
        <v>334</v>
      </c>
      <c r="B1267" s="49">
        <v>795</v>
      </c>
      <c r="C1267" s="15" t="s">
        <v>55</v>
      </c>
      <c r="D1267" s="15" t="s">
        <v>127</v>
      </c>
      <c r="E1267" s="15" t="s">
        <v>47</v>
      </c>
      <c r="F1267" s="15" t="s">
        <v>37</v>
      </c>
      <c r="G1267" s="74">
        <f>G1268</f>
        <v>0</v>
      </c>
      <c r="H1267" s="74">
        <v>0</v>
      </c>
      <c r="I1267" s="74">
        <v>0</v>
      </c>
      <c r="J1267" s="164"/>
    </row>
    <row r="1268" spans="1:12" s="18" customFormat="1" ht="15.75" hidden="1" customHeight="1">
      <c r="A1268" s="16" t="s">
        <v>38</v>
      </c>
      <c r="B1268" s="49">
        <v>795</v>
      </c>
      <c r="C1268" s="15" t="s">
        <v>55</v>
      </c>
      <c r="D1268" s="15" t="s">
        <v>127</v>
      </c>
      <c r="E1268" s="15" t="s">
        <v>47</v>
      </c>
      <c r="F1268" s="15" t="s">
        <v>39</v>
      </c>
      <c r="G1268" s="74"/>
      <c r="H1268" s="74">
        <v>0</v>
      </c>
      <c r="I1268" s="74">
        <v>0</v>
      </c>
      <c r="J1268" s="164"/>
    </row>
    <row r="1269" spans="1:12" ht="22.5" customHeight="1">
      <c r="A1269" s="16" t="s">
        <v>334</v>
      </c>
      <c r="B1269" s="49">
        <v>795</v>
      </c>
      <c r="C1269" s="15" t="s">
        <v>55</v>
      </c>
      <c r="D1269" s="15" t="s">
        <v>127</v>
      </c>
      <c r="E1269" s="15" t="s">
        <v>47</v>
      </c>
      <c r="F1269" s="15" t="s">
        <v>37</v>
      </c>
      <c r="G1269" s="74">
        <f>G1270</f>
        <v>137543.60999999999</v>
      </c>
      <c r="H1269" s="74">
        <v>0</v>
      </c>
      <c r="I1269" s="74">
        <v>0</v>
      </c>
    </row>
    <row r="1270" spans="1:12" ht="16.5" customHeight="1">
      <c r="A1270" s="16" t="s">
        <v>38</v>
      </c>
      <c r="B1270" s="49">
        <v>795</v>
      </c>
      <c r="C1270" s="15" t="s">
        <v>55</v>
      </c>
      <c r="D1270" s="15" t="s">
        <v>127</v>
      </c>
      <c r="E1270" s="15" t="s">
        <v>47</v>
      </c>
      <c r="F1270" s="15" t="s">
        <v>39</v>
      </c>
      <c r="G1270" s="74">
        <v>137543.60999999999</v>
      </c>
      <c r="H1270" s="74">
        <v>0</v>
      </c>
      <c r="I1270" s="74">
        <v>0</v>
      </c>
    </row>
    <row r="1271" spans="1:12" ht="22.5" customHeight="1">
      <c r="A1271" s="16" t="s">
        <v>163</v>
      </c>
      <c r="B1271" s="49">
        <v>795</v>
      </c>
      <c r="C1271" s="15" t="s">
        <v>55</v>
      </c>
      <c r="D1271" s="15" t="s">
        <v>127</v>
      </c>
      <c r="E1271" s="15" t="s">
        <v>47</v>
      </c>
      <c r="F1271" s="15" t="s">
        <v>164</v>
      </c>
      <c r="G1271" s="74">
        <f>G1272</f>
        <v>85219.86</v>
      </c>
      <c r="H1271" s="74">
        <v>0</v>
      </c>
      <c r="I1271" s="74">
        <v>0</v>
      </c>
    </row>
    <row r="1272" spans="1:12" ht="16.5" customHeight="1">
      <c r="A1272" s="16" t="s">
        <v>185</v>
      </c>
      <c r="B1272" s="49">
        <v>795</v>
      </c>
      <c r="C1272" s="15" t="s">
        <v>55</v>
      </c>
      <c r="D1272" s="15" t="s">
        <v>127</v>
      </c>
      <c r="E1272" s="15" t="s">
        <v>47</v>
      </c>
      <c r="F1272" s="15" t="s">
        <v>186</v>
      </c>
      <c r="G1272" s="74">
        <v>85219.86</v>
      </c>
      <c r="H1272" s="74">
        <v>0</v>
      </c>
      <c r="I1272" s="74">
        <v>0</v>
      </c>
    </row>
    <row r="1273" spans="1:12" ht="62.25" customHeight="1">
      <c r="A1273" s="16" t="s">
        <v>739</v>
      </c>
      <c r="B1273" s="49">
        <v>795</v>
      </c>
      <c r="C1273" s="15" t="s">
        <v>55</v>
      </c>
      <c r="D1273" s="15" t="s">
        <v>127</v>
      </c>
      <c r="E1273" s="15" t="s">
        <v>738</v>
      </c>
      <c r="F1273" s="15"/>
      <c r="G1273" s="74">
        <f>G1274</f>
        <v>990230.65</v>
      </c>
      <c r="H1273" s="74">
        <f t="shared" ref="H1273:I1273" si="335">H1274+H1276+H1278</f>
        <v>0</v>
      </c>
      <c r="I1273" s="74">
        <f t="shared" si="335"/>
        <v>0</v>
      </c>
      <c r="L1273" s="2">
        <f>I1248+I1253+I1277</f>
        <v>0</v>
      </c>
    </row>
    <row r="1274" spans="1:12" s="18" customFormat="1" ht="15.75" customHeight="1">
      <c r="A1274" s="16" t="s">
        <v>334</v>
      </c>
      <c r="B1274" s="49">
        <v>795</v>
      </c>
      <c r="C1274" s="15" t="s">
        <v>55</v>
      </c>
      <c r="D1274" s="15" t="s">
        <v>127</v>
      </c>
      <c r="E1274" s="15" t="s">
        <v>738</v>
      </c>
      <c r="F1274" s="15" t="s">
        <v>37</v>
      </c>
      <c r="G1274" s="74">
        <f>G1275</f>
        <v>990230.65</v>
      </c>
      <c r="H1274" s="168">
        <v>0</v>
      </c>
      <c r="I1274" s="168">
        <v>0</v>
      </c>
      <c r="J1274" s="164"/>
    </row>
    <row r="1275" spans="1:12" s="18" customFormat="1" ht="35.25" customHeight="1">
      <c r="A1275" s="16" t="s">
        <v>38</v>
      </c>
      <c r="B1275" s="49">
        <v>795</v>
      </c>
      <c r="C1275" s="15" t="s">
        <v>55</v>
      </c>
      <c r="D1275" s="15" t="s">
        <v>127</v>
      </c>
      <c r="E1275" s="15" t="s">
        <v>738</v>
      </c>
      <c r="F1275" s="15" t="s">
        <v>39</v>
      </c>
      <c r="G1275" s="74">
        <v>990230.65</v>
      </c>
      <c r="H1275" s="168">
        <v>0</v>
      </c>
      <c r="I1275" s="168">
        <v>0</v>
      </c>
      <c r="J1275" s="164"/>
    </row>
    <row r="1276" spans="1:12" ht="68.25" customHeight="1">
      <c r="A1276" s="16" t="s">
        <v>436</v>
      </c>
      <c r="B1276" s="49">
        <v>795</v>
      </c>
      <c r="C1276" s="15" t="s">
        <v>55</v>
      </c>
      <c r="D1276" s="15" t="s">
        <v>127</v>
      </c>
      <c r="E1276" s="15" t="s">
        <v>10</v>
      </c>
      <c r="F1276" s="15"/>
      <c r="G1276" s="74">
        <f>G1277</f>
        <v>308763.09999999998</v>
      </c>
      <c r="H1276" s="74">
        <v>0</v>
      </c>
      <c r="I1276" s="74">
        <v>0</v>
      </c>
    </row>
    <row r="1277" spans="1:12" ht="22.5" customHeight="1">
      <c r="A1277" s="16" t="s">
        <v>163</v>
      </c>
      <c r="B1277" s="49">
        <v>795</v>
      </c>
      <c r="C1277" s="15" t="s">
        <v>55</v>
      </c>
      <c r="D1277" s="15" t="s">
        <v>127</v>
      </c>
      <c r="E1277" s="15" t="s">
        <v>10</v>
      </c>
      <c r="F1277" s="15" t="s">
        <v>164</v>
      </c>
      <c r="G1277" s="74">
        <f>G1278</f>
        <v>308763.09999999998</v>
      </c>
      <c r="H1277" s="74">
        <v>0</v>
      </c>
      <c r="I1277" s="74">
        <v>0</v>
      </c>
    </row>
    <row r="1278" spans="1:12" ht="16.5" customHeight="1">
      <c r="A1278" s="16" t="s">
        <v>185</v>
      </c>
      <c r="B1278" s="49">
        <v>795</v>
      </c>
      <c r="C1278" s="15" t="s">
        <v>55</v>
      </c>
      <c r="D1278" s="15" t="s">
        <v>127</v>
      </c>
      <c r="E1278" s="15" t="s">
        <v>10</v>
      </c>
      <c r="F1278" s="15" t="s">
        <v>186</v>
      </c>
      <c r="G1278" s="74">
        <f>12285.52+56477.58+10000+200000+30000</f>
        <v>308763.09999999998</v>
      </c>
      <c r="H1278" s="74">
        <v>0</v>
      </c>
      <c r="I1278" s="74">
        <v>0</v>
      </c>
    </row>
    <row r="1279" spans="1:12" ht="63" hidden="1" customHeight="1">
      <c r="A1279" s="16" t="s">
        <v>680</v>
      </c>
      <c r="B1279" s="49">
        <v>795</v>
      </c>
      <c r="C1279" s="15" t="s">
        <v>55</v>
      </c>
      <c r="D1279" s="15" t="s">
        <v>127</v>
      </c>
      <c r="E1279" s="15" t="s">
        <v>309</v>
      </c>
      <c r="F1279" s="15"/>
      <c r="G1279" s="74">
        <f>G1280</f>
        <v>0</v>
      </c>
      <c r="H1279" s="74"/>
      <c r="I1279" s="74"/>
    </row>
    <row r="1280" spans="1:12" ht="16.5" hidden="1" customHeight="1">
      <c r="A1280" s="16" t="s">
        <v>334</v>
      </c>
      <c r="B1280" s="49">
        <v>795</v>
      </c>
      <c r="C1280" s="15" t="s">
        <v>55</v>
      </c>
      <c r="D1280" s="15" t="s">
        <v>127</v>
      </c>
      <c r="E1280" s="15" t="s">
        <v>309</v>
      </c>
      <c r="F1280" s="15" t="s">
        <v>37</v>
      </c>
      <c r="G1280" s="74">
        <f>G1281</f>
        <v>0</v>
      </c>
      <c r="H1280" s="74"/>
      <c r="I1280" s="74"/>
    </row>
    <row r="1281" spans="1:12" ht="28.5" hidden="1" customHeight="1">
      <c r="A1281" s="16" t="s">
        <v>38</v>
      </c>
      <c r="B1281" s="49">
        <v>795</v>
      </c>
      <c r="C1281" s="15" t="s">
        <v>55</v>
      </c>
      <c r="D1281" s="15" t="s">
        <v>127</v>
      </c>
      <c r="E1281" s="15" t="s">
        <v>309</v>
      </c>
      <c r="F1281" s="15" t="s">
        <v>39</v>
      </c>
      <c r="G1281" s="74"/>
      <c r="H1281" s="74"/>
      <c r="I1281" s="74"/>
    </row>
    <row r="1282" spans="1:12" s="18" customFormat="1" ht="76.5" hidden="1" customHeight="1">
      <c r="A1282" s="50" t="s">
        <v>693</v>
      </c>
      <c r="B1282" s="49">
        <v>795</v>
      </c>
      <c r="C1282" s="15" t="s">
        <v>55</v>
      </c>
      <c r="D1282" s="15" t="s">
        <v>127</v>
      </c>
      <c r="E1282" s="15" t="s">
        <v>729</v>
      </c>
      <c r="F1282" s="15"/>
      <c r="G1282" s="74">
        <f t="shared" ref="G1282:I1283" si="336">G1283</f>
        <v>0</v>
      </c>
      <c r="H1282" s="74">
        <f t="shared" si="336"/>
        <v>0</v>
      </c>
      <c r="I1282" s="74">
        <f t="shared" si="336"/>
        <v>0</v>
      </c>
    </row>
    <row r="1283" spans="1:12" s="18" customFormat="1" ht="15" hidden="1" customHeight="1">
      <c r="A1283" s="16" t="s">
        <v>334</v>
      </c>
      <c r="B1283" s="49">
        <v>795</v>
      </c>
      <c r="C1283" s="15" t="s">
        <v>55</v>
      </c>
      <c r="D1283" s="15" t="s">
        <v>127</v>
      </c>
      <c r="E1283" s="15" t="s">
        <v>729</v>
      </c>
      <c r="F1283" s="15" t="s">
        <v>37</v>
      </c>
      <c r="G1283" s="74">
        <f t="shared" si="336"/>
        <v>0</v>
      </c>
      <c r="H1283" s="74">
        <f t="shared" si="336"/>
        <v>0</v>
      </c>
      <c r="I1283" s="74">
        <f t="shared" si="336"/>
        <v>0</v>
      </c>
    </row>
    <row r="1284" spans="1:12" s="18" customFormat="1" ht="32.25" hidden="1" customHeight="1">
      <c r="A1284" s="16" t="s">
        <v>38</v>
      </c>
      <c r="B1284" s="49">
        <v>795</v>
      </c>
      <c r="C1284" s="15" t="s">
        <v>55</v>
      </c>
      <c r="D1284" s="15" t="s">
        <v>127</v>
      </c>
      <c r="E1284" s="15" t="s">
        <v>729</v>
      </c>
      <c r="F1284" s="15" t="s">
        <v>39</v>
      </c>
      <c r="G1284" s="74">
        <f>600000-600000</f>
        <v>0</v>
      </c>
      <c r="H1284" s="74">
        <v>0</v>
      </c>
      <c r="I1284" s="74">
        <v>0</v>
      </c>
      <c r="J1284" s="18" t="s">
        <v>482</v>
      </c>
      <c r="L1284" s="18">
        <v>26808448</v>
      </c>
    </row>
    <row r="1285" spans="1:12" ht="87" customHeight="1">
      <c r="A1285" s="16" t="s">
        <v>698</v>
      </c>
      <c r="B1285" s="49">
        <v>795</v>
      </c>
      <c r="C1285" s="15" t="s">
        <v>55</v>
      </c>
      <c r="D1285" s="15" t="s">
        <v>127</v>
      </c>
      <c r="E1285" s="15" t="s">
        <v>11</v>
      </c>
      <c r="F1285" s="15"/>
      <c r="G1285" s="74">
        <f>G1286+G1289+G1292</f>
        <v>6090264</v>
      </c>
      <c r="H1285" s="74">
        <f>H1286+H1289+H1292</f>
        <v>0</v>
      </c>
      <c r="I1285" s="74">
        <f t="shared" ref="I1285" si="337">I1286+I1289+I1292</f>
        <v>0</v>
      </c>
    </row>
    <row r="1286" spans="1:12" ht="91.5" hidden="1" customHeight="1">
      <c r="A1286" s="16" t="s">
        <v>643</v>
      </c>
      <c r="B1286" s="49">
        <v>795</v>
      </c>
      <c r="C1286" s="15" t="s">
        <v>55</v>
      </c>
      <c r="D1286" s="15" t="s">
        <v>127</v>
      </c>
      <c r="E1286" s="88" t="s">
        <v>642</v>
      </c>
      <c r="F1286" s="15"/>
      <c r="G1286" s="74">
        <f>G1287</f>
        <v>0</v>
      </c>
      <c r="H1286" s="74">
        <v>0</v>
      </c>
      <c r="I1286" s="74">
        <v>0</v>
      </c>
    </row>
    <row r="1287" spans="1:12" ht="22.5" hidden="1" customHeight="1">
      <c r="A1287" s="16" t="s">
        <v>163</v>
      </c>
      <c r="B1287" s="49">
        <v>795</v>
      </c>
      <c r="C1287" s="15" t="s">
        <v>55</v>
      </c>
      <c r="D1287" s="15" t="s">
        <v>127</v>
      </c>
      <c r="E1287" s="88" t="s">
        <v>642</v>
      </c>
      <c r="F1287" s="15" t="s">
        <v>164</v>
      </c>
      <c r="G1287" s="74">
        <f>G1288</f>
        <v>0</v>
      </c>
      <c r="H1287" s="74">
        <v>0</v>
      </c>
      <c r="I1287" s="74">
        <v>0</v>
      </c>
    </row>
    <row r="1288" spans="1:12" ht="16.5" hidden="1" customHeight="1">
      <c r="A1288" s="16" t="s">
        <v>177</v>
      </c>
      <c r="B1288" s="49">
        <v>795</v>
      </c>
      <c r="C1288" s="15" t="s">
        <v>55</v>
      </c>
      <c r="D1288" s="15" t="s">
        <v>127</v>
      </c>
      <c r="E1288" s="88" t="s">
        <v>642</v>
      </c>
      <c r="F1288" s="15" t="s">
        <v>178</v>
      </c>
      <c r="G1288" s="74"/>
      <c r="H1288" s="74">
        <v>0</v>
      </c>
      <c r="I1288" s="74">
        <v>0</v>
      </c>
    </row>
    <row r="1289" spans="1:12" ht="48" hidden="1" customHeight="1">
      <c r="A1289" s="16" t="s">
        <v>627</v>
      </c>
      <c r="B1289" s="49">
        <v>795</v>
      </c>
      <c r="C1289" s="15" t="s">
        <v>55</v>
      </c>
      <c r="D1289" s="15" t="s">
        <v>127</v>
      </c>
      <c r="E1289" s="88" t="s">
        <v>420</v>
      </c>
      <c r="F1289" s="15"/>
      <c r="G1289" s="74">
        <f>G1290</f>
        <v>0</v>
      </c>
      <c r="H1289" s="74">
        <v>0</v>
      </c>
      <c r="I1289" s="74">
        <v>0</v>
      </c>
    </row>
    <row r="1290" spans="1:12" ht="22.5" hidden="1" customHeight="1">
      <c r="A1290" s="16" t="s">
        <v>163</v>
      </c>
      <c r="B1290" s="49">
        <v>795</v>
      </c>
      <c r="C1290" s="15" t="s">
        <v>55</v>
      </c>
      <c r="D1290" s="15" t="s">
        <v>127</v>
      </c>
      <c r="E1290" s="15" t="s">
        <v>420</v>
      </c>
      <c r="F1290" s="15" t="s">
        <v>164</v>
      </c>
      <c r="G1290" s="74">
        <f>G1291</f>
        <v>0</v>
      </c>
      <c r="H1290" s="74">
        <v>0</v>
      </c>
      <c r="I1290" s="74">
        <v>0</v>
      </c>
    </row>
    <row r="1291" spans="1:12" ht="16.5" hidden="1" customHeight="1">
      <c r="A1291" s="16" t="s">
        <v>177</v>
      </c>
      <c r="B1291" s="49">
        <v>795</v>
      </c>
      <c r="C1291" s="15" t="s">
        <v>55</v>
      </c>
      <c r="D1291" s="15" t="s">
        <v>127</v>
      </c>
      <c r="E1291" s="15" t="s">
        <v>420</v>
      </c>
      <c r="F1291" s="15" t="s">
        <v>178</v>
      </c>
      <c r="G1291" s="74"/>
      <c r="H1291" s="74">
        <v>0</v>
      </c>
      <c r="I1291" s="74">
        <v>0</v>
      </c>
    </row>
    <row r="1292" spans="1:12" s="18" customFormat="1" ht="122.25" customHeight="1">
      <c r="A1292" s="84" t="s">
        <v>699</v>
      </c>
      <c r="B1292" s="49">
        <v>795</v>
      </c>
      <c r="C1292" s="15" t="s">
        <v>55</v>
      </c>
      <c r="D1292" s="15" t="s">
        <v>127</v>
      </c>
      <c r="E1292" s="15" t="s">
        <v>644</v>
      </c>
      <c r="F1292" s="15"/>
      <c r="G1292" s="74">
        <f>G1293+G1295</f>
        <v>6090264</v>
      </c>
      <c r="H1292" s="74">
        <f t="shared" ref="H1292:I1292" si="338">H1293+H1295</f>
        <v>0</v>
      </c>
      <c r="I1292" s="74">
        <f t="shared" si="338"/>
        <v>0</v>
      </c>
    </row>
    <row r="1293" spans="1:12" s="18" customFormat="1" ht="24.75" hidden="1" customHeight="1">
      <c r="A1293" s="16" t="s">
        <v>334</v>
      </c>
      <c r="B1293" s="49">
        <v>795</v>
      </c>
      <c r="C1293" s="15" t="s">
        <v>55</v>
      </c>
      <c r="D1293" s="15" t="s">
        <v>127</v>
      </c>
      <c r="E1293" s="15" t="s">
        <v>644</v>
      </c>
      <c r="F1293" s="15" t="s">
        <v>37</v>
      </c>
      <c r="G1293" s="74">
        <f t="shared" ref="G1293:I1293" si="339">G1294</f>
        <v>0</v>
      </c>
      <c r="H1293" s="74">
        <f t="shared" si="339"/>
        <v>0</v>
      </c>
      <c r="I1293" s="74">
        <f t="shared" si="339"/>
        <v>0</v>
      </c>
    </row>
    <row r="1294" spans="1:12" s="18" customFormat="1" ht="30.75" hidden="1" customHeight="1">
      <c r="A1294" s="16" t="s">
        <v>38</v>
      </c>
      <c r="B1294" s="49">
        <v>795</v>
      </c>
      <c r="C1294" s="15" t="s">
        <v>55</v>
      </c>
      <c r="D1294" s="15" t="s">
        <v>127</v>
      </c>
      <c r="E1294" s="15" t="s">
        <v>644</v>
      </c>
      <c r="F1294" s="15" t="s">
        <v>39</v>
      </c>
      <c r="G1294" s="74">
        <f>5365800-50+268287.5-5634037.5</f>
        <v>0</v>
      </c>
      <c r="H1294" s="74"/>
      <c r="I1294" s="74"/>
    </row>
    <row r="1295" spans="1:12" s="105" customFormat="1" ht="22.5" customHeight="1">
      <c r="A1295" s="86" t="s">
        <v>163</v>
      </c>
      <c r="B1295" s="87">
        <v>795</v>
      </c>
      <c r="C1295" s="88" t="s">
        <v>55</v>
      </c>
      <c r="D1295" s="88" t="s">
        <v>127</v>
      </c>
      <c r="E1295" s="88" t="s">
        <v>644</v>
      </c>
      <c r="F1295" s="88" t="s">
        <v>164</v>
      </c>
      <c r="G1295" s="74">
        <f>G1296</f>
        <v>6090264</v>
      </c>
      <c r="H1295" s="74">
        <f t="shared" ref="H1295:I1295" si="340">H1296</f>
        <v>0</v>
      </c>
      <c r="I1295" s="74">
        <f t="shared" si="340"/>
        <v>0</v>
      </c>
    </row>
    <row r="1296" spans="1:12" s="105" customFormat="1" ht="16.5" customHeight="1">
      <c r="A1296" s="86" t="s">
        <v>185</v>
      </c>
      <c r="B1296" s="87">
        <v>795</v>
      </c>
      <c r="C1296" s="88" t="s">
        <v>55</v>
      </c>
      <c r="D1296" s="88" t="s">
        <v>127</v>
      </c>
      <c r="E1296" s="88" t="s">
        <v>644</v>
      </c>
      <c r="F1296" s="88" t="s">
        <v>186</v>
      </c>
      <c r="G1296" s="74">
        <f>5785750+304514</f>
        <v>6090264</v>
      </c>
      <c r="H1296" s="118">
        <f>5810750+305829-6116579</f>
        <v>0</v>
      </c>
      <c r="I1296" s="118">
        <f>5839250+307329-6146579</f>
        <v>0</v>
      </c>
    </row>
    <row r="1297" spans="1:10" s="18" customFormat="1" ht="32.25" customHeight="1">
      <c r="A1297" s="16" t="s">
        <v>539</v>
      </c>
      <c r="B1297" s="49">
        <v>795</v>
      </c>
      <c r="C1297" s="15" t="s">
        <v>55</v>
      </c>
      <c r="D1297" s="15" t="s">
        <v>127</v>
      </c>
      <c r="E1297" s="15" t="s">
        <v>209</v>
      </c>
      <c r="F1297" s="15"/>
      <c r="G1297" s="74">
        <f t="shared" ref="G1297:I1302" si="341">G1298</f>
        <v>3000000</v>
      </c>
      <c r="H1297" s="74">
        <f t="shared" si="341"/>
        <v>0</v>
      </c>
      <c r="I1297" s="74">
        <f>I1298+I1301</f>
        <v>0</v>
      </c>
    </row>
    <row r="1298" spans="1:10" s="18" customFormat="1" ht="56.25" customHeight="1">
      <c r="A1298" s="16" t="s">
        <v>832</v>
      </c>
      <c r="B1298" s="49">
        <v>795</v>
      </c>
      <c r="C1298" s="15" t="s">
        <v>55</v>
      </c>
      <c r="D1298" s="15" t="s">
        <v>127</v>
      </c>
      <c r="E1298" s="15" t="s">
        <v>432</v>
      </c>
      <c r="F1298" s="15"/>
      <c r="G1298" s="74">
        <f t="shared" si="341"/>
        <v>3000000</v>
      </c>
      <c r="H1298" s="74">
        <f t="shared" si="341"/>
        <v>0</v>
      </c>
      <c r="I1298" s="74">
        <f t="shared" si="341"/>
        <v>0</v>
      </c>
    </row>
    <row r="1299" spans="1:10" s="18" customFormat="1" ht="39" customHeight="1">
      <c r="A1299" s="16" t="s">
        <v>99</v>
      </c>
      <c r="B1299" s="49">
        <v>795</v>
      </c>
      <c r="C1299" s="15" t="s">
        <v>55</v>
      </c>
      <c r="D1299" s="15" t="s">
        <v>127</v>
      </c>
      <c r="E1299" s="15" t="s">
        <v>432</v>
      </c>
      <c r="F1299" s="15" t="s">
        <v>359</v>
      </c>
      <c r="G1299" s="74">
        <f t="shared" si="341"/>
        <v>3000000</v>
      </c>
      <c r="H1299" s="74">
        <f t="shared" si="341"/>
        <v>0</v>
      </c>
      <c r="I1299" s="74">
        <f t="shared" si="341"/>
        <v>0</v>
      </c>
    </row>
    <row r="1300" spans="1:10" s="18" customFormat="1" ht="15.75" customHeight="1">
      <c r="A1300" s="16" t="s">
        <v>360</v>
      </c>
      <c r="B1300" s="49">
        <v>795</v>
      </c>
      <c r="C1300" s="15" t="s">
        <v>55</v>
      </c>
      <c r="D1300" s="15" t="s">
        <v>127</v>
      </c>
      <c r="E1300" s="15" t="s">
        <v>432</v>
      </c>
      <c r="F1300" s="15" t="s">
        <v>361</v>
      </c>
      <c r="G1300" s="74">
        <f>755000+2245000</f>
        <v>3000000</v>
      </c>
      <c r="H1300" s="74">
        <v>0</v>
      </c>
      <c r="I1300" s="74">
        <v>0</v>
      </c>
    </row>
    <row r="1301" spans="1:10" s="18" customFormat="1" ht="70.5" customHeight="1">
      <c r="A1301" s="16" t="s">
        <v>615</v>
      </c>
      <c r="B1301" s="49">
        <v>795</v>
      </c>
      <c r="C1301" s="15" t="s">
        <v>55</v>
      </c>
      <c r="D1301" s="15" t="s">
        <v>127</v>
      </c>
      <c r="E1301" s="15" t="s">
        <v>614</v>
      </c>
      <c r="F1301" s="15"/>
      <c r="G1301" s="74">
        <f t="shared" si="341"/>
        <v>0</v>
      </c>
      <c r="H1301" s="74">
        <f t="shared" si="341"/>
        <v>222222222</v>
      </c>
      <c r="I1301" s="74">
        <f t="shared" si="341"/>
        <v>0</v>
      </c>
    </row>
    <row r="1302" spans="1:10" s="18" customFormat="1" ht="39" customHeight="1">
      <c r="A1302" s="16" t="s">
        <v>99</v>
      </c>
      <c r="B1302" s="49">
        <v>795</v>
      </c>
      <c r="C1302" s="15" t="s">
        <v>55</v>
      </c>
      <c r="D1302" s="15" t="s">
        <v>127</v>
      </c>
      <c r="E1302" s="15" t="s">
        <v>614</v>
      </c>
      <c r="F1302" s="15" t="s">
        <v>359</v>
      </c>
      <c r="G1302" s="74">
        <f t="shared" si="341"/>
        <v>0</v>
      </c>
      <c r="H1302" s="74">
        <f t="shared" si="341"/>
        <v>222222222</v>
      </c>
      <c r="I1302" s="74">
        <f t="shared" si="341"/>
        <v>0</v>
      </c>
    </row>
    <row r="1303" spans="1:10" s="18" customFormat="1" ht="15.75" customHeight="1">
      <c r="A1303" s="16" t="s">
        <v>360</v>
      </c>
      <c r="B1303" s="49">
        <v>795</v>
      </c>
      <c r="C1303" s="15" t="s">
        <v>55</v>
      </c>
      <c r="D1303" s="15" t="s">
        <v>127</v>
      </c>
      <c r="E1303" s="15" t="s">
        <v>614</v>
      </c>
      <c r="F1303" s="15" t="s">
        <v>361</v>
      </c>
      <c r="G1303" s="74">
        <v>0</v>
      </c>
      <c r="H1303" s="74">
        <v>222222222</v>
      </c>
      <c r="I1303" s="74">
        <v>0</v>
      </c>
    </row>
    <row r="1304" spans="1:10" ht="25.5" hidden="1">
      <c r="A1304" s="37" t="s">
        <v>176</v>
      </c>
      <c r="B1304" s="14">
        <v>793</v>
      </c>
      <c r="C1304" s="15" t="s">
        <v>55</v>
      </c>
      <c r="D1304" s="15" t="s">
        <v>127</v>
      </c>
      <c r="E1304" s="15" t="s">
        <v>241</v>
      </c>
      <c r="F1304" s="14"/>
      <c r="G1304" s="74">
        <f>G1305</f>
        <v>0</v>
      </c>
      <c r="H1304" s="74">
        <f t="shared" ref="H1304:I1304" si="342">H1305</f>
        <v>0</v>
      </c>
      <c r="I1304" s="74">
        <f t="shared" si="342"/>
        <v>0</v>
      </c>
      <c r="J1304" s="2"/>
    </row>
    <row r="1305" spans="1:10" ht="25.5" hidden="1">
      <c r="A1305" s="16" t="s">
        <v>334</v>
      </c>
      <c r="B1305" s="14">
        <v>793</v>
      </c>
      <c r="C1305" s="15" t="s">
        <v>55</v>
      </c>
      <c r="D1305" s="15" t="s">
        <v>127</v>
      </c>
      <c r="E1305" s="15" t="s">
        <v>285</v>
      </c>
      <c r="F1305" s="15" t="s">
        <v>37</v>
      </c>
      <c r="G1305" s="74">
        <f>G1306</f>
        <v>0</v>
      </c>
      <c r="H1305" s="74">
        <f>H1306</f>
        <v>0</v>
      </c>
      <c r="I1305" s="74">
        <f>I1306</f>
        <v>0</v>
      </c>
      <c r="J1305" s="2"/>
    </row>
    <row r="1306" spans="1:10" ht="35.25" hidden="1" customHeight="1">
      <c r="A1306" s="16" t="s">
        <v>38</v>
      </c>
      <c r="B1306" s="14">
        <v>793</v>
      </c>
      <c r="C1306" s="15" t="s">
        <v>55</v>
      </c>
      <c r="D1306" s="15" t="s">
        <v>127</v>
      </c>
      <c r="E1306" s="15" t="s">
        <v>285</v>
      </c>
      <c r="F1306" s="15" t="s">
        <v>39</v>
      </c>
      <c r="G1306" s="74"/>
      <c r="H1306" s="74"/>
      <c r="I1306" s="74"/>
      <c r="J1306" s="2"/>
    </row>
    <row r="1307" spans="1:10" s="28" customFormat="1" ht="24.75" customHeight="1">
      <c r="A1307" s="37" t="s">
        <v>176</v>
      </c>
      <c r="B1307" s="14">
        <v>793</v>
      </c>
      <c r="C1307" s="15" t="s">
        <v>55</v>
      </c>
      <c r="D1307" s="15" t="s">
        <v>127</v>
      </c>
      <c r="E1307" s="15" t="s">
        <v>241</v>
      </c>
      <c r="F1307" s="39"/>
      <c r="G1307" s="74">
        <f t="shared" ref="G1307:I1307" si="343">G1308</f>
        <v>150000</v>
      </c>
      <c r="H1307" s="74">
        <f t="shared" si="343"/>
        <v>0</v>
      </c>
      <c r="I1307" s="74">
        <f t="shared" si="343"/>
        <v>0</v>
      </c>
    </row>
    <row r="1308" spans="1:10" ht="25.5">
      <c r="A1308" s="37" t="s">
        <v>176</v>
      </c>
      <c r="B1308" s="49">
        <v>795</v>
      </c>
      <c r="C1308" s="15" t="s">
        <v>55</v>
      </c>
      <c r="D1308" s="15" t="s">
        <v>127</v>
      </c>
      <c r="E1308" s="15" t="s">
        <v>285</v>
      </c>
      <c r="F1308" s="15"/>
      <c r="G1308" s="74">
        <f>G1309+G1311</f>
        <v>150000</v>
      </c>
      <c r="H1308" s="74">
        <f>H1309+H1311</f>
        <v>0</v>
      </c>
      <c r="I1308" s="74">
        <f>I1309+I1311</f>
        <v>0</v>
      </c>
    </row>
    <row r="1309" spans="1:10" hidden="1">
      <c r="A1309" s="16"/>
      <c r="B1309" s="49"/>
      <c r="C1309" s="15" t="s">
        <v>55</v>
      </c>
      <c r="D1309" s="15" t="s">
        <v>127</v>
      </c>
      <c r="E1309" s="15" t="s">
        <v>285</v>
      </c>
      <c r="F1309" s="15"/>
      <c r="G1309" s="74"/>
      <c r="H1309" s="74"/>
      <c r="I1309" s="74"/>
    </row>
    <row r="1310" spans="1:10" ht="30.75" hidden="1" customHeight="1">
      <c r="A1310" s="16"/>
      <c r="B1310" s="49"/>
      <c r="C1310" s="15" t="s">
        <v>55</v>
      </c>
      <c r="D1310" s="15" t="s">
        <v>127</v>
      </c>
      <c r="E1310" s="15" t="s">
        <v>285</v>
      </c>
      <c r="F1310" s="15"/>
      <c r="G1310" s="74"/>
      <c r="H1310" s="74"/>
      <c r="I1310" s="74"/>
    </row>
    <row r="1311" spans="1:10" ht="30.75" customHeight="1">
      <c r="A1311" s="16" t="s">
        <v>36</v>
      </c>
      <c r="B1311" s="49">
        <v>795</v>
      </c>
      <c r="C1311" s="15" t="s">
        <v>55</v>
      </c>
      <c r="D1311" s="15" t="s">
        <v>127</v>
      </c>
      <c r="E1311" s="15" t="s">
        <v>285</v>
      </c>
      <c r="F1311" s="15" t="s">
        <v>37</v>
      </c>
      <c r="G1311" s="74">
        <f>G1312</f>
        <v>150000</v>
      </c>
      <c r="H1311" s="74">
        <f>H1312</f>
        <v>0</v>
      </c>
      <c r="I1311" s="74">
        <f>I1312</f>
        <v>0</v>
      </c>
    </row>
    <row r="1312" spans="1:10" ht="35.25" customHeight="1">
      <c r="A1312" s="16" t="s">
        <v>38</v>
      </c>
      <c r="B1312" s="49">
        <v>795</v>
      </c>
      <c r="C1312" s="15" t="s">
        <v>55</v>
      </c>
      <c r="D1312" s="15" t="s">
        <v>127</v>
      </c>
      <c r="E1312" s="15" t="s">
        <v>285</v>
      </c>
      <c r="F1312" s="15" t="s">
        <v>39</v>
      </c>
      <c r="G1312" s="74">
        <v>150000</v>
      </c>
      <c r="H1312" s="74">
        <v>0</v>
      </c>
      <c r="I1312" s="74">
        <v>0</v>
      </c>
    </row>
    <row r="1313" spans="1:9" s="46" customFormat="1" ht="23.25" customHeight="1">
      <c r="A1313" s="16" t="s">
        <v>89</v>
      </c>
      <c r="B1313" s="49">
        <v>795</v>
      </c>
      <c r="C1313" s="70" t="s">
        <v>55</v>
      </c>
      <c r="D1313" s="70" t="s">
        <v>90</v>
      </c>
      <c r="E1313" s="15"/>
      <c r="F1313" s="15"/>
      <c r="G1313" s="74">
        <f>G1314</f>
        <v>11571445</v>
      </c>
      <c r="H1313" s="74">
        <f t="shared" ref="H1313:I1313" si="344">H1314</f>
        <v>12393759</v>
      </c>
      <c r="I1313" s="74">
        <f t="shared" si="344"/>
        <v>12522838</v>
      </c>
    </row>
    <row r="1314" spans="1:9" s="22" customFormat="1" ht="57" customHeight="1">
      <c r="A1314" s="16" t="s">
        <v>513</v>
      </c>
      <c r="B1314" s="49">
        <v>795</v>
      </c>
      <c r="C1314" s="70" t="s">
        <v>55</v>
      </c>
      <c r="D1314" s="70" t="s">
        <v>90</v>
      </c>
      <c r="E1314" s="41" t="s">
        <v>305</v>
      </c>
      <c r="F1314" s="70"/>
      <c r="G1314" s="29">
        <f>G1315</f>
        <v>11571445</v>
      </c>
      <c r="H1314" s="29">
        <f>H1315</f>
        <v>12393759</v>
      </c>
      <c r="I1314" s="29">
        <f>I1315</f>
        <v>12522838</v>
      </c>
    </row>
    <row r="1315" spans="1:9" s="22" customFormat="1" ht="25.5">
      <c r="A1315" s="16" t="s">
        <v>78</v>
      </c>
      <c r="B1315" s="49">
        <v>795</v>
      </c>
      <c r="C1315" s="70" t="s">
        <v>55</v>
      </c>
      <c r="D1315" s="70" t="s">
        <v>90</v>
      </c>
      <c r="E1315" s="41" t="s">
        <v>292</v>
      </c>
      <c r="F1315" s="70"/>
      <c r="G1315" s="29">
        <f>G1316+G1319+G1320</f>
        <v>11571445</v>
      </c>
      <c r="H1315" s="29">
        <f t="shared" ref="H1315:I1315" si="345">H1316+H1319+H1320</f>
        <v>12393759</v>
      </c>
      <c r="I1315" s="29">
        <f t="shared" si="345"/>
        <v>12522838</v>
      </c>
    </row>
    <row r="1316" spans="1:9" s="22" customFormat="1" ht="63.75">
      <c r="A1316" s="56" t="s">
        <v>56</v>
      </c>
      <c r="B1316" s="49">
        <v>795</v>
      </c>
      <c r="C1316" s="70" t="s">
        <v>55</v>
      </c>
      <c r="D1316" s="70" t="s">
        <v>90</v>
      </c>
      <c r="E1316" s="41" t="s">
        <v>292</v>
      </c>
      <c r="F1316" s="41" t="s">
        <v>59</v>
      </c>
      <c r="G1316" s="29">
        <f>G1317</f>
        <v>10713123</v>
      </c>
      <c r="H1316" s="29">
        <f>H1317</f>
        <v>11878437</v>
      </c>
      <c r="I1316" s="29">
        <f>I1317</f>
        <v>12007516</v>
      </c>
    </row>
    <row r="1317" spans="1:9" s="22" customFormat="1" ht="25.5">
      <c r="A1317" s="56" t="s">
        <v>57</v>
      </c>
      <c r="B1317" s="49">
        <v>795</v>
      </c>
      <c r="C1317" s="70" t="s">
        <v>55</v>
      </c>
      <c r="D1317" s="70" t="s">
        <v>90</v>
      </c>
      <c r="E1317" s="41" t="s">
        <v>292</v>
      </c>
      <c r="F1317" s="41" t="s">
        <v>60</v>
      </c>
      <c r="G1317" s="29">
        <f>10806123-3000-90000</f>
        <v>10713123</v>
      </c>
      <c r="H1317" s="29">
        <v>11878437</v>
      </c>
      <c r="I1317" s="29">
        <v>12007516</v>
      </c>
    </row>
    <row r="1318" spans="1:9" ht="25.5">
      <c r="A1318" s="16" t="s">
        <v>36</v>
      </c>
      <c r="B1318" s="49">
        <v>795</v>
      </c>
      <c r="C1318" s="70" t="s">
        <v>55</v>
      </c>
      <c r="D1318" s="70" t="s">
        <v>90</v>
      </c>
      <c r="E1318" s="41" t="s">
        <v>292</v>
      </c>
      <c r="F1318" s="15" t="s">
        <v>37</v>
      </c>
      <c r="G1318" s="74">
        <f>G1319</f>
        <v>743013</v>
      </c>
      <c r="H1318" s="74">
        <f t="shared" ref="H1318:I1318" si="346">H1319</f>
        <v>453013</v>
      </c>
      <c r="I1318" s="74">
        <f t="shared" si="346"/>
        <v>453013</v>
      </c>
    </row>
    <row r="1319" spans="1:9" ht="25.5">
      <c r="A1319" s="16" t="s">
        <v>38</v>
      </c>
      <c r="B1319" s="49">
        <v>795</v>
      </c>
      <c r="C1319" s="70" t="s">
        <v>55</v>
      </c>
      <c r="D1319" s="70" t="s">
        <v>90</v>
      </c>
      <c r="E1319" s="41" t="s">
        <v>292</v>
      </c>
      <c r="F1319" s="15" t="s">
        <v>39</v>
      </c>
      <c r="G1319" s="74">
        <f>653013+90000</f>
        <v>743013</v>
      </c>
      <c r="H1319" s="74">
        <v>453013</v>
      </c>
      <c r="I1319" s="74">
        <v>453013</v>
      </c>
    </row>
    <row r="1320" spans="1:9" s="46" customFormat="1">
      <c r="A1320" s="16" t="s">
        <v>64</v>
      </c>
      <c r="B1320" s="14">
        <v>795</v>
      </c>
      <c r="C1320" s="70" t="s">
        <v>55</v>
      </c>
      <c r="D1320" s="70" t="s">
        <v>90</v>
      </c>
      <c r="E1320" s="41" t="s">
        <v>292</v>
      </c>
      <c r="F1320" s="15" t="s">
        <v>65</v>
      </c>
      <c r="G1320" s="74">
        <f>G1321</f>
        <v>115309</v>
      </c>
      <c r="H1320" s="74">
        <f>H1321</f>
        <v>62309</v>
      </c>
      <c r="I1320" s="74">
        <f>I1321</f>
        <v>62309</v>
      </c>
    </row>
    <row r="1321" spans="1:9" s="46" customFormat="1">
      <c r="A1321" s="16" t="s">
        <v>150</v>
      </c>
      <c r="B1321" s="14">
        <v>795</v>
      </c>
      <c r="C1321" s="70" t="s">
        <v>55</v>
      </c>
      <c r="D1321" s="70" t="s">
        <v>90</v>
      </c>
      <c r="E1321" s="41" t="s">
        <v>292</v>
      </c>
      <c r="F1321" s="15" t="s">
        <v>68</v>
      </c>
      <c r="G1321" s="74">
        <f>112309+3000</f>
        <v>115309</v>
      </c>
      <c r="H1321" s="74">
        <v>62309</v>
      </c>
      <c r="I1321" s="74">
        <v>62309</v>
      </c>
    </row>
    <row r="1322" spans="1:9">
      <c r="A1322" s="54" t="s">
        <v>357</v>
      </c>
      <c r="B1322" s="19">
        <v>795</v>
      </c>
      <c r="C1322" s="7" t="s">
        <v>180</v>
      </c>
      <c r="D1322" s="7"/>
      <c r="E1322" s="7"/>
      <c r="F1322" s="7"/>
      <c r="G1322" s="38">
        <f>G1355+G1323+G1435+G1458</f>
        <v>36956301.160000004</v>
      </c>
      <c r="H1322" s="38">
        <f>H1355+H1323+H1435+H1458</f>
        <v>9467715</v>
      </c>
      <c r="I1322" s="38">
        <f>I1355+I1323+I1435+I1458</f>
        <v>472016141.54000002</v>
      </c>
    </row>
    <row r="1323" spans="1:9">
      <c r="A1323" s="200" t="s">
        <v>181</v>
      </c>
      <c r="B1323" s="49">
        <v>795</v>
      </c>
      <c r="C1323" s="10" t="s">
        <v>180</v>
      </c>
      <c r="D1323" s="10" t="s">
        <v>19</v>
      </c>
      <c r="E1323" s="7"/>
      <c r="F1323" s="7"/>
      <c r="G1323" s="27">
        <f>G1324+G1337+G1350</f>
        <v>5806510.8100000005</v>
      </c>
      <c r="H1323" s="27">
        <f>H1324+H1337+H1350</f>
        <v>3668270.21</v>
      </c>
      <c r="I1323" s="27">
        <f>I1324+I1337+I1350</f>
        <v>467898426.54000002</v>
      </c>
    </row>
    <row r="1324" spans="1:9" s="3" customFormat="1" ht="52.5" customHeight="1">
      <c r="A1324" s="86" t="s">
        <v>513</v>
      </c>
      <c r="B1324" s="49">
        <v>795</v>
      </c>
      <c r="C1324" s="15" t="s">
        <v>180</v>
      </c>
      <c r="D1324" s="15" t="s">
        <v>19</v>
      </c>
      <c r="E1324" s="15" t="s">
        <v>305</v>
      </c>
      <c r="F1324" s="15"/>
      <c r="G1324" s="74">
        <f>G1325+G1328+G1331+G1334</f>
        <v>3527450.48</v>
      </c>
      <c r="H1324" s="74">
        <f t="shared" ref="H1324:I1324" si="347">H1325+H1328+H1331+H1334</f>
        <v>2950000</v>
      </c>
      <c r="I1324" s="74">
        <f t="shared" si="347"/>
        <v>2950000</v>
      </c>
    </row>
    <row r="1325" spans="1:9" s="18" customFormat="1" ht="63" customHeight="1">
      <c r="A1325" s="86" t="s">
        <v>83</v>
      </c>
      <c r="B1325" s="49">
        <v>795</v>
      </c>
      <c r="C1325" s="15" t="s">
        <v>180</v>
      </c>
      <c r="D1325" s="15" t="s">
        <v>19</v>
      </c>
      <c r="E1325" s="15" t="s">
        <v>82</v>
      </c>
      <c r="F1325" s="15"/>
      <c r="G1325" s="74">
        <f t="shared" ref="G1325:I1326" si="348">G1326</f>
        <v>1600000</v>
      </c>
      <c r="H1325" s="74">
        <f t="shared" si="348"/>
        <v>1600000</v>
      </c>
      <c r="I1325" s="74">
        <f t="shared" si="348"/>
        <v>1600000</v>
      </c>
    </row>
    <row r="1326" spans="1:9" ht="30.75" customHeight="1">
      <c r="A1326" s="16" t="s">
        <v>36</v>
      </c>
      <c r="B1326" s="49">
        <v>795</v>
      </c>
      <c r="C1326" s="15" t="s">
        <v>180</v>
      </c>
      <c r="D1326" s="15" t="s">
        <v>19</v>
      </c>
      <c r="E1326" s="15" t="s">
        <v>82</v>
      </c>
      <c r="F1326" s="15" t="s">
        <v>37</v>
      </c>
      <c r="G1326" s="74">
        <f t="shared" si="348"/>
        <v>1600000</v>
      </c>
      <c r="H1326" s="74">
        <f t="shared" si="348"/>
        <v>1600000</v>
      </c>
      <c r="I1326" s="74">
        <f t="shared" si="348"/>
        <v>1600000</v>
      </c>
    </row>
    <row r="1327" spans="1:9" s="18" customFormat="1" ht="34.5" customHeight="1">
      <c r="A1327" s="16" t="s">
        <v>38</v>
      </c>
      <c r="B1327" s="49">
        <v>795</v>
      </c>
      <c r="C1327" s="15" t="s">
        <v>180</v>
      </c>
      <c r="D1327" s="15" t="s">
        <v>19</v>
      </c>
      <c r="E1327" s="15" t="s">
        <v>82</v>
      </c>
      <c r="F1327" s="15" t="s">
        <v>39</v>
      </c>
      <c r="G1327" s="74">
        <v>1600000</v>
      </c>
      <c r="H1327" s="74">
        <v>1600000</v>
      </c>
      <c r="I1327" s="74">
        <v>1600000</v>
      </c>
    </row>
    <row r="1328" spans="1:9" s="18" customFormat="1" ht="20.25" customHeight="1">
      <c r="A1328" s="16" t="s">
        <v>85</v>
      </c>
      <c r="B1328" s="49">
        <v>795</v>
      </c>
      <c r="C1328" s="15" t="s">
        <v>180</v>
      </c>
      <c r="D1328" s="15" t="s">
        <v>19</v>
      </c>
      <c r="E1328" s="15" t="s">
        <v>84</v>
      </c>
      <c r="F1328" s="15"/>
      <c r="G1328" s="74">
        <f t="shared" ref="G1328:I1329" si="349">G1329</f>
        <v>800000</v>
      </c>
      <c r="H1328" s="74">
        <f t="shared" si="349"/>
        <v>800000</v>
      </c>
      <c r="I1328" s="74">
        <f t="shared" si="349"/>
        <v>800000</v>
      </c>
    </row>
    <row r="1329" spans="1:9" ht="30.75" customHeight="1">
      <c r="A1329" s="16" t="s">
        <v>36</v>
      </c>
      <c r="B1329" s="49">
        <v>795</v>
      </c>
      <c r="C1329" s="15" t="s">
        <v>180</v>
      </c>
      <c r="D1329" s="15" t="s">
        <v>19</v>
      </c>
      <c r="E1329" s="15" t="s">
        <v>84</v>
      </c>
      <c r="F1329" s="15" t="s">
        <v>37</v>
      </c>
      <c r="G1329" s="74">
        <f t="shared" si="349"/>
        <v>800000</v>
      </c>
      <c r="H1329" s="74">
        <f t="shared" si="349"/>
        <v>800000</v>
      </c>
      <c r="I1329" s="74">
        <f t="shared" si="349"/>
        <v>800000</v>
      </c>
    </row>
    <row r="1330" spans="1:9" s="18" customFormat="1" ht="34.5" customHeight="1">
      <c r="A1330" s="16" t="s">
        <v>38</v>
      </c>
      <c r="B1330" s="49">
        <v>795</v>
      </c>
      <c r="C1330" s="15" t="s">
        <v>180</v>
      </c>
      <c r="D1330" s="15" t="s">
        <v>19</v>
      </c>
      <c r="E1330" s="15" t="s">
        <v>84</v>
      </c>
      <c r="F1330" s="15" t="s">
        <v>39</v>
      </c>
      <c r="G1330" s="74">
        <v>800000</v>
      </c>
      <c r="H1330" s="74">
        <f>G1330</f>
        <v>800000</v>
      </c>
      <c r="I1330" s="74">
        <f>H1330</f>
        <v>800000</v>
      </c>
    </row>
    <row r="1331" spans="1:9" s="18" customFormat="1" ht="20.25" customHeight="1">
      <c r="A1331" s="16" t="s">
        <v>87</v>
      </c>
      <c r="B1331" s="49">
        <v>795</v>
      </c>
      <c r="C1331" s="15" t="s">
        <v>180</v>
      </c>
      <c r="D1331" s="15" t="s">
        <v>19</v>
      </c>
      <c r="E1331" s="15" t="s">
        <v>86</v>
      </c>
      <c r="F1331" s="15"/>
      <c r="G1331" s="74">
        <f t="shared" ref="G1331:I1332" si="350">G1332</f>
        <v>1127450.48</v>
      </c>
      <c r="H1331" s="74">
        <f t="shared" si="350"/>
        <v>550000</v>
      </c>
      <c r="I1331" s="74">
        <f t="shared" si="350"/>
        <v>550000</v>
      </c>
    </row>
    <row r="1332" spans="1:9" ht="30.75" customHeight="1">
      <c r="A1332" s="16" t="s">
        <v>36</v>
      </c>
      <c r="B1332" s="49">
        <v>795</v>
      </c>
      <c r="C1332" s="15" t="s">
        <v>180</v>
      </c>
      <c r="D1332" s="15" t="s">
        <v>19</v>
      </c>
      <c r="E1332" s="15" t="s">
        <v>86</v>
      </c>
      <c r="F1332" s="15" t="s">
        <v>37</v>
      </c>
      <c r="G1332" s="74">
        <f t="shared" si="350"/>
        <v>1127450.48</v>
      </c>
      <c r="H1332" s="74">
        <f t="shared" si="350"/>
        <v>550000</v>
      </c>
      <c r="I1332" s="74">
        <f t="shared" si="350"/>
        <v>550000</v>
      </c>
    </row>
    <row r="1333" spans="1:9" s="18" customFormat="1" ht="34.5" customHeight="1">
      <c r="A1333" s="16" t="s">
        <v>38</v>
      </c>
      <c r="B1333" s="49">
        <v>795</v>
      </c>
      <c r="C1333" s="15" t="s">
        <v>180</v>
      </c>
      <c r="D1333" s="15" t="s">
        <v>19</v>
      </c>
      <c r="E1333" s="15" t="s">
        <v>86</v>
      </c>
      <c r="F1333" s="15" t="s">
        <v>39</v>
      </c>
      <c r="G1333" s="74">
        <f>550000+76609.04+50000+450841.44</f>
        <v>1127450.48</v>
      </c>
      <c r="H1333" s="74">
        <v>550000</v>
      </c>
      <c r="I1333" s="74">
        <v>550000</v>
      </c>
    </row>
    <row r="1334" spans="1:9" s="46" customFormat="1" ht="24" hidden="1" customHeight="1">
      <c r="A1334" s="16" t="s">
        <v>558</v>
      </c>
      <c r="B1334" s="49">
        <v>795</v>
      </c>
      <c r="C1334" s="10" t="s">
        <v>180</v>
      </c>
      <c r="D1334" s="10" t="s">
        <v>19</v>
      </c>
      <c r="E1334" s="15" t="s">
        <v>557</v>
      </c>
      <c r="F1334" s="15"/>
      <c r="G1334" s="74">
        <f t="shared" ref="G1334:I1335" si="351">G1335</f>
        <v>0</v>
      </c>
      <c r="H1334" s="74">
        <f t="shared" si="351"/>
        <v>0</v>
      </c>
      <c r="I1334" s="74">
        <f t="shared" si="351"/>
        <v>0</v>
      </c>
    </row>
    <row r="1335" spans="1:9" s="46" customFormat="1" ht="28.5" hidden="1" customHeight="1">
      <c r="A1335" s="16" t="s">
        <v>334</v>
      </c>
      <c r="B1335" s="49">
        <v>795</v>
      </c>
      <c r="C1335" s="10" t="s">
        <v>180</v>
      </c>
      <c r="D1335" s="10" t="s">
        <v>19</v>
      </c>
      <c r="E1335" s="15" t="s">
        <v>557</v>
      </c>
      <c r="F1335" s="15" t="s">
        <v>37</v>
      </c>
      <c r="G1335" s="74">
        <f t="shared" si="351"/>
        <v>0</v>
      </c>
      <c r="H1335" s="74">
        <f t="shared" si="351"/>
        <v>0</v>
      </c>
      <c r="I1335" s="74">
        <f t="shared" si="351"/>
        <v>0</v>
      </c>
    </row>
    <row r="1336" spans="1:9" s="46" customFormat="1" ht="28.5" hidden="1" customHeight="1">
      <c r="A1336" s="16" t="s">
        <v>38</v>
      </c>
      <c r="B1336" s="49">
        <v>795</v>
      </c>
      <c r="C1336" s="10" t="s">
        <v>180</v>
      </c>
      <c r="D1336" s="10" t="s">
        <v>19</v>
      </c>
      <c r="E1336" s="15" t="s">
        <v>557</v>
      </c>
      <c r="F1336" s="15" t="s">
        <v>39</v>
      </c>
      <c r="G1336" s="74"/>
      <c r="H1336" s="74">
        <v>0</v>
      </c>
      <c r="I1336" s="74">
        <v>0</v>
      </c>
    </row>
    <row r="1337" spans="1:9" s="18" customFormat="1" ht="51">
      <c r="A1337" s="16" t="s">
        <v>533</v>
      </c>
      <c r="B1337" s="49">
        <v>795</v>
      </c>
      <c r="C1337" s="10" t="s">
        <v>180</v>
      </c>
      <c r="D1337" s="10" t="s">
        <v>19</v>
      </c>
      <c r="E1337" s="15" t="s">
        <v>221</v>
      </c>
      <c r="F1337" s="15"/>
      <c r="G1337" s="74">
        <f>G1338+G1347+G1341+G1344</f>
        <v>2279060.33</v>
      </c>
      <c r="H1337" s="74">
        <f>H1338+H1347+H1341+H1344</f>
        <v>718270.21</v>
      </c>
      <c r="I1337" s="74">
        <f>I1338+I1347+I1341+I1344</f>
        <v>464948426.54000002</v>
      </c>
    </row>
    <row r="1338" spans="1:9" s="18" customFormat="1" ht="89.25">
      <c r="A1338" s="16" t="s">
        <v>454</v>
      </c>
      <c r="B1338" s="49">
        <v>795</v>
      </c>
      <c r="C1338" s="10" t="s">
        <v>180</v>
      </c>
      <c r="D1338" s="10" t="s">
        <v>19</v>
      </c>
      <c r="E1338" s="15" t="s">
        <v>545</v>
      </c>
      <c r="F1338" s="15"/>
      <c r="G1338" s="74">
        <f>G1339</f>
        <v>1120140</v>
      </c>
      <c r="H1338" s="74">
        <f t="shared" ref="H1338:I1342" si="352">H1339</f>
        <v>0</v>
      </c>
      <c r="I1338" s="74">
        <f t="shared" si="352"/>
        <v>454214220.66000003</v>
      </c>
    </row>
    <row r="1339" spans="1:9" s="18" customFormat="1" ht="23.25" customHeight="1">
      <c r="A1339" s="86" t="s">
        <v>64</v>
      </c>
      <c r="B1339" s="49">
        <v>795</v>
      </c>
      <c r="C1339" s="10" t="s">
        <v>180</v>
      </c>
      <c r="D1339" s="10" t="s">
        <v>19</v>
      </c>
      <c r="E1339" s="15" t="s">
        <v>545</v>
      </c>
      <c r="F1339" s="15" t="s">
        <v>65</v>
      </c>
      <c r="G1339" s="74">
        <f>G1340</f>
        <v>1120140</v>
      </c>
      <c r="H1339" s="74">
        <f t="shared" si="352"/>
        <v>0</v>
      </c>
      <c r="I1339" s="74">
        <f t="shared" si="352"/>
        <v>454214220.66000003</v>
      </c>
    </row>
    <row r="1340" spans="1:9" s="18" customFormat="1" ht="20.25" customHeight="1">
      <c r="A1340" s="201" t="s">
        <v>150</v>
      </c>
      <c r="B1340" s="49">
        <v>795</v>
      </c>
      <c r="C1340" s="10" t="s">
        <v>180</v>
      </c>
      <c r="D1340" s="10" t="s">
        <v>19</v>
      </c>
      <c r="E1340" s="15" t="s">
        <v>545</v>
      </c>
      <c r="F1340" s="15" t="s">
        <v>68</v>
      </c>
      <c r="G1340" s="74">
        <f>13720000-12599860</f>
        <v>1120140</v>
      </c>
      <c r="H1340" s="74">
        <f>239528616.36-239528616.36</f>
        <v>0</v>
      </c>
      <c r="I1340" s="74">
        <f>453751209.22+463011.44</f>
        <v>454214220.66000003</v>
      </c>
    </row>
    <row r="1341" spans="1:9" s="18" customFormat="1" ht="76.5">
      <c r="A1341" s="86" t="s">
        <v>455</v>
      </c>
      <c r="B1341" s="49">
        <v>795</v>
      </c>
      <c r="C1341" s="10" t="s">
        <v>180</v>
      </c>
      <c r="D1341" s="10" t="s">
        <v>19</v>
      </c>
      <c r="E1341" s="15" t="s">
        <v>546</v>
      </c>
      <c r="F1341" s="15"/>
      <c r="G1341" s="74">
        <f>G1342</f>
        <v>21717</v>
      </c>
      <c r="H1341" s="74">
        <f t="shared" si="352"/>
        <v>0</v>
      </c>
      <c r="I1341" s="74">
        <f t="shared" si="352"/>
        <v>8797217.3200000003</v>
      </c>
    </row>
    <row r="1342" spans="1:9" s="18" customFormat="1" ht="22.5" customHeight="1">
      <c r="A1342" s="86" t="s">
        <v>64</v>
      </c>
      <c r="B1342" s="49">
        <v>795</v>
      </c>
      <c r="C1342" s="10" t="s">
        <v>180</v>
      </c>
      <c r="D1342" s="10" t="s">
        <v>19</v>
      </c>
      <c r="E1342" s="15" t="s">
        <v>546</v>
      </c>
      <c r="F1342" s="15" t="s">
        <v>65</v>
      </c>
      <c r="G1342" s="74">
        <f>G1343</f>
        <v>21717</v>
      </c>
      <c r="H1342" s="74">
        <f t="shared" si="352"/>
        <v>0</v>
      </c>
      <c r="I1342" s="74">
        <f t="shared" si="352"/>
        <v>8797217.3200000003</v>
      </c>
    </row>
    <row r="1343" spans="1:9" s="18" customFormat="1" ht="17.25" customHeight="1">
      <c r="A1343" s="201" t="s">
        <v>150</v>
      </c>
      <c r="B1343" s="49">
        <v>795</v>
      </c>
      <c r="C1343" s="10" t="s">
        <v>180</v>
      </c>
      <c r="D1343" s="10" t="s">
        <v>19</v>
      </c>
      <c r="E1343" s="15" t="s">
        <v>546</v>
      </c>
      <c r="F1343" s="15" t="s">
        <v>68</v>
      </c>
      <c r="G1343" s="74">
        <f>266000-244283</f>
        <v>21717</v>
      </c>
      <c r="H1343" s="74">
        <f>4643922.15-4643922.15</f>
        <v>0</v>
      </c>
      <c r="I1343" s="74">
        <f>8797217.32</f>
        <v>8797217.3200000003</v>
      </c>
    </row>
    <row r="1344" spans="1:9" s="18" customFormat="1" ht="85.5" customHeight="1">
      <c r="A1344" s="86" t="s">
        <v>910</v>
      </c>
      <c r="B1344" s="49">
        <v>795</v>
      </c>
      <c r="C1344" s="10" t="s">
        <v>180</v>
      </c>
      <c r="D1344" s="10" t="s">
        <v>19</v>
      </c>
      <c r="E1344" s="15" t="s">
        <v>911</v>
      </c>
      <c r="F1344" s="15"/>
      <c r="G1344" s="74">
        <f t="shared" ref="G1344:I1345" si="353">G1345</f>
        <v>1143</v>
      </c>
      <c r="H1344" s="74">
        <f t="shared" si="353"/>
        <v>0</v>
      </c>
      <c r="I1344" s="74">
        <f t="shared" si="353"/>
        <v>0</v>
      </c>
    </row>
    <row r="1345" spans="1:9" s="18" customFormat="1" ht="17.25" customHeight="1">
      <c r="A1345" s="86" t="s">
        <v>64</v>
      </c>
      <c r="B1345" s="49">
        <v>795</v>
      </c>
      <c r="C1345" s="10" t="s">
        <v>180</v>
      </c>
      <c r="D1345" s="10" t="s">
        <v>19</v>
      </c>
      <c r="E1345" s="15" t="s">
        <v>911</v>
      </c>
      <c r="F1345" s="15" t="s">
        <v>65</v>
      </c>
      <c r="G1345" s="74">
        <f t="shared" si="353"/>
        <v>1143</v>
      </c>
      <c r="H1345" s="74">
        <f t="shared" si="353"/>
        <v>0</v>
      </c>
      <c r="I1345" s="74">
        <f t="shared" si="353"/>
        <v>0</v>
      </c>
    </row>
    <row r="1346" spans="1:9" s="18" customFormat="1" ht="17.25" customHeight="1">
      <c r="A1346" s="201" t="s">
        <v>150</v>
      </c>
      <c r="B1346" s="49">
        <v>795</v>
      </c>
      <c r="C1346" s="10" t="s">
        <v>180</v>
      </c>
      <c r="D1346" s="10" t="s">
        <v>19</v>
      </c>
      <c r="E1346" s="15" t="s">
        <v>911</v>
      </c>
      <c r="F1346" s="15" t="s">
        <v>68</v>
      </c>
      <c r="G1346" s="74">
        <v>1143</v>
      </c>
      <c r="H1346" s="74"/>
      <c r="I1346" s="74"/>
    </row>
    <row r="1347" spans="1:9" s="46" customFormat="1" ht="48.75" customHeight="1">
      <c r="A1347" s="16" t="s">
        <v>437</v>
      </c>
      <c r="B1347" s="49">
        <v>795</v>
      </c>
      <c r="C1347" s="10" t="s">
        <v>180</v>
      </c>
      <c r="D1347" s="10" t="s">
        <v>19</v>
      </c>
      <c r="E1347" s="15" t="s">
        <v>389</v>
      </c>
      <c r="F1347" s="15"/>
      <c r="G1347" s="74">
        <f>G1348+G1353</f>
        <v>1136060.33</v>
      </c>
      <c r="H1347" s="74">
        <f t="shared" ref="G1347:I1348" si="354">H1348</f>
        <v>718270.21</v>
      </c>
      <c r="I1347" s="74">
        <f t="shared" si="354"/>
        <v>1936988.56</v>
      </c>
    </row>
    <row r="1348" spans="1:9" s="46" customFormat="1" ht="21" customHeight="1">
      <c r="A1348" s="16" t="s">
        <v>334</v>
      </c>
      <c r="B1348" s="49">
        <v>795</v>
      </c>
      <c r="C1348" s="10" t="s">
        <v>180</v>
      </c>
      <c r="D1348" s="10" t="s">
        <v>19</v>
      </c>
      <c r="E1348" s="15" t="s">
        <v>389</v>
      </c>
      <c r="F1348" s="15" t="s">
        <v>37</v>
      </c>
      <c r="G1348" s="74">
        <f t="shared" si="354"/>
        <v>736060.33000000007</v>
      </c>
      <c r="H1348" s="74">
        <f t="shared" si="354"/>
        <v>718270.21</v>
      </c>
      <c r="I1348" s="74">
        <f t="shared" si="354"/>
        <v>1936988.56</v>
      </c>
    </row>
    <row r="1349" spans="1:9" s="46" customFormat="1" ht="28.5" customHeight="1">
      <c r="A1349" s="16" t="s">
        <v>38</v>
      </c>
      <c r="B1349" s="49">
        <v>795</v>
      </c>
      <c r="C1349" s="10" t="s">
        <v>180</v>
      </c>
      <c r="D1349" s="10" t="s">
        <v>19</v>
      </c>
      <c r="E1349" s="15" t="s">
        <v>389</v>
      </c>
      <c r="F1349" s="15" t="s">
        <v>39</v>
      </c>
      <c r="G1349" s="74">
        <f>2400000+237203.33-1500000-400000-1143</f>
        <v>736060.33000000007</v>
      </c>
      <c r="H1349" s="74">
        <f>2400000-1681729.79</f>
        <v>718270.21</v>
      </c>
      <c r="I1349" s="74">
        <f>2400000-463011.44</f>
        <v>1936988.56</v>
      </c>
    </row>
    <row r="1350" spans="1:9" ht="25.5" hidden="1">
      <c r="A1350" s="16" t="s">
        <v>176</v>
      </c>
      <c r="B1350" s="49">
        <v>795</v>
      </c>
      <c r="C1350" s="10" t="s">
        <v>180</v>
      </c>
      <c r="D1350" s="10" t="s">
        <v>19</v>
      </c>
      <c r="E1350" s="15" t="s">
        <v>285</v>
      </c>
      <c r="F1350" s="15"/>
      <c r="G1350" s="74">
        <f>G1351</f>
        <v>0</v>
      </c>
      <c r="H1350" s="74"/>
      <c r="I1350" s="74"/>
    </row>
    <row r="1351" spans="1:9" ht="25.5" hidden="1">
      <c r="A1351" s="16" t="s">
        <v>334</v>
      </c>
      <c r="B1351" s="49">
        <v>795</v>
      </c>
      <c r="C1351" s="10" t="s">
        <v>180</v>
      </c>
      <c r="D1351" s="10" t="s">
        <v>19</v>
      </c>
      <c r="E1351" s="15" t="s">
        <v>285</v>
      </c>
      <c r="F1351" s="15" t="s">
        <v>37</v>
      </c>
      <c r="G1351" s="74">
        <f>G1352</f>
        <v>0</v>
      </c>
      <c r="H1351" s="74"/>
      <c r="I1351" s="74"/>
    </row>
    <row r="1352" spans="1:9" ht="25.5" hidden="1">
      <c r="A1352" s="16" t="s">
        <v>38</v>
      </c>
      <c r="B1352" s="49">
        <v>795</v>
      </c>
      <c r="C1352" s="10" t="s">
        <v>180</v>
      </c>
      <c r="D1352" s="10" t="s">
        <v>19</v>
      </c>
      <c r="E1352" s="15" t="s">
        <v>285</v>
      </c>
      <c r="F1352" s="15" t="s">
        <v>39</v>
      </c>
      <c r="G1352" s="74"/>
      <c r="H1352" s="74">
        <v>0</v>
      </c>
      <c r="I1352" s="74">
        <v>0</v>
      </c>
    </row>
    <row r="1353" spans="1:9" ht="23.25" customHeight="1">
      <c r="A1353" s="86" t="s">
        <v>163</v>
      </c>
      <c r="B1353" s="49">
        <v>795</v>
      </c>
      <c r="C1353" s="10" t="s">
        <v>180</v>
      </c>
      <c r="D1353" s="10" t="s">
        <v>19</v>
      </c>
      <c r="E1353" s="15" t="s">
        <v>389</v>
      </c>
      <c r="F1353" s="15" t="s">
        <v>164</v>
      </c>
      <c r="G1353" s="74">
        <f>G1354</f>
        <v>400000</v>
      </c>
      <c r="H1353" s="74">
        <f>H1354</f>
        <v>0</v>
      </c>
      <c r="I1353" s="74">
        <f>I1354</f>
        <v>0</v>
      </c>
    </row>
    <row r="1354" spans="1:9" ht="23.25" customHeight="1">
      <c r="A1354" s="86" t="s">
        <v>185</v>
      </c>
      <c r="B1354" s="49">
        <v>795</v>
      </c>
      <c r="C1354" s="10" t="s">
        <v>180</v>
      </c>
      <c r="D1354" s="10" t="s">
        <v>19</v>
      </c>
      <c r="E1354" s="15" t="s">
        <v>389</v>
      </c>
      <c r="F1354" s="15" t="s">
        <v>186</v>
      </c>
      <c r="G1354" s="74">
        <v>400000</v>
      </c>
      <c r="H1354" s="74">
        <v>0</v>
      </c>
      <c r="I1354" s="74">
        <v>0</v>
      </c>
    </row>
    <row r="1355" spans="1:9">
      <c r="A1355" s="13" t="s">
        <v>182</v>
      </c>
      <c r="B1355" s="49">
        <v>795</v>
      </c>
      <c r="C1355" s="15" t="s">
        <v>180</v>
      </c>
      <c r="D1355" s="15" t="s">
        <v>28</v>
      </c>
      <c r="E1355" s="15"/>
      <c r="F1355" s="15"/>
      <c r="G1355" s="74">
        <f>G1356+G1417+G1429</f>
        <v>18906364.420000002</v>
      </c>
      <c r="H1355" s="74">
        <f>H1356+H1406+H1411</f>
        <v>2562715</v>
      </c>
      <c r="I1355" s="74">
        <f>I1356+I1406+I1411</f>
        <v>2562715</v>
      </c>
    </row>
    <row r="1356" spans="1:9" s="3" customFormat="1" ht="52.5" customHeight="1">
      <c r="A1356" s="16" t="s">
        <v>513</v>
      </c>
      <c r="B1356" s="49">
        <v>795</v>
      </c>
      <c r="C1356" s="15" t="s">
        <v>180</v>
      </c>
      <c r="D1356" s="15" t="s">
        <v>28</v>
      </c>
      <c r="E1356" s="15" t="s">
        <v>305</v>
      </c>
      <c r="F1356" s="15"/>
      <c r="G1356" s="74">
        <f>G1357+G1365+G1368+G1371+G1374+G1377+G1380+G1383+G1391+G1414</f>
        <v>12283326.420000002</v>
      </c>
      <c r="H1356" s="74">
        <f t="shared" ref="H1356:I1356" si="355">H1357+H1365+H1368+H1371+H1374+H1377+H1380+H1383+H1391+H1414</f>
        <v>2562715</v>
      </c>
      <c r="I1356" s="74">
        <f t="shared" si="355"/>
        <v>2562715</v>
      </c>
    </row>
    <row r="1357" spans="1:9" ht="48" customHeight="1">
      <c r="A1357" s="86" t="s">
        <v>909</v>
      </c>
      <c r="B1357" s="49">
        <v>795</v>
      </c>
      <c r="C1357" s="15" t="s">
        <v>180</v>
      </c>
      <c r="D1357" s="15" t="s">
        <v>28</v>
      </c>
      <c r="E1357" s="15" t="s">
        <v>306</v>
      </c>
      <c r="F1357" s="15"/>
      <c r="G1357" s="74">
        <f>G1358+G1360</f>
        <v>4864435.9000000004</v>
      </c>
      <c r="H1357" s="74">
        <f t="shared" ref="G1357:I1366" si="356">H1358</f>
        <v>1000000</v>
      </c>
      <c r="I1357" s="74">
        <f t="shared" si="356"/>
        <v>1000000</v>
      </c>
    </row>
    <row r="1358" spans="1:9" ht="25.5">
      <c r="A1358" s="16" t="s">
        <v>36</v>
      </c>
      <c r="B1358" s="49">
        <v>795</v>
      </c>
      <c r="C1358" s="15" t="s">
        <v>180</v>
      </c>
      <c r="D1358" s="15" t="s">
        <v>28</v>
      </c>
      <c r="E1358" s="15" t="s">
        <v>306</v>
      </c>
      <c r="F1358" s="15" t="s">
        <v>37</v>
      </c>
      <c r="G1358" s="74">
        <f t="shared" si="356"/>
        <v>4864435.9000000004</v>
      </c>
      <c r="H1358" s="74">
        <f t="shared" si="356"/>
        <v>1000000</v>
      </c>
      <c r="I1358" s="74">
        <f t="shared" si="356"/>
        <v>1000000</v>
      </c>
    </row>
    <row r="1359" spans="1:9" ht="25.5">
      <c r="A1359" s="16" t="s">
        <v>38</v>
      </c>
      <c r="B1359" s="49">
        <v>795</v>
      </c>
      <c r="C1359" s="15" t="s">
        <v>180</v>
      </c>
      <c r="D1359" s="15" t="s">
        <v>28</v>
      </c>
      <c r="E1359" s="15" t="s">
        <v>306</v>
      </c>
      <c r="F1359" s="15" t="s">
        <v>39</v>
      </c>
      <c r="G1359" s="74">
        <f>3314435.9+650000+150000+750000</f>
        <v>4864435.9000000004</v>
      </c>
      <c r="H1359" s="74">
        <v>1000000</v>
      </c>
      <c r="I1359" s="74">
        <v>1000000</v>
      </c>
    </row>
    <row r="1360" spans="1:9" hidden="1">
      <c r="A1360" s="16" t="s">
        <v>64</v>
      </c>
      <c r="B1360" s="49">
        <v>795</v>
      </c>
      <c r="C1360" s="15" t="s">
        <v>180</v>
      </c>
      <c r="D1360" s="15" t="s">
        <v>28</v>
      </c>
      <c r="E1360" s="15" t="s">
        <v>306</v>
      </c>
      <c r="F1360" s="15" t="s">
        <v>65</v>
      </c>
      <c r="G1360" s="74">
        <f>G1361</f>
        <v>0</v>
      </c>
      <c r="H1360" s="74"/>
      <c r="I1360" s="74"/>
    </row>
    <row r="1361" spans="1:9" hidden="1">
      <c r="A1361" s="16" t="s">
        <v>187</v>
      </c>
      <c r="B1361" s="49">
        <v>795</v>
      </c>
      <c r="C1361" s="15" t="s">
        <v>180</v>
      </c>
      <c r="D1361" s="15" t="s">
        <v>28</v>
      </c>
      <c r="E1361" s="15" t="s">
        <v>306</v>
      </c>
      <c r="F1361" s="15" t="s">
        <v>188</v>
      </c>
      <c r="G1361" s="74">
        <v>0</v>
      </c>
      <c r="H1361" s="74"/>
      <c r="I1361" s="74"/>
    </row>
    <row r="1362" spans="1:9" hidden="1">
      <c r="A1362" s="16" t="s">
        <v>726</v>
      </c>
      <c r="B1362" s="49">
        <v>795</v>
      </c>
      <c r="C1362" s="15" t="s">
        <v>180</v>
      </c>
      <c r="D1362" s="15" t="s">
        <v>28</v>
      </c>
      <c r="E1362" s="15" t="s">
        <v>725</v>
      </c>
      <c r="F1362" s="15"/>
      <c r="G1362" s="74">
        <f t="shared" si="356"/>
        <v>0</v>
      </c>
      <c r="H1362" s="74">
        <f t="shared" si="356"/>
        <v>0</v>
      </c>
      <c r="I1362" s="74">
        <f t="shared" si="356"/>
        <v>0</v>
      </c>
    </row>
    <row r="1363" spans="1:9" ht="25.5" hidden="1">
      <c r="A1363" s="16" t="s">
        <v>36</v>
      </c>
      <c r="B1363" s="49">
        <v>795</v>
      </c>
      <c r="C1363" s="15" t="s">
        <v>180</v>
      </c>
      <c r="D1363" s="15" t="s">
        <v>28</v>
      </c>
      <c r="E1363" s="15" t="s">
        <v>725</v>
      </c>
      <c r="F1363" s="15" t="s">
        <v>37</v>
      </c>
      <c r="G1363" s="74">
        <f t="shared" si="356"/>
        <v>0</v>
      </c>
      <c r="H1363" s="74">
        <f t="shared" si="356"/>
        <v>0</v>
      </c>
      <c r="I1363" s="74">
        <f t="shared" si="356"/>
        <v>0</v>
      </c>
    </row>
    <row r="1364" spans="1:9" ht="25.5" hidden="1">
      <c r="A1364" s="16" t="s">
        <v>38</v>
      </c>
      <c r="B1364" s="49">
        <v>795</v>
      </c>
      <c r="C1364" s="15" t="s">
        <v>180</v>
      </c>
      <c r="D1364" s="15" t="s">
        <v>28</v>
      </c>
      <c r="E1364" s="15" t="s">
        <v>725</v>
      </c>
      <c r="F1364" s="15" t="s">
        <v>39</v>
      </c>
      <c r="G1364" s="74"/>
      <c r="H1364" s="74">
        <v>0</v>
      </c>
      <c r="I1364" s="74">
        <v>0</v>
      </c>
    </row>
    <row r="1365" spans="1:9">
      <c r="A1365" s="16" t="s">
        <v>780</v>
      </c>
      <c r="B1365" s="49">
        <v>795</v>
      </c>
      <c r="C1365" s="15" t="s">
        <v>180</v>
      </c>
      <c r="D1365" s="15" t="s">
        <v>28</v>
      </c>
      <c r="E1365" s="15" t="s">
        <v>779</v>
      </c>
      <c r="F1365" s="15"/>
      <c r="G1365" s="74">
        <f t="shared" si="356"/>
        <v>310000</v>
      </c>
      <c r="H1365" s="74">
        <f t="shared" si="356"/>
        <v>0</v>
      </c>
      <c r="I1365" s="74">
        <f t="shared" si="356"/>
        <v>0</v>
      </c>
    </row>
    <row r="1366" spans="1:9" ht="25.5">
      <c r="A1366" s="16" t="s">
        <v>36</v>
      </c>
      <c r="B1366" s="49">
        <v>795</v>
      </c>
      <c r="C1366" s="15" t="s">
        <v>180</v>
      </c>
      <c r="D1366" s="15" t="s">
        <v>28</v>
      </c>
      <c r="E1366" s="15" t="s">
        <v>779</v>
      </c>
      <c r="F1366" s="15" t="s">
        <v>37</v>
      </c>
      <c r="G1366" s="74">
        <f t="shared" si="356"/>
        <v>310000</v>
      </c>
      <c r="H1366" s="74">
        <f t="shared" si="356"/>
        <v>0</v>
      </c>
      <c r="I1366" s="74">
        <f t="shared" si="356"/>
        <v>0</v>
      </c>
    </row>
    <row r="1367" spans="1:9" ht="25.5">
      <c r="A1367" s="16" t="s">
        <v>38</v>
      </c>
      <c r="B1367" s="49">
        <v>795</v>
      </c>
      <c r="C1367" s="15" t="s">
        <v>180</v>
      </c>
      <c r="D1367" s="15" t="s">
        <v>28</v>
      </c>
      <c r="E1367" s="15" t="s">
        <v>779</v>
      </c>
      <c r="F1367" s="15" t="s">
        <v>39</v>
      </c>
      <c r="G1367" s="74">
        <v>310000</v>
      </c>
      <c r="H1367" s="74">
        <v>0</v>
      </c>
      <c r="I1367" s="74">
        <v>0</v>
      </c>
    </row>
    <row r="1368" spans="1:9" s="3" customFormat="1" ht="67.5" customHeight="1">
      <c r="A1368" s="86" t="s">
        <v>331</v>
      </c>
      <c r="B1368" s="49">
        <v>795</v>
      </c>
      <c r="C1368" s="15" t="s">
        <v>180</v>
      </c>
      <c r="D1368" s="15" t="s">
        <v>28</v>
      </c>
      <c r="E1368" s="15" t="s">
        <v>332</v>
      </c>
      <c r="F1368" s="15"/>
      <c r="G1368" s="74">
        <f>G1370</f>
        <v>662715</v>
      </c>
      <c r="H1368" s="74">
        <f>H1370</f>
        <v>662715</v>
      </c>
      <c r="I1368" s="74">
        <f>I1370</f>
        <v>662715</v>
      </c>
    </row>
    <row r="1369" spans="1:9">
      <c r="A1369" s="86" t="s">
        <v>163</v>
      </c>
      <c r="B1369" s="49">
        <v>795</v>
      </c>
      <c r="C1369" s="15" t="s">
        <v>180</v>
      </c>
      <c r="D1369" s="15" t="s">
        <v>28</v>
      </c>
      <c r="E1369" s="15" t="s">
        <v>332</v>
      </c>
      <c r="F1369" s="15" t="s">
        <v>164</v>
      </c>
      <c r="G1369" s="74">
        <f>G1370</f>
        <v>662715</v>
      </c>
      <c r="H1369" s="74">
        <f>H1370</f>
        <v>662715</v>
      </c>
      <c r="I1369" s="74">
        <f>I1370</f>
        <v>662715</v>
      </c>
    </row>
    <row r="1370" spans="1:9">
      <c r="A1370" s="86" t="s">
        <v>185</v>
      </c>
      <c r="B1370" s="49">
        <v>795</v>
      </c>
      <c r="C1370" s="15" t="s">
        <v>180</v>
      </c>
      <c r="D1370" s="15" t="s">
        <v>28</v>
      </c>
      <c r="E1370" s="15" t="s">
        <v>332</v>
      </c>
      <c r="F1370" s="15" t="s">
        <v>186</v>
      </c>
      <c r="G1370" s="74">
        <v>662715</v>
      </c>
      <c r="H1370" s="74">
        <f>G1370</f>
        <v>662715</v>
      </c>
      <c r="I1370" s="74">
        <f>H1370</f>
        <v>662715</v>
      </c>
    </row>
    <row r="1371" spans="1:9" ht="44.25" customHeight="1">
      <c r="A1371" s="86" t="s">
        <v>852</v>
      </c>
      <c r="B1371" s="49">
        <v>795</v>
      </c>
      <c r="C1371" s="15" t="s">
        <v>180</v>
      </c>
      <c r="D1371" s="15" t="s">
        <v>28</v>
      </c>
      <c r="E1371" s="15" t="s">
        <v>851</v>
      </c>
      <c r="F1371" s="15"/>
      <c r="G1371" s="74">
        <f t="shared" ref="G1371:I1381" si="357">G1372</f>
        <v>1780456.2</v>
      </c>
      <c r="H1371" s="74">
        <f t="shared" si="357"/>
        <v>0</v>
      </c>
      <c r="I1371" s="74">
        <f t="shared" si="357"/>
        <v>0</v>
      </c>
    </row>
    <row r="1372" spans="1:9" ht="34.5" customHeight="1">
      <c r="A1372" s="86" t="s">
        <v>36</v>
      </c>
      <c r="B1372" s="49">
        <v>795</v>
      </c>
      <c r="C1372" s="15" t="s">
        <v>180</v>
      </c>
      <c r="D1372" s="15" t="s">
        <v>28</v>
      </c>
      <c r="E1372" s="15" t="s">
        <v>851</v>
      </c>
      <c r="F1372" s="15" t="s">
        <v>359</v>
      </c>
      <c r="G1372" s="74">
        <f t="shared" si="357"/>
        <v>1780456.2</v>
      </c>
      <c r="H1372" s="74">
        <f t="shared" si="357"/>
        <v>0</v>
      </c>
      <c r="I1372" s="74">
        <f t="shared" si="357"/>
        <v>0</v>
      </c>
    </row>
    <row r="1373" spans="1:9" ht="34.5" customHeight="1">
      <c r="A1373" s="16" t="s">
        <v>38</v>
      </c>
      <c r="B1373" s="49">
        <v>795</v>
      </c>
      <c r="C1373" s="15" t="s">
        <v>180</v>
      </c>
      <c r="D1373" s="15" t="s">
        <v>28</v>
      </c>
      <c r="E1373" s="15" t="s">
        <v>851</v>
      </c>
      <c r="F1373" s="15" t="s">
        <v>361</v>
      </c>
      <c r="G1373" s="74">
        <v>1780456.2</v>
      </c>
      <c r="H1373" s="74">
        <f>832780-832780</f>
        <v>0</v>
      </c>
      <c r="I1373" s="74">
        <v>0</v>
      </c>
    </row>
    <row r="1374" spans="1:9" ht="44.25" customHeight="1">
      <c r="A1374" s="86" t="s">
        <v>854</v>
      </c>
      <c r="B1374" s="49">
        <v>795</v>
      </c>
      <c r="C1374" s="15" t="s">
        <v>180</v>
      </c>
      <c r="D1374" s="15" t="s">
        <v>28</v>
      </c>
      <c r="E1374" s="15" t="s">
        <v>853</v>
      </c>
      <c r="F1374" s="15"/>
      <c r="G1374" s="74">
        <f t="shared" si="357"/>
        <v>1780456.2</v>
      </c>
      <c r="H1374" s="74">
        <f t="shared" si="357"/>
        <v>0</v>
      </c>
      <c r="I1374" s="74">
        <f t="shared" si="357"/>
        <v>0</v>
      </c>
    </row>
    <row r="1375" spans="1:9" ht="34.5" customHeight="1">
      <c r="A1375" s="86" t="s">
        <v>36</v>
      </c>
      <c r="B1375" s="49">
        <v>795</v>
      </c>
      <c r="C1375" s="15" t="s">
        <v>180</v>
      </c>
      <c r="D1375" s="15" t="s">
        <v>28</v>
      </c>
      <c r="E1375" s="15" t="s">
        <v>853</v>
      </c>
      <c r="F1375" s="15" t="s">
        <v>359</v>
      </c>
      <c r="G1375" s="74">
        <f t="shared" si="357"/>
        <v>1780456.2</v>
      </c>
      <c r="H1375" s="74">
        <f t="shared" si="357"/>
        <v>0</v>
      </c>
      <c r="I1375" s="74">
        <f t="shared" si="357"/>
        <v>0</v>
      </c>
    </row>
    <row r="1376" spans="1:9" ht="34.5" customHeight="1">
      <c r="A1376" s="16" t="s">
        <v>38</v>
      </c>
      <c r="B1376" s="49">
        <v>795</v>
      </c>
      <c r="C1376" s="15" t="s">
        <v>180</v>
      </c>
      <c r="D1376" s="15" t="s">
        <v>28</v>
      </c>
      <c r="E1376" s="15" t="s">
        <v>853</v>
      </c>
      <c r="F1376" s="15" t="s">
        <v>361</v>
      </c>
      <c r="G1376" s="74">
        <v>1780456.2</v>
      </c>
      <c r="H1376" s="74">
        <f>832780-832780</f>
        <v>0</v>
      </c>
      <c r="I1376" s="74">
        <v>0</v>
      </c>
    </row>
    <row r="1377" spans="1:9" ht="44.25" customHeight="1">
      <c r="A1377" s="86" t="s">
        <v>856</v>
      </c>
      <c r="B1377" s="49">
        <v>795</v>
      </c>
      <c r="C1377" s="15" t="s">
        <v>180</v>
      </c>
      <c r="D1377" s="15" t="s">
        <v>28</v>
      </c>
      <c r="E1377" s="15" t="s">
        <v>855</v>
      </c>
      <c r="F1377" s="15"/>
      <c r="G1377" s="74">
        <f t="shared" si="357"/>
        <v>1865263.12</v>
      </c>
      <c r="H1377" s="74">
        <f t="shared" si="357"/>
        <v>0</v>
      </c>
      <c r="I1377" s="74">
        <f t="shared" si="357"/>
        <v>0</v>
      </c>
    </row>
    <row r="1378" spans="1:9" ht="34.5" customHeight="1">
      <c r="A1378" s="86" t="s">
        <v>36</v>
      </c>
      <c r="B1378" s="49">
        <v>795</v>
      </c>
      <c r="C1378" s="15" t="s">
        <v>180</v>
      </c>
      <c r="D1378" s="15" t="s">
        <v>28</v>
      </c>
      <c r="E1378" s="15" t="s">
        <v>855</v>
      </c>
      <c r="F1378" s="15" t="s">
        <v>359</v>
      </c>
      <c r="G1378" s="74">
        <f t="shared" si="357"/>
        <v>1865263.12</v>
      </c>
      <c r="H1378" s="74">
        <f t="shared" si="357"/>
        <v>0</v>
      </c>
      <c r="I1378" s="74">
        <f t="shared" si="357"/>
        <v>0</v>
      </c>
    </row>
    <row r="1379" spans="1:9" ht="34.5" customHeight="1">
      <c r="A1379" s="16" t="s">
        <v>38</v>
      </c>
      <c r="B1379" s="49">
        <v>795</v>
      </c>
      <c r="C1379" s="15" t="s">
        <v>180</v>
      </c>
      <c r="D1379" s="15" t="s">
        <v>28</v>
      </c>
      <c r="E1379" s="15" t="s">
        <v>855</v>
      </c>
      <c r="F1379" s="15" t="s">
        <v>361</v>
      </c>
      <c r="G1379" s="74">
        <f>1265263.12+600000</f>
        <v>1865263.12</v>
      </c>
      <c r="H1379" s="74">
        <f>832780-832780</f>
        <v>0</v>
      </c>
      <c r="I1379" s="74">
        <v>0</v>
      </c>
    </row>
    <row r="1380" spans="1:9" ht="57" customHeight="1">
      <c r="A1380" s="86" t="s">
        <v>858</v>
      </c>
      <c r="B1380" s="49">
        <v>795</v>
      </c>
      <c r="C1380" s="15" t="s">
        <v>180</v>
      </c>
      <c r="D1380" s="15" t="s">
        <v>28</v>
      </c>
      <c r="E1380" s="15" t="s">
        <v>857</v>
      </c>
      <c r="F1380" s="15"/>
      <c r="G1380" s="74">
        <f t="shared" si="357"/>
        <v>20000</v>
      </c>
      <c r="H1380" s="74">
        <f t="shared" si="357"/>
        <v>0</v>
      </c>
      <c r="I1380" s="74">
        <f t="shared" si="357"/>
        <v>0</v>
      </c>
    </row>
    <row r="1381" spans="1:9" ht="34.5" customHeight="1">
      <c r="A1381" s="86" t="s">
        <v>36</v>
      </c>
      <c r="B1381" s="49">
        <v>795</v>
      </c>
      <c r="C1381" s="15" t="s">
        <v>180</v>
      </c>
      <c r="D1381" s="15" t="s">
        <v>28</v>
      </c>
      <c r="E1381" s="15" t="s">
        <v>857</v>
      </c>
      <c r="F1381" s="15" t="s">
        <v>359</v>
      </c>
      <c r="G1381" s="74">
        <f t="shared" si="357"/>
        <v>20000</v>
      </c>
      <c r="H1381" s="74">
        <f t="shared" si="357"/>
        <v>0</v>
      </c>
      <c r="I1381" s="74">
        <f t="shared" si="357"/>
        <v>0</v>
      </c>
    </row>
    <row r="1382" spans="1:9" ht="34.5" customHeight="1">
      <c r="A1382" s="16" t="s">
        <v>38</v>
      </c>
      <c r="B1382" s="49">
        <v>795</v>
      </c>
      <c r="C1382" s="15" t="s">
        <v>180</v>
      </c>
      <c r="D1382" s="15" t="s">
        <v>28</v>
      </c>
      <c r="E1382" s="15" t="s">
        <v>857</v>
      </c>
      <c r="F1382" s="15" t="s">
        <v>361</v>
      </c>
      <c r="G1382" s="74">
        <v>20000</v>
      </c>
      <c r="H1382" s="74">
        <f>832780-832780</f>
        <v>0</v>
      </c>
      <c r="I1382" s="74">
        <v>0</v>
      </c>
    </row>
    <row r="1383" spans="1:9" ht="75" hidden="1" customHeight="1">
      <c r="A1383" s="86" t="s">
        <v>864</v>
      </c>
      <c r="B1383" s="49">
        <v>795</v>
      </c>
      <c r="C1383" s="15" t="s">
        <v>180</v>
      </c>
      <c r="D1383" s="15" t="s">
        <v>28</v>
      </c>
      <c r="E1383" s="15" t="s">
        <v>752</v>
      </c>
      <c r="F1383" s="15"/>
      <c r="G1383" s="74">
        <f>G1384+G1389</f>
        <v>0</v>
      </c>
      <c r="H1383" s="74">
        <f t="shared" ref="G1383:I1395" si="358">H1384</f>
        <v>0</v>
      </c>
      <c r="I1383" s="74">
        <f t="shared" si="358"/>
        <v>0</v>
      </c>
    </row>
    <row r="1384" spans="1:9" ht="34.5" hidden="1" customHeight="1">
      <c r="A1384" s="86" t="s">
        <v>36</v>
      </c>
      <c r="B1384" s="49">
        <v>795</v>
      </c>
      <c r="C1384" s="15" t="s">
        <v>180</v>
      </c>
      <c r="D1384" s="15" t="s">
        <v>28</v>
      </c>
      <c r="E1384" s="15" t="s">
        <v>752</v>
      </c>
      <c r="F1384" s="15" t="s">
        <v>359</v>
      </c>
      <c r="G1384" s="74">
        <f t="shared" si="358"/>
        <v>0</v>
      </c>
      <c r="H1384" s="74">
        <f t="shared" si="358"/>
        <v>0</v>
      </c>
      <c r="I1384" s="74">
        <f t="shared" si="358"/>
        <v>0</v>
      </c>
    </row>
    <row r="1385" spans="1:9" ht="34.5" hidden="1" customHeight="1">
      <c r="A1385" s="16" t="s">
        <v>38</v>
      </c>
      <c r="B1385" s="49">
        <v>795</v>
      </c>
      <c r="C1385" s="15" t="s">
        <v>180</v>
      </c>
      <c r="D1385" s="15" t="s">
        <v>28</v>
      </c>
      <c r="E1385" s="15" t="s">
        <v>752</v>
      </c>
      <c r="F1385" s="15" t="s">
        <v>361</v>
      </c>
      <c r="G1385" s="74">
        <f>675000-675000</f>
        <v>0</v>
      </c>
      <c r="H1385" s="74">
        <f>832780-832780</f>
        <v>0</v>
      </c>
      <c r="I1385" s="74">
        <v>0</v>
      </c>
    </row>
    <row r="1386" spans="1:9" ht="34.5" hidden="1" customHeight="1">
      <c r="A1386" s="16" t="s">
        <v>529</v>
      </c>
      <c r="B1386" s="49">
        <v>795</v>
      </c>
      <c r="C1386" s="15" t="s">
        <v>180</v>
      </c>
      <c r="D1386" s="15" t="s">
        <v>28</v>
      </c>
      <c r="E1386" s="88" t="s">
        <v>530</v>
      </c>
      <c r="F1386" s="15"/>
      <c r="G1386" s="74">
        <f t="shared" si="358"/>
        <v>0</v>
      </c>
      <c r="H1386" s="74">
        <f t="shared" si="358"/>
        <v>0</v>
      </c>
      <c r="I1386" s="74">
        <f t="shared" si="358"/>
        <v>0</v>
      </c>
    </row>
    <row r="1387" spans="1:9" ht="34.5" hidden="1" customHeight="1">
      <c r="A1387" s="16" t="s">
        <v>36</v>
      </c>
      <c r="B1387" s="49">
        <v>795</v>
      </c>
      <c r="C1387" s="15" t="s">
        <v>180</v>
      </c>
      <c r="D1387" s="15" t="s">
        <v>28</v>
      </c>
      <c r="E1387" s="15" t="s">
        <v>530</v>
      </c>
      <c r="F1387" s="15" t="s">
        <v>37</v>
      </c>
      <c r="G1387" s="74">
        <f t="shared" si="358"/>
        <v>0</v>
      </c>
      <c r="H1387" s="74">
        <f t="shared" si="358"/>
        <v>0</v>
      </c>
      <c r="I1387" s="74">
        <f t="shared" si="358"/>
        <v>0</v>
      </c>
    </row>
    <row r="1388" spans="1:9" ht="34.5" hidden="1" customHeight="1">
      <c r="A1388" s="16" t="s">
        <v>38</v>
      </c>
      <c r="B1388" s="49">
        <v>795</v>
      </c>
      <c r="C1388" s="15" t="s">
        <v>180</v>
      </c>
      <c r="D1388" s="15" t="s">
        <v>28</v>
      </c>
      <c r="E1388" s="15" t="s">
        <v>530</v>
      </c>
      <c r="F1388" s="15" t="s">
        <v>39</v>
      </c>
      <c r="G1388" s="74">
        <v>0</v>
      </c>
      <c r="H1388" s="74">
        <f>167220-167220</f>
        <v>0</v>
      </c>
      <c r="I1388" s="74"/>
    </row>
    <row r="1389" spans="1:9" ht="18" hidden="1" customHeight="1">
      <c r="A1389" s="86" t="s">
        <v>163</v>
      </c>
      <c r="B1389" s="49">
        <v>795</v>
      </c>
      <c r="C1389" s="15" t="s">
        <v>180</v>
      </c>
      <c r="D1389" s="15" t="s">
        <v>28</v>
      </c>
      <c r="E1389" s="15" t="s">
        <v>752</v>
      </c>
      <c r="F1389" s="88" t="s">
        <v>164</v>
      </c>
      <c r="G1389" s="74">
        <f>G1390</f>
        <v>0</v>
      </c>
      <c r="H1389" s="74">
        <f>H1390</f>
        <v>0</v>
      </c>
      <c r="I1389" s="74">
        <f>I1390</f>
        <v>0</v>
      </c>
    </row>
    <row r="1390" spans="1:9" ht="18" hidden="1" customHeight="1">
      <c r="A1390" s="86" t="s">
        <v>185</v>
      </c>
      <c r="B1390" s="49">
        <v>795</v>
      </c>
      <c r="C1390" s="15" t="s">
        <v>180</v>
      </c>
      <c r="D1390" s="15" t="s">
        <v>28</v>
      </c>
      <c r="E1390" s="15" t="s">
        <v>752</v>
      </c>
      <c r="F1390" s="88" t="s">
        <v>186</v>
      </c>
      <c r="G1390" s="74"/>
      <c r="H1390" s="74">
        <v>0</v>
      </c>
      <c r="I1390" s="74">
        <v>0</v>
      </c>
    </row>
    <row r="1391" spans="1:9" ht="34.5" customHeight="1">
      <c r="A1391" s="16" t="s">
        <v>556</v>
      </c>
      <c r="B1391" s="49">
        <v>795</v>
      </c>
      <c r="C1391" s="15" t="s">
        <v>180</v>
      </c>
      <c r="D1391" s="15" t="s">
        <v>28</v>
      </c>
      <c r="E1391" s="15" t="s">
        <v>555</v>
      </c>
      <c r="F1391" s="15"/>
      <c r="G1391" s="74">
        <f t="shared" si="358"/>
        <v>500000</v>
      </c>
      <c r="H1391" s="74">
        <f t="shared" si="358"/>
        <v>900000</v>
      </c>
      <c r="I1391" s="74">
        <f t="shared" si="358"/>
        <v>900000</v>
      </c>
    </row>
    <row r="1392" spans="1:9" ht="34.5" customHeight="1">
      <c r="A1392" s="16" t="s">
        <v>36</v>
      </c>
      <c r="B1392" s="49">
        <v>795</v>
      </c>
      <c r="C1392" s="15" t="s">
        <v>180</v>
      </c>
      <c r="D1392" s="15" t="s">
        <v>28</v>
      </c>
      <c r="E1392" s="15" t="s">
        <v>555</v>
      </c>
      <c r="F1392" s="15" t="s">
        <v>37</v>
      </c>
      <c r="G1392" s="74">
        <f t="shared" si="358"/>
        <v>500000</v>
      </c>
      <c r="H1392" s="74">
        <f t="shared" si="358"/>
        <v>900000</v>
      </c>
      <c r="I1392" s="74">
        <f t="shared" si="358"/>
        <v>900000</v>
      </c>
    </row>
    <row r="1393" spans="1:9" ht="34.5" customHeight="1">
      <c r="A1393" s="16" t="s">
        <v>38</v>
      </c>
      <c r="B1393" s="49">
        <v>795</v>
      </c>
      <c r="C1393" s="15" t="s">
        <v>180</v>
      </c>
      <c r="D1393" s="15" t="s">
        <v>28</v>
      </c>
      <c r="E1393" s="15" t="s">
        <v>555</v>
      </c>
      <c r="F1393" s="15" t="s">
        <v>39</v>
      </c>
      <c r="G1393" s="74">
        <f>900000-400000</f>
        <v>500000</v>
      </c>
      <c r="H1393" s="74">
        <v>900000</v>
      </c>
      <c r="I1393" s="74">
        <v>900000</v>
      </c>
    </row>
    <row r="1394" spans="1:9" ht="34.5" hidden="1" customHeight="1">
      <c r="A1394" s="16" t="s">
        <v>481</v>
      </c>
      <c r="B1394" s="49">
        <v>795</v>
      </c>
      <c r="C1394" s="15" t="s">
        <v>180</v>
      </c>
      <c r="D1394" s="15" t="s">
        <v>28</v>
      </c>
      <c r="E1394" s="15" t="s">
        <v>480</v>
      </c>
      <c r="F1394" s="15"/>
      <c r="G1394" s="74">
        <f t="shared" si="358"/>
        <v>0</v>
      </c>
      <c r="H1394" s="74">
        <f t="shared" si="358"/>
        <v>0</v>
      </c>
      <c r="I1394" s="74">
        <f t="shared" si="358"/>
        <v>0</v>
      </c>
    </row>
    <row r="1395" spans="1:9" ht="34.5" hidden="1" customHeight="1">
      <c r="A1395" s="86" t="s">
        <v>36</v>
      </c>
      <c r="B1395" s="49">
        <v>795</v>
      </c>
      <c r="C1395" s="15" t="s">
        <v>180</v>
      </c>
      <c r="D1395" s="15" t="s">
        <v>28</v>
      </c>
      <c r="E1395" s="15" t="s">
        <v>480</v>
      </c>
      <c r="F1395" s="15" t="s">
        <v>37</v>
      </c>
      <c r="G1395" s="74">
        <f t="shared" si="358"/>
        <v>0</v>
      </c>
      <c r="H1395" s="74">
        <f t="shared" si="358"/>
        <v>0</v>
      </c>
      <c r="I1395" s="74">
        <f t="shared" si="358"/>
        <v>0</v>
      </c>
    </row>
    <row r="1396" spans="1:9" ht="34.5" hidden="1" customHeight="1">
      <c r="A1396" s="86" t="s">
        <v>38</v>
      </c>
      <c r="B1396" s="49">
        <v>795</v>
      </c>
      <c r="C1396" s="15" t="s">
        <v>180</v>
      </c>
      <c r="D1396" s="15" t="s">
        <v>28</v>
      </c>
      <c r="E1396" s="15" t="s">
        <v>480</v>
      </c>
      <c r="F1396" s="15" t="s">
        <v>39</v>
      </c>
      <c r="G1396" s="74">
        <f>200000-200000</f>
        <v>0</v>
      </c>
      <c r="H1396" s="74"/>
      <c r="I1396" s="74"/>
    </row>
    <row r="1397" spans="1:9" ht="34.5" hidden="1" customHeight="1">
      <c r="A1397" s="86" t="s">
        <v>523</v>
      </c>
      <c r="B1397" s="49">
        <v>795</v>
      </c>
      <c r="C1397" s="15" t="s">
        <v>180</v>
      </c>
      <c r="D1397" s="15" t="s">
        <v>28</v>
      </c>
      <c r="E1397" s="15" t="s">
        <v>522</v>
      </c>
      <c r="F1397" s="15"/>
      <c r="G1397" s="74">
        <f>G1398</f>
        <v>0</v>
      </c>
      <c r="H1397" s="74">
        <f t="shared" ref="H1397:I1397" si="359">H1398</f>
        <v>0</v>
      </c>
      <c r="I1397" s="74">
        <f t="shared" si="359"/>
        <v>0</v>
      </c>
    </row>
    <row r="1398" spans="1:9" ht="34.5" hidden="1" customHeight="1">
      <c r="A1398" s="86" t="s">
        <v>99</v>
      </c>
      <c r="B1398" s="49">
        <v>795</v>
      </c>
      <c r="C1398" s="15" t="s">
        <v>180</v>
      </c>
      <c r="D1398" s="15" t="s">
        <v>28</v>
      </c>
      <c r="E1398" s="15" t="s">
        <v>522</v>
      </c>
      <c r="F1398" s="15" t="s">
        <v>359</v>
      </c>
      <c r="G1398" s="74">
        <f>G1399</f>
        <v>0</v>
      </c>
      <c r="H1398" s="74">
        <f t="shared" ref="H1398:I1398" si="360">H1399</f>
        <v>0</v>
      </c>
      <c r="I1398" s="74">
        <f t="shared" si="360"/>
        <v>0</v>
      </c>
    </row>
    <row r="1399" spans="1:9" ht="34.5" hidden="1" customHeight="1">
      <c r="A1399" s="16" t="s">
        <v>360</v>
      </c>
      <c r="B1399" s="49">
        <v>795</v>
      </c>
      <c r="C1399" s="15" t="s">
        <v>180</v>
      </c>
      <c r="D1399" s="15" t="s">
        <v>28</v>
      </c>
      <c r="E1399" s="15" t="s">
        <v>522</v>
      </c>
      <c r="F1399" s="15" t="s">
        <v>361</v>
      </c>
      <c r="G1399" s="74"/>
      <c r="H1399" s="74">
        <v>0</v>
      </c>
      <c r="I1399" s="74">
        <v>0</v>
      </c>
    </row>
    <row r="1400" spans="1:9" ht="34.5" hidden="1" customHeight="1">
      <c r="A1400" s="16" t="s">
        <v>559</v>
      </c>
      <c r="B1400" s="49">
        <v>795</v>
      </c>
      <c r="C1400" s="15" t="s">
        <v>180</v>
      </c>
      <c r="D1400" s="15" t="s">
        <v>28</v>
      </c>
      <c r="E1400" s="15" t="s">
        <v>560</v>
      </c>
      <c r="F1400" s="15"/>
      <c r="G1400" s="74">
        <f>G1401</f>
        <v>0</v>
      </c>
      <c r="H1400" s="74">
        <v>0</v>
      </c>
      <c r="I1400" s="74">
        <v>0</v>
      </c>
    </row>
    <row r="1401" spans="1:9" ht="34.5" hidden="1" customHeight="1">
      <c r="A1401" s="16" t="s">
        <v>99</v>
      </c>
      <c r="B1401" s="49">
        <v>795</v>
      </c>
      <c r="C1401" s="15" t="s">
        <v>180</v>
      </c>
      <c r="D1401" s="15" t="s">
        <v>28</v>
      </c>
      <c r="E1401" s="15" t="s">
        <v>560</v>
      </c>
      <c r="F1401" s="15" t="s">
        <v>359</v>
      </c>
      <c r="G1401" s="74">
        <f>G1402</f>
        <v>0</v>
      </c>
      <c r="H1401" s="74">
        <v>0</v>
      </c>
      <c r="I1401" s="74">
        <v>0</v>
      </c>
    </row>
    <row r="1402" spans="1:9" ht="34.5" hidden="1" customHeight="1">
      <c r="A1402" s="16" t="s">
        <v>360</v>
      </c>
      <c r="B1402" s="49">
        <v>795</v>
      </c>
      <c r="C1402" s="15" t="s">
        <v>180</v>
      </c>
      <c r="D1402" s="15" t="s">
        <v>28</v>
      </c>
      <c r="E1402" s="15" t="s">
        <v>560</v>
      </c>
      <c r="F1402" s="15" t="s">
        <v>361</v>
      </c>
      <c r="G1402" s="74"/>
      <c r="H1402" s="74">
        <v>0</v>
      </c>
      <c r="I1402" s="74">
        <v>0</v>
      </c>
    </row>
    <row r="1403" spans="1:9" ht="20.25" hidden="1" customHeight="1">
      <c r="A1403" s="16" t="s">
        <v>653</v>
      </c>
      <c r="B1403" s="49">
        <v>795</v>
      </c>
      <c r="C1403" s="15" t="s">
        <v>180</v>
      </c>
      <c r="D1403" s="15" t="s">
        <v>28</v>
      </c>
      <c r="E1403" s="15" t="s">
        <v>652</v>
      </c>
      <c r="F1403" s="15"/>
      <c r="G1403" s="74">
        <f t="shared" ref="G1403:I1404" si="361">G1404</f>
        <v>0</v>
      </c>
      <c r="H1403" s="74">
        <f t="shared" si="361"/>
        <v>0</v>
      </c>
      <c r="I1403" s="74">
        <f t="shared" si="361"/>
        <v>0</v>
      </c>
    </row>
    <row r="1404" spans="1:9" ht="34.5" hidden="1" customHeight="1">
      <c r="A1404" s="16" t="s">
        <v>36</v>
      </c>
      <c r="B1404" s="49">
        <v>795</v>
      </c>
      <c r="C1404" s="15" t="s">
        <v>180</v>
      </c>
      <c r="D1404" s="15" t="s">
        <v>28</v>
      </c>
      <c r="E1404" s="15" t="s">
        <v>652</v>
      </c>
      <c r="F1404" s="15" t="s">
        <v>37</v>
      </c>
      <c r="G1404" s="74">
        <f t="shared" si="361"/>
        <v>0</v>
      </c>
      <c r="H1404" s="74">
        <f t="shared" si="361"/>
        <v>0</v>
      </c>
      <c r="I1404" s="74">
        <f t="shared" si="361"/>
        <v>0</v>
      </c>
    </row>
    <row r="1405" spans="1:9" ht="34.5" hidden="1" customHeight="1">
      <c r="A1405" s="16" t="s">
        <v>38</v>
      </c>
      <c r="B1405" s="49">
        <v>795</v>
      </c>
      <c r="C1405" s="15" t="s">
        <v>180</v>
      </c>
      <c r="D1405" s="15" t="s">
        <v>28</v>
      </c>
      <c r="E1405" s="15" t="s">
        <v>652</v>
      </c>
      <c r="F1405" s="15" t="s">
        <v>39</v>
      </c>
      <c r="G1405" s="74"/>
      <c r="H1405" s="74"/>
      <c r="I1405" s="74"/>
    </row>
    <row r="1406" spans="1:9" s="18" customFormat="1" ht="25.5" hidden="1">
      <c r="A1406" s="16" t="s">
        <v>493</v>
      </c>
      <c r="B1406" s="49">
        <v>795</v>
      </c>
      <c r="C1406" s="15" t="s">
        <v>180</v>
      </c>
      <c r="D1406" s="15" t="s">
        <v>28</v>
      </c>
      <c r="E1406" s="15" t="s">
        <v>270</v>
      </c>
      <c r="F1406" s="15"/>
      <c r="G1406" s="74">
        <f>G1407</f>
        <v>0</v>
      </c>
      <c r="H1406" s="74">
        <f>H1407</f>
        <v>0</v>
      </c>
      <c r="I1406" s="74">
        <f>I1407</f>
        <v>0</v>
      </c>
    </row>
    <row r="1407" spans="1:9" s="18" customFormat="1" ht="51.75" hidden="1" customHeight="1">
      <c r="A1407" s="16" t="s">
        <v>573</v>
      </c>
      <c r="B1407" s="49">
        <v>795</v>
      </c>
      <c r="C1407" s="15" t="s">
        <v>180</v>
      </c>
      <c r="D1407" s="15" t="s">
        <v>28</v>
      </c>
      <c r="E1407" s="15" t="s">
        <v>572</v>
      </c>
      <c r="F1407" s="15"/>
      <c r="G1407" s="74">
        <f>G1408</f>
        <v>0</v>
      </c>
      <c r="H1407" s="74">
        <f t="shared" ref="H1407:I1407" si="362">H1408</f>
        <v>0</v>
      </c>
      <c r="I1407" s="74">
        <f t="shared" si="362"/>
        <v>0</v>
      </c>
    </row>
    <row r="1408" spans="1:9" s="18" customFormat="1" ht="25.5" hidden="1" customHeight="1">
      <c r="A1408" s="16" t="s">
        <v>538</v>
      </c>
      <c r="B1408" s="49">
        <v>795</v>
      </c>
      <c r="C1408" s="15" t="s">
        <v>180</v>
      </c>
      <c r="D1408" s="15" t="s">
        <v>28</v>
      </c>
      <c r="E1408" s="15" t="s">
        <v>572</v>
      </c>
      <c r="F1408" s="15"/>
      <c r="G1408" s="74">
        <f>G1409</f>
        <v>0</v>
      </c>
      <c r="H1408" s="74">
        <f t="shared" ref="H1408:I1409" si="363">H1409</f>
        <v>0</v>
      </c>
      <c r="I1408" s="74">
        <f t="shared" si="363"/>
        <v>0</v>
      </c>
    </row>
    <row r="1409" spans="1:9" s="18" customFormat="1" hidden="1">
      <c r="A1409" s="16" t="s">
        <v>163</v>
      </c>
      <c r="B1409" s="49">
        <v>795</v>
      </c>
      <c r="C1409" s="15" t="s">
        <v>180</v>
      </c>
      <c r="D1409" s="15" t="s">
        <v>28</v>
      </c>
      <c r="E1409" s="15" t="s">
        <v>572</v>
      </c>
      <c r="F1409" s="15" t="s">
        <v>164</v>
      </c>
      <c r="G1409" s="74">
        <f>G1410</f>
        <v>0</v>
      </c>
      <c r="H1409" s="74">
        <f t="shared" si="363"/>
        <v>0</v>
      </c>
      <c r="I1409" s="74">
        <f t="shared" si="363"/>
        <v>0</v>
      </c>
    </row>
    <row r="1410" spans="1:9" s="18" customFormat="1" hidden="1">
      <c r="A1410" s="16" t="s">
        <v>177</v>
      </c>
      <c r="B1410" s="49">
        <v>795</v>
      </c>
      <c r="C1410" s="15" t="s">
        <v>180</v>
      </c>
      <c r="D1410" s="15" t="s">
        <v>28</v>
      </c>
      <c r="E1410" s="15" t="s">
        <v>572</v>
      </c>
      <c r="F1410" s="15" t="s">
        <v>178</v>
      </c>
      <c r="G1410" s="74"/>
      <c r="H1410" s="74">
        <v>0</v>
      </c>
      <c r="I1410" s="74">
        <v>0</v>
      </c>
    </row>
    <row r="1411" spans="1:9" ht="30.75" hidden="1" customHeight="1">
      <c r="A1411" s="16" t="s">
        <v>280</v>
      </c>
      <c r="B1411" s="49">
        <v>795</v>
      </c>
      <c r="C1411" s="15" t="s">
        <v>180</v>
      </c>
      <c r="D1411" s="15" t="s">
        <v>28</v>
      </c>
      <c r="E1411" s="15" t="s">
        <v>592</v>
      </c>
      <c r="F1411" s="15"/>
      <c r="G1411" s="74">
        <f>G1412</f>
        <v>0</v>
      </c>
      <c r="H1411" s="74">
        <v>0</v>
      </c>
      <c r="I1411" s="74">
        <v>0</v>
      </c>
    </row>
    <row r="1412" spans="1:9" ht="30.75" hidden="1" customHeight="1">
      <c r="A1412" s="16" t="s">
        <v>36</v>
      </c>
      <c r="B1412" s="49">
        <v>795</v>
      </c>
      <c r="C1412" s="15" t="s">
        <v>180</v>
      </c>
      <c r="D1412" s="15" t="s">
        <v>28</v>
      </c>
      <c r="E1412" s="15" t="s">
        <v>592</v>
      </c>
      <c r="F1412" s="15" t="s">
        <v>37</v>
      </c>
      <c r="G1412" s="74">
        <f>G1413</f>
        <v>0</v>
      </c>
      <c r="H1412" s="74">
        <v>0</v>
      </c>
      <c r="I1412" s="74">
        <v>0</v>
      </c>
    </row>
    <row r="1413" spans="1:9" ht="1.5" customHeight="1">
      <c r="A1413" s="16" t="s">
        <v>38</v>
      </c>
      <c r="B1413" s="49">
        <v>795</v>
      </c>
      <c r="C1413" s="15" t="s">
        <v>180</v>
      </c>
      <c r="D1413" s="15" t="s">
        <v>28</v>
      </c>
      <c r="E1413" s="15" t="s">
        <v>592</v>
      </c>
      <c r="F1413" s="15" t="s">
        <v>39</v>
      </c>
      <c r="G1413" s="74"/>
      <c r="H1413" s="74">
        <v>0</v>
      </c>
      <c r="I1413" s="74">
        <v>0</v>
      </c>
    </row>
    <row r="1414" spans="1:9" ht="34.5" customHeight="1">
      <c r="A1414" s="16" t="s">
        <v>897</v>
      </c>
      <c r="B1414" s="49">
        <v>795</v>
      </c>
      <c r="C1414" s="15" t="s">
        <v>180</v>
      </c>
      <c r="D1414" s="15" t="s">
        <v>28</v>
      </c>
      <c r="E1414" s="15" t="s">
        <v>896</v>
      </c>
      <c r="F1414" s="15"/>
      <c r="G1414" s="74">
        <f t="shared" ref="G1414:I1415" si="364">G1415</f>
        <v>500000</v>
      </c>
      <c r="H1414" s="74">
        <f t="shared" si="364"/>
        <v>0</v>
      </c>
      <c r="I1414" s="74">
        <f t="shared" si="364"/>
        <v>0</v>
      </c>
    </row>
    <row r="1415" spans="1:9" ht="34.5" customHeight="1">
      <c r="A1415" s="16" t="s">
        <v>36</v>
      </c>
      <c r="B1415" s="49">
        <v>795</v>
      </c>
      <c r="C1415" s="15" t="s">
        <v>180</v>
      </c>
      <c r="D1415" s="15" t="s">
        <v>28</v>
      </c>
      <c r="E1415" s="15" t="s">
        <v>896</v>
      </c>
      <c r="F1415" s="15" t="s">
        <v>37</v>
      </c>
      <c r="G1415" s="74">
        <f t="shared" si="364"/>
        <v>500000</v>
      </c>
      <c r="H1415" s="74">
        <f t="shared" si="364"/>
        <v>0</v>
      </c>
      <c r="I1415" s="74">
        <f t="shared" si="364"/>
        <v>0</v>
      </c>
    </row>
    <row r="1416" spans="1:9" ht="34.5" customHeight="1">
      <c r="A1416" s="16" t="s">
        <v>38</v>
      </c>
      <c r="B1416" s="49">
        <v>795</v>
      </c>
      <c r="C1416" s="15" t="s">
        <v>180</v>
      </c>
      <c r="D1416" s="15" t="s">
        <v>28</v>
      </c>
      <c r="E1416" s="15" t="s">
        <v>896</v>
      </c>
      <c r="F1416" s="15" t="s">
        <v>39</v>
      </c>
      <c r="G1416" s="74">
        <v>500000</v>
      </c>
      <c r="H1416" s="74">
        <v>0</v>
      </c>
      <c r="I1416" s="74">
        <v>0</v>
      </c>
    </row>
    <row r="1417" spans="1:9" ht="30.75" customHeight="1">
      <c r="A1417" s="16" t="s">
        <v>280</v>
      </c>
      <c r="B1417" s="49">
        <v>795</v>
      </c>
      <c r="C1417" s="15" t="s">
        <v>180</v>
      </c>
      <c r="D1417" s="15" t="s">
        <v>28</v>
      </c>
      <c r="E1417" s="15" t="s">
        <v>591</v>
      </c>
      <c r="F1417" s="15"/>
      <c r="G1417" s="74">
        <f>G1418</f>
        <v>6423038</v>
      </c>
      <c r="H1417" s="74">
        <v>0</v>
      </c>
      <c r="I1417" s="74">
        <v>0</v>
      </c>
    </row>
    <row r="1418" spans="1:9" ht="30.75" customHeight="1">
      <c r="A1418" s="16" t="s">
        <v>280</v>
      </c>
      <c r="B1418" s="49">
        <v>795</v>
      </c>
      <c r="C1418" s="15" t="s">
        <v>180</v>
      </c>
      <c r="D1418" s="15" t="s">
        <v>28</v>
      </c>
      <c r="E1418" s="15" t="s">
        <v>592</v>
      </c>
      <c r="F1418" s="15"/>
      <c r="G1418" s="74">
        <f>G1425+G1427</f>
        <v>6423038</v>
      </c>
      <c r="H1418" s="74">
        <v>0</v>
      </c>
      <c r="I1418" s="74">
        <v>0</v>
      </c>
    </row>
    <row r="1419" spans="1:9" ht="30.75" hidden="1" customHeight="1">
      <c r="A1419" s="16" t="s">
        <v>36</v>
      </c>
      <c r="B1419" s="49">
        <v>795</v>
      </c>
      <c r="C1419" s="15" t="s">
        <v>180</v>
      </c>
      <c r="D1419" s="15" t="s">
        <v>28</v>
      </c>
      <c r="E1419" s="15" t="s">
        <v>592</v>
      </c>
      <c r="F1419" s="15" t="s">
        <v>37</v>
      </c>
      <c r="G1419" s="74" t="e">
        <f>G1420</f>
        <v>#REF!</v>
      </c>
      <c r="H1419" s="74">
        <v>0</v>
      </c>
      <c r="I1419" s="74">
        <v>0</v>
      </c>
    </row>
    <row r="1420" spans="1:9" ht="30.75" hidden="1" customHeight="1">
      <c r="A1420" s="16" t="s">
        <v>38</v>
      </c>
      <c r="B1420" s="49">
        <v>795</v>
      </c>
      <c r="C1420" s="15" t="s">
        <v>180</v>
      </c>
      <c r="D1420" s="15" t="s">
        <v>28</v>
      </c>
      <c r="E1420" s="15" t="s">
        <v>592</v>
      </c>
      <c r="F1420" s="15" t="s">
        <v>39</v>
      </c>
      <c r="G1420" s="74" t="e">
        <f>'прил 5'!#REF!</f>
        <v>#REF!</v>
      </c>
      <c r="H1420" s="74">
        <v>0</v>
      </c>
      <c r="I1420" s="74">
        <v>0</v>
      </c>
    </row>
    <row r="1421" spans="1:9" ht="23.25" hidden="1" customHeight="1">
      <c r="A1421" s="16" t="s">
        <v>154</v>
      </c>
      <c r="B1421" s="49">
        <v>795</v>
      </c>
      <c r="C1421" s="15" t="s">
        <v>180</v>
      </c>
      <c r="D1421" s="15" t="s">
        <v>28</v>
      </c>
      <c r="E1421" s="15" t="s">
        <v>592</v>
      </c>
      <c r="F1421" s="15" t="s">
        <v>155</v>
      </c>
      <c r="G1421" s="74">
        <f>G1422</f>
        <v>0</v>
      </c>
      <c r="H1421" s="74">
        <v>0</v>
      </c>
      <c r="I1421" s="74">
        <v>0</v>
      </c>
    </row>
    <row r="1422" spans="1:9" ht="30.75" hidden="1" customHeight="1">
      <c r="A1422" s="16" t="s">
        <v>156</v>
      </c>
      <c r="B1422" s="49">
        <v>795</v>
      </c>
      <c r="C1422" s="15" t="s">
        <v>180</v>
      </c>
      <c r="D1422" s="15" t="s">
        <v>28</v>
      </c>
      <c r="E1422" s="15" t="s">
        <v>592</v>
      </c>
      <c r="F1422" s="15" t="s">
        <v>157</v>
      </c>
      <c r="G1422" s="74">
        <f>'прил 5'!G1360</f>
        <v>0</v>
      </c>
      <c r="H1422" s="74">
        <v>0</v>
      </c>
      <c r="I1422" s="74">
        <v>0</v>
      </c>
    </row>
    <row r="1423" spans="1:9" ht="21.75" hidden="1" customHeight="1">
      <c r="A1423" s="16" t="s">
        <v>163</v>
      </c>
      <c r="B1423" s="49">
        <v>795</v>
      </c>
      <c r="C1423" s="15" t="s">
        <v>180</v>
      </c>
      <c r="D1423" s="15" t="s">
        <v>28</v>
      </c>
      <c r="E1423" s="15" t="s">
        <v>592</v>
      </c>
      <c r="F1423" s="15" t="s">
        <v>164</v>
      </c>
      <c r="G1423" s="74">
        <f>G1424</f>
        <v>0</v>
      </c>
      <c r="H1423" s="74">
        <v>0</v>
      </c>
      <c r="I1423" s="74">
        <v>0</v>
      </c>
    </row>
    <row r="1424" spans="1:9" ht="22.5" hidden="1" customHeight="1">
      <c r="A1424" s="16" t="s">
        <v>185</v>
      </c>
      <c r="B1424" s="49">
        <v>795</v>
      </c>
      <c r="C1424" s="15" t="s">
        <v>180</v>
      </c>
      <c r="D1424" s="15" t="s">
        <v>28</v>
      </c>
      <c r="E1424" s="15" t="s">
        <v>592</v>
      </c>
      <c r="F1424" s="15" t="s">
        <v>186</v>
      </c>
      <c r="G1424" s="74"/>
      <c r="H1424" s="74">
        <v>0</v>
      </c>
      <c r="I1424" s="74">
        <v>0</v>
      </c>
    </row>
    <row r="1425" spans="1:9" ht="25.5">
      <c r="A1425" s="16" t="s">
        <v>36</v>
      </c>
      <c r="B1425" s="49">
        <v>795</v>
      </c>
      <c r="C1425" s="15" t="s">
        <v>180</v>
      </c>
      <c r="D1425" s="15" t="s">
        <v>28</v>
      </c>
      <c r="E1425" s="15" t="s">
        <v>592</v>
      </c>
      <c r="F1425" s="15" t="s">
        <v>37</v>
      </c>
      <c r="G1425" s="89">
        <f t="shared" ref="G1425:I1427" si="365">G1426</f>
        <v>1800000</v>
      </c>
      <c r="H1425" s="8">
        <f t="shared" si="365"/>
        <v>0</v>
      </c>
      <c r="I1425" s="8">
        <f t="shared" si="365"/>
        <v>0</v>
      </c>
    </row>
    <row r="1426" spans="1:9" ht="25.5">
      <c r="A1426" s="16" t="s">
        <v>38</v>
      </c>
      <c r="B1426" s="49">
        <v>795</v>
      </c>
      <c r="C1426" s="15" t="s">
        <v>180</v>
      </c>
      <c r="D1426" s="15" t="s">
        <v>28</v>
      </c>
      <c r="E1426" s="15" t="s">
        <v>592</v>
      </c>
      <c r="F1426" s="15" t="s">
        <v>39</v>
      </c>
      <c r="G1426" s="8">
        <v>1800000</v>
      </c>
      <c r="H1426" s="8">
        <v>0</v>
      </c>
      <c r="I1426" s="8">
        <v>0</v>
      </c>
    </row>
    <row r="1427" spans="1:9" ht="25.5">
      <c r="A1427" s="16" t="s">
        <v>99</v>
      </c>
      <c r="B1427" s="49">
        <v>795</v>
      </c>
      <c r="C1427" s="15" t="s">
        <v>180</v>
      </c>
      <c r="D1427" s="15" t="s">
        <v>28</v>
      </c>
      <c r="E1427" s="15" t="s">
        <v>592</v>
      </c>
      <c r="F1427" s="15" t="s">
        <v>359</v>
      </c>
      <c r="G1427" s="89">
        <f t="shared" si="365"/>
        <v>4623038</v>
      </c>
      <c r="H1427" s="8">
        <f t="shared" si="365"/>
        <v>0</v>
      </c>
      <c r="I1427" s="8">
        <f t="shared" si="365"/>
        <v>0</v>
      </c>
    </row>
    <row r="1428" spans="1:9">
      <c r="A1428" s="16" t="s">
        <v>360</v>
      </c>
      <c r="B1428" s="49">
        <v>795</v>
      </c>
      <c r="C1428" s="15" t="s">
        <v>180</v>
      </c>
      <c r="D1428" s="15" t="s">
        <v>28</v>
      </c>
      <c r="E1428" s="15" t="s">
        <v>592</v>
      </c>
      <c r="F1428" s="15" t="s">
        <v>361</v>
      </c>
      <c r="G1428" s="8">
        <v>4623038</v>
      </c>
      <c r="H1428" s="8">
        <v>0</v>
      </c>
      <c r="I1428" s="8">
        <v>0</v>
      </c>
    </row>
    <row r="1429" spans="1:9" s="28" customFormat="1" ht="24.75" customHeight="1">
      <c r="A1429" s="37" t="s">
        <v>176</v>
      </c>
      <c r="B1429" s="14">
        <v>793</v>
      </c>
      <c r="C1429" s="15" t="s">
        <v>180</v>
      </c>
      <c r="D1429" s="15" t="s">
        <v>28</v>
      </c>
      <c r="E1429" s="15" t="s">
        <v>241</v>
      </c>
      <c r="F1429" s="39"/>
      <c r="G1429" s="74">
        <f t="shared" ref="G1429:I1429" si="366">G1430</f>
        <v>200000</v>
      </c>
      <c r="H1429" s="74">
        <f t="shared" si="366"/>
        <v>0</v>
      </c>
      <c r="I1429" s="74">
        <f t="shared" si="366"/>
        <v>0</v>
      </c>
    </row>
    <row r="1430" spans="1:9" ht="25.5">
      <c r="A1430" s="37" t="s">
        <v>176</v>
      </c>
      <c r="B1430" s="49">
        <v>795</v>
      </c>
      <c r="C1430" s="15" t="s">
        <v>180</v>
      </c>
      <c r="D1430" s="15" t="s">
        <v>28</v>
      </c>
      <c r="E1430" s="15" t="s">
        <v>285</v>
      </c>
      <c r="F1430" s="15"/>
      <c r="G1430" s="74">
        <f>G1431+G1433</f>
        <v>200000</v>
      </c>
      <c r="H1430" s="74">
        <f>H1431+H1433</f>
        <v>0</v>
      </c>
      <c r="I1430" s="74">
        <f>I1431+I1433</f>
        <v>0</v>
      </c>
    </row>
    <row r="1431" spans="1:9" hidden="1">
      <c r="A1431" s="16"/>
      <c r="B1431" s="49"/>
      <c r="C1431" s="15" t="s">
        <v>180</v>
      </c>
      <c r="D1431" s="15" t="s">
        <v>28</v>
      </c>
      <c r="E1431" s="15" t="s">
        <v>285</v>
      </c>
      <c r="F1431" s="15"/>
      <c r="G1431" s="74"/>
      <c r="H1431" s="74"/>
      <c r="I1431" s="74"/>
    </row>
    <row r="1432" spans="1:9" ht="30.75" hidden="1" customHeight="1">
      <c r="A1432" s="16"/>
      <c r="B1432" s="49"/>
      <c r="C1432" s="15" t="s">
        <v>180</v>
      </c>
      <c r="D1432" s="15" t="s">
        <v>28</v>
      </c>
      <c r="E1432" s="15" t="s">
        <v>285</v>
      </c>
      <c r="F1432" s="15"/>
      <c r="G1432" s="74"/>
      <c r="H1432" s="74"/>
      <c r="I1432" s="74"/>
    </row>
    <row r="1433" spans="1:9" ht="30.75" customHeight="1">
      <c r="A1433" s="16" t="s">
        <v>36</v>
      </c>
      <c r="B1433" s="49">
        <v>795</v>
      </c>
      <c r="C1433" s="15" t="s">
        <v>180</v>
      </c>
      <c r="D1433" s="15" t="s">
        <v>28</v>
      </c>
      <c r="E1433" s="15" t="s">
        <v>285</v>
      </c>
      <c r="F1433" s="15" t="s">
        <v>37</v>
      </c>
      <c r="G1433" s="74">
        <f>G1434</f>
        <v>200000</v>
      </c>
      <c r="H1433" s="74">
        <f>H1434</f>
        <v>0</v>
      </c>
      <c r="I1433" s="74">
        <f>I1434</f>
        <v>0</v>
      </c>
    </row>
    <row r="1434" spans="1:9" ht="35.25" customHeight="1">
      <c r="A1434" s="16" t="s">
        <v>38</v>
      </c>
      <c r="B1434" s="49">
        <v>795</v>
      </c>
      <c r="C1434" s="15" t="s">
        <v>180</v>
      </c>
      <c r="D1434" s="15" t="s">
        <v>28</v>
      </c>
      <c r="E1434" s="15" t="s">
        <v>285</v>
      </c>
      <c r="F1434" s="15" t="s">
        <v>39</v>
      </c>
      <c r="G1434" s="74">
        <v>200000</v>
      </c>
      <c r="H1434" s="74">
        <v>0</v>
      </c>
      <c r="I1434" s="74">
        <v>0</v>
      </c>
    </row>
    <row r="1435" spans="1:9" s="22" customFormat="1" ht="17.25" customHeight="1">
      <c r="A1435" s="34" t="s">
        <v>294</v>
      </c>
      <c r="B1435" s="19">
        <v>795</v>
      </c>
      <c r="C1435" s="36" t="s">
        <v>180</v>
      </c>
      <c r="D1435" s="36" t="s">
        <v>71</v>
      </c>
      <c r="E1435" s="36"/>
      <c r="F1435" s="36"/>
      <c r="G1435" s="75">
        <f>G1436+G1451</f>
        <v>872500</v>
      </c>
      <c r="H1435" s="75">
        <f t="shared" ref="H1435:I1435" si="367">H1436+H1451</f>
        <v>1555000</v>
      </c>
      <c r="I1435" s="75">
        <f t="shared" si="367"/>
        <v>1555000</v>
      </c>
    </row>
    <row r="1436" spans="1:9" ht="51">
      <c r="A1436" s="16" t="s">
        <v>513</v>
      </c>
      <c r="B1436" s="49">
        <v>795</v>
      </c>
      <c r="C1436" s="15" t="s">
        <v>180</v>
      </c>
      <c r="D1436" s="15" t="s">
        <v>71</v>
      </c>
      <c r="E1436" s="15" t="s">
        <v>305</v>
      </c>
      <c r="F1436" s="15"/>
      <c r="G1436" s="74">
        <f>G1437+G1440+G1445+G1448</f>
        <v>872500</v>
      </c>
      <c r="H1436" s="74">
        <f t="shared" ref="H1436:I1436" si="368">H1437+H1440+H1445+H1448</f>
        <v>1555000</v>
      </c>
      <c r="I1436" s="74">
        <f t="shared" si="368"/>
        <v>1555000</v>
      </c>
    </row>
    <row r="1437" spans="1:9" s="46" customFormat="1" ht="17.25" customHeight="1">
      <c r="A1437" s="16" t="s">
        <v>392</v>
      </c>
      <c r="B1437" s="49">
        <v>795</v>
      </c>
      <c r="C1437" s="15" t="s">
        <v>180</v>
      </c>
      <c r="D1437" s="15" t="s">
        <v>71</v>
      </c>
      <c r="E1437" s="15" t="s">
        <v>391</v>
      </c>
      <c r="F1437" s="15"/>
      <c r="G1437" s="74">
        <f t="shared" ref="G1437:I1438" si="369">G1438</f>
        <v>30000</v>
      </c>
      <c r="H1437" s="74">
        <f t="shared" si="369"/>
        <v>500000</v>
      </c>
      <c r="I1437" s="74">
        <f t="shared" si="369"/>
        <v>500000</v>
      </c>
    </row>
    <row r="1438" spans="1:9" s="46" customFormat="1" ht="17.25" customHeight="1">
      <c r="A1438" s="16" t="s">
        <v>334</v>
      </c>
      <c r="B1438" s="49">
        <v>795</v>
      </c>
      <c r="C1438" s="15" t="s">
        <v>180</v>
      </c>
      <c r="D1438" s="15" t="s">
        <v>71</v>
      </c>
      <c r="E1438" s="15" t="s">
        <v>391</v>
      </c>
      <c r="F1438" s="15" t="s">
        <v>37</v>
      </c>
      <c r="G1438" s="74">
        <f t="shared" si="369"/>
        <v>30000</v>
      </c>
      <c r="H1438" s="74">
        <f t="shared" si="369"/>
        <v>500000</v>
      </c>
      <c r="I1438" s="74">
        <f t="shared" si="369"/>
        <v>500000</v>
      </c>
    </row>
    <row r="1439" spans="1:9" s="46" customFormat="1" ht="32.25" customHeight="1">
      <c r="A1439" s="16" t="s">
        <v>38</v>
      </c>
      <c r="B1439" s="49">
        <v>795</v>
      </c>
      <c r="C1439" s="15" t="s">
        <v>180</v>
      </c>
      <c r="D1439" s="15" t="s">
        <v>71</v>
      </c>
      <c r="E1439" s="15" t="s">
        <v>391</v>
      </c>
      <c r="F1439" s="15" t="s">
        <v>39</v>
      </c>
      <c r="G1439" s="74">
        <f>500000-50000-400000-20000</f>
        <v>30000</v>
      </c>
      <c r="H1439" s="74">
        <v>500000</v>
      </c>
      <c r="I1439" s="74">
        <v>500000</v>
      </c>
    </row>
    <row r="1440" spans="1:9">
      <c r="A1440" s="16" t="s">
        <v>81</v>
      </c>
      <c r="B1440" s="49">
        <v>795</v>
      </c>
      <c r="C1440" s="15" t="s">
        <v>180</v>
      </c>
      <c r="D1440" s="15" t="s">
        <v>71</v>
      </c>
      <c r="E1440" s="15" t="s">
        <v>104</v>
      </c>
      <c r="F1440" s="15"/>
      <c r="G1440" s="74">
        <f>G1441+G1443</f>
        <v>455000</v>
      </c>
      <c r="H1440" s="74">
        <f>H1441+H1443</f>
        <v>505000</v>
      </c>
      <c r="I1440" s="74">
        <f>I1441+I1443</f>
        <v>505000</v>
      </c>
    </row>
    <row r="1441" spans="1:9" ht="25.5">
      <c r="A1441" s="16" t="s">
        <v>36</v>
      </c>
      <c r="B1441" s="49">
        <v>795</v>
      </c>
      <c r="C1441" s="15" t="s">
        <v>180</v>
      </c>
      <c r="D1441" s="15" t="s">
        <v>71</v>
      </c>
      <c r="E1441" s="15" t="s">
        <v>104</v>
      </c>
      <c r="F1441" s="15" t="s">
        <v>37</v>
      </c>
      <c r="G1441" s="74">
        <f>G1442</f>
        <v>108104</v>
      </c>
      <c r="H1441" s="74">
        <f>H1442</f>
        <v>505000</v>
      </c>
      <c r="I1441" s="74">
        <f>I1442</f>
        <v>505000</v>
      </c>
    </row>
    <row r="1442" spans="1:9" ht="30.75" customHeight="1">
      <c r="A1442" s="16" t="s">
        <v>38</v>
      </c>
      <c r="B1442" s="49">
        <v>795</v>
      </c>
      <c r="C1442" s="15" t="s">
        <v>180</v>
      </c>
      <c r="D1442" s="15" t="s">
        <v>71</v>
      </c>
      <c r="E1442" s="15" t="s">
        <v>104</v>
      </c>
      <c r="F1442" s="15" t="s">
        <v>39</v>
      </c>
      <c r="G1442" s="74">
        <f>120079+38025-50000</f>
        <v>108104</v>
      </c>
      <c r="H1442" s="74">
        <v>505000</v>
      </c>
      <c r="I1442" s="74">
        <v>505000</v>
      </c>
    </row>
    <row r="1443" spans="1:9" ht="18" customHeight="1">
      <c r="A1443" s="16" t="s">
        <v>163</v>
      </c>
      <c r="B1443" s="49">
        <v>795</v>
      </c>
      <c r="C1443" s="15" t="s">
        <v>180</v>
      </c>
      <c r="D1443" s="15" t="s">
        <v>71</v>
      </c>
      <c r="E1443" s="15" t="s">
        <v>104</v>
      </c>
      <c r="F1443" s="15" t="s">
        <v>164</v>
      </c>
      <c r="G1443" s="74">
        <f>G1444</f>
        <v>346896</v>
      </c>
      <c r="H1443" s="74">
        <f>H1444</f>
        <v>0</v>
      </c>
      <c r="I1443" s="74">
        <f>I1444</f>
        <v>0</v>
      </c>
    </row>
    <row r="1444" spans="1:9" ht="18" customHeight="1">
      <c r="A1444" s="16" t="s">
        <v>185</v>
      </c>
      <c r="B1444" s="49">
        <v>795</v>
      </c>
      <c r="C1444" s="15" t="s">
        <v>180</v>
      </c>
      <c r="D1444" s="15" t="s">
        <v>71</v>
      </c>
      <c r="E1444" s="15" t="s">
        <v>104</v>
      </c>
      <c r="F1444" s="15" t="s">
        <v>186</v>
      </c>
      <c r="G1444" s="74">
        <f>384921-38025</f>
        <v>346896</v>
      </c>
      <c r="H1444" s="74">
        <v>0</v>
      </c>
      <c r="I1444" s="74">
        <v>0</v>
      </c>
    </row>
    <row r="1445" spans="1:9" ht="26.25" customHeight="1">
      <c r="A1445" s="16" t="s">
        <v>79</v>
      </c>
      <c r="B1445" s="49">
        <v>795</v>
      </c>
      <c r="C1445" s="15" t="s">
        <v>180</v>
      </c>
      <c r="D1445" s="15" t="s">
        <v>71</v>
      </c>
      <c r="E1445" s="15" t="s">
        <v>80</v>
      </c>
      <c r="F1445" s="15"/>
      <c r="G1445" s="74">
        <f t="shared" ref="G1445:I1446" si="370">G1446</f>
        <v>70000</v>
      </c>
      <c r="H1445" s="74">
        <f t="shared" si="370"/>
        <v>50000</v>
      </c>
      <c r="I1445" s="74">
        <f t="shared" si="370"/>
        <v>50000</v>
      </c>
    </row>
    <row r="1446" spans="1:9" ht="26.25" customHeight="1">
      <c r="A1446" s="16" t="s">
        <v>36</v>
      </c>
      <c r="B1446" s="49">
        <v>795</v>
      </c>
      <c r="C1446" s="15" t="s">
        <v>180</v>
      </c>
      <c r="D1446" s="15" t="s">
        <v>71</v>
      </c>
      <c r="E1446" s="15" t="s">
        <v>80</v>
      </c>
      <c r="F1446" s="15" t="s">
        <v>37</v>
      </c>
      <c r="G1446" s="74">
        <f t="shared" si="370"/>
        <v>70000</v>
      </c>
      <c r="H1446" s="74">
        <f t="shared" si="370"/>
        <v>50000</v>
      </c>
      <c r="I1446" s="74">
        <f t="shared" si="370"/>
        <v>50000</v>
      </c>
    </row>
    <row r="1447" spans="1:9" ht="25.5">
      <c r="A1447" s="86" t="s">
        <v>38</v>
      </c>
      <c r="B1447" s="49">
        <v>795</v>
      </c>
      <c r="C1447" s="15" t="s">
        <v>180</v>
      </c>
      <c r="D1447" s="15" t="s">
        <v>71</v>
      </c>
      <c r="E1447" s="15" t="s">
        <v>80</v>
      </c>
      <c r="F1447" s="15" t="s">
        <v>39</v>
      </c>
      <c r="G1447" s="74">
        <f>50000+50000-30000</f>
        <v>70000</v>
      </c>
      <c r="H1447" s="74">
        <v>50000</v>
      </c>
      <c r="I1447" s="74">
        <v>50000</v>
      </c>
    </row>
    <row r="1448" spans="1:9" ht="30.75" customHeight="1">
      <c r="A1448" s="86" t="s">
        <v>730</v>
      </c>
      <c r="B1448" s="49">
        <v>795</v>
      </c>
      <c r="C1448" s="15" t="s">
        <v>180</v>
      </c>
      <c r="D1448" s="15" t="s">
        <v>71</v>
      </c>
      <c r="E1448" s="15" t="s">
        <v>431</v>
      </c>
      <c r="F1448" s="15"/>
      <c r="G1448" s="74">
        <f t="shared" ref="G1448:I1449" si="371">G1449</f>
        <v>317500</v>
      </c>
      <c r="H1448" s="74">
        <f t="shared" si="371"/>
        <v>500000</v>
      </c>
      <c r="I1448" s="74">
        <f t="shared" si="371"/>
        <v>500000</v>
      </c>
    </row>
    <row r="1449" spans="1:9" ht="30.75" customHeight="1">
      <c r="A1449" s="16" t="s">
        <v>36</v>
      </c>
      <c r="B1449" s="49">
        <v>795</v>
      </c>
      <c r="C1449" s="15" t="s">
        <v>180</v>
      </c>
      <c r="D1449" s="15" t="s">
        <v>71</v>
      </c>
      <c r="E1449" s="15" t="s">
        <v>431</v>
      </c>
      <c r="F1449" s="15" t="s">
        <v>37</v>
      </c>
      <c r="G1449" s="74">
        <f t="shared" si="371"/>
        <v>317500</v>
      </c>
      <c r="H1449" s="74">
        <f t="shared" si="371"/>
        <v>500000</v>
      </c>
      <c r="I1449" s="74">
        <f t="shared" si="371"/>
        <v>500000</v>
      </c>
    </row>
    <row r="1450" spans="1:9" ht="30.75" customHeight="1">
      <c r="A1450" s="16" t="s">
        <v>38</v>
      </c>
      <c r="B1450" s="49">
        <v>795</v>
      </c>
      <c r="C1450" s="15" t="s">
        <v>180</v>
      </c>
      <c r="D1450" s="15" t="s">
        <v>71</v>
      </c>
      <c r="E1450" s="15" t="s">
        <v>431</v>
      </c>
      <c r="F1450" s="15" t="s">
        <v>39</v>
      </c>
      <c r="G1450" s="74">
        <f>500000+317500-300000-200000</f>
        <v>317500</v>
      </c>
      <c r="H1450" s="74">
        <v>500000</v>
      </c>
      <c r="I1450" s="74">
        <f>H1450</f>
        <v>500000</v>
      </c>
    </row>
    <row r="1451" spans="1:9" ht="44.25" hidden="1" customHeight="1">
      <c r="A1451" s="16" t="s">
        <v>488</v>
      </c>
      <c r="B1451" s="49">
        <v>795</v>
      </c>
      <c r="C1451" s="15" t="s">
        <v>180</v>
      </c>
      <c r="D1451" s="15" t="s">
        <v>71</v>
      </c>
      <c r="E1451" s="15" t="s">
        <v>145</v>
      </c>
      <c r="F1451" s="15"/>
      <c r="G1451" s="74">
        <f>G1452+G1455</f>
        <v>0</v>
      </c>
      <c r="H1451" s="74">
        <f t="shared" ref="H1451:I1451" si="372">H1452+H1455</f>
        <v>0</v>
      </c>
      <c r="I1451" s="74">
        <f t="shared" si="372"/>
        <v>0</v>
      </c>
    </row>
    <row r="1452" spans="1:9" s="22" customFormat="1" ht="36" hidden="1" customHeight="1">
      <c r="A1452" s="16" t="s">
        <v>666</v>
      </c>
      <c r="B1452" s="14">
        <v>795</v>
      </c>
      <c r="C1452" s="15" t="s">
        <v>180</v>
      </c>
      <c r="D1452" s="15" t="s">
        <v>71</v>
      </c>
      <c r="E1452" s="15" t="s">
        <v>667</v>
      </c>
      <c r="F1452" s="36"/>
      <c r="G1452" s="74">
        <f>G1453</f>
        <v>0</v>
      </c>
      <c r="H1452" s="74">
        <f t="shared" ref="H1452:I1453" si="373">H1453</f>
        <v>0</v>
      </c>
      <c r="I1452" s="74">
        <f t="shared" si="373"/>
        <v>0</v>
      </c>
    </row>
    <row r="1453" spans="1:9" s="22" customFormat="1" ht="24" hidden="1" customHeight="1">
      <c r="A1453" s="16" t="s">
        <v>163</v>
      </c>
      <c r="B1453" s="14">
        <v>795</v>
      </c>
      <c r="C1453" s="15" t="s">
        <v>180</v>
      </c>
      <c r="D1453" s="15" t="s">
        <v>71</v>
      </c>
      <c r="E1453" s="15" t="s">
        <v>667</v>
      </c>
      <c r="F1453" s="15" t="s">
        <v>164</v>
      </c>
      <c r="G1453" s="74">
        <f>G1454</f>
        <v>0</v>
      </c>
      <c r="H1453" s="74">
        <f t="shared" si="373"/>
        <v>0</v>
      </c>
      <c r="I1453" s="74">
        <f t="shared" si="373"/>
        <v>0</v>
      </c>
    </row>
    <row r="1454" spans="1:9" s="22" customFormat="1" ht="24" hidden="1" customHeight="1">
      <c r="A1454" s="16" t="s">
        <v>185</v>
      </c>
      <c r="B1454" s="14">
        <v>795</v>
      </c>
      <c r="C1454" s="15" t="s">
        <v>180</v>
      </c>
      <c r="D1454" s="15" t="s">
        <v>71</v>
      </c>
      <c r="E1454" s="15" t="s">
        <v>667</v>
      </c>
      <c r="F1454" s="15" t="s">
        <v>186</v>
      </c>
      <c r="G1454" s="74"/>
      <c r="H1454" s="74">
        <v>0</v>
      </c>
      <c r="I1454" s="74">
        <v>0</v>
      </c>
    </row>
    <row r="1455" spans="1:9" ht="50.25" hidden="1" customHeight="1">
      <c r="A1455" s="16" t="s">
        <v>417</v>
      </c>
      <c r="B1455" s="49">
        <v>795</v>
      </c>
      <c r="C1455" s="15" t="s">
        <v>180</v>
      </c>
      <c r="D1455" s="15" t="s">
        <v>71</v>
      </c>
      <c r="E1455" s="15" t="s">
        <v>416</v>
      </c>
      <c r="F1455" s="15"/>
      <c r="G1455" s="74">
        <f>G1456</f>
        <v>0</v>
      </c>
      <c r="H1455" s="74">
        <f t="shared" ref="H1455:I1456" si="374">H1456</f>
        <v>0</v>
      </c>
      <c r="I1455" s="74">
        <f t="shared" si="374"/>
        <v>0</v>
      </c>
    </row>
    <row r="1456" spans="1:9" ht="23.25" hidden="1" customHeight="1">
      <c r="A1456" s="16" t="s">
        <v>163</v>
      </c>
      <c r="B1456" s="49">
        <v>795</v>
      </c>
      <c r="C1456" s="15" t="s">
        <v>180</v>
      </c>
      <c r="D1456" s="15" t="s">
        <v>71</v>
      </c>
      <c r="E1456" s="15" t="s">
        <v>416</v>
      </c>
      <c r="F1456" s="15" t="s">
        <v>164</v>
      </c>
      <c r="G1456" s="74">
        <f>G1457</f>
        <v>0</v>
      </c>
      <c r="H1456" s="74">
        <f t="shared" si="374"/>
        <v>0</v>
      </c>
      <c r="I1456" s="74">
        <f t="shared" si="374"/>
        <v>0</v>
      </c>
    </row>
    <row r="1457" spans="1:9" ht="23.25" hidden="1" customHeight="1">
      <c r="A1457" s="16" t="s">
        <v>185</v>
      </c>
      <c r="B1457" s="49">
        <v>795</v>
      </c>
      <c r="C1457" s="15" t="s">
        <v>180</v>
      </c>
      <c r="D1457" s="15" t="s">
        <v>71</v>
      </c>
      <c r="E1457" s="15" t="s">
        <v>416</v>
      </c>
      <c r="F1457" s="15" t="s">
        <v>186</v>
      </c>
      <c r="G1457" s="74"/>
      <c r="H1457" s="8"/>
      <c r="I1457" s="8"/>
    </row>
    <row r="1458" spans="1:9" s="22" customFormat="1" ht="25.5">
      <c r="A1458" s="34" t="s">
        <v>608</v>
      </c>
      <c r="B1458" s="19">
        <v>795</v>
      </c>
      <c r="C1458" s="36" t="s">
        <v>180</v>
      </c>
      <c r="D1458" s="36" t="s">
        <v>180</v>
      </c>
      <c r="E1458" s="36"/>
      <c r="F1458" s="36"/>
      <c r="G1458" s="75">
        <f>G1459</f>
        <v>11370925.930000002</v>
      </c>
      <c r="H1458" s="75">
        <f t="shared" ref="H1458:I1458" si="375">H1459</f>
        <v>1681729.79</v>
      </c>
      <c r="I1458" s="75">
        <f t="shared" si="375"/>
        <v>0</v>
      </c>
    </row>
    <row r="1459" spans="1:9" ht="54" customHeight="1">
      <c r="A1459" s="16" t="s">
        <v>513</v>
      </c>
      <c r="B1459" s="49">
        <v>795</v>
      </c>
      <c r="C1459" s="15" t="s">
        <v>180</v>
      </c>
      <c r="D1459" s="15" t="s">
        <v>180</v>
      </c>
      <c r="E1459" s="15" t="s">
        <v>305</v>
      </c>
      <c r="F1459" s="15"/>
      <c r="G1459" s="74">
        <f>G1460+G1467+G1472+G1490+G1480+G1485</f>
        <v>11370925.930000002</v>
      </c>
      <c r="H1459" s="74">
        <f t="shared" ref="H1459:I1459" si="376">H1460+H1467+H1472+H1490+H1480+H1485</f>
        <v>1681729.79</v>
      </c>
      <c r="I1459" s="74">
        <f t="shared" si="376"/>
        <v>0</v>
      </c>
    </row>
    <row r="1460" spans="1:9" ht="73.5" customHeight="1">
      <c r="A1460" s="37" t="s">
        <v>741</v>
      </c>
      <c r="B1460" s="49">
        <v>795</v>
      </c>
      <c r="C1460" s="15" t="s">
        <v>180</v>
      </c>
      <c r="D1460" s="15" t="s">
        <v>180</v>
      </c>
      <c r="E1460" s="15" t="s">
        <v>753</v>
      </c>
      <c r="F1460" s="15"/>
      <c r="G1460" s="74">
        <f>G1461</f>
        <v>5382867</v>
      </c>
      <c r="H1460" s="8">
        <v>0</v>
      </c>
      <c r="I1460" s="8">
        <v>0</v>
      </c>
    </row>
    <row r="1461" spans="1:9" ht="21" customHeight="1">
      <c r="A1461" s="86" t="s">
        <v>163</v>
      </c>
      <c r="B1461" s="49">
        <v>795</v>
      </c>
      <c r="C1461" s="15" t="s">
        <v>180</v>
      </c>
      <c r="D1461" s="15" t="s">
        <v>180</v>
      </c>
      <c r="E1461" s="15" t="s">
        <v>753</v>
      </c>
      <c r="F1461" s="15" t="s">
        <v>164</v>
      </c>
      <c r="G1461" s="74">
        <f>G1462</f>
        <v>5382867</v>
      </c>
      <c r="H1461" s="8">
        <v>0</v>
      </c>
      <c r="I1461" s="8">
        <v>0</v>
      </c>
    </row>
    <row r="1462" spans="1:9" ht="20.25" customHeight="1">
      <c r="A1462" s="86" t="s">
        <v>177</v>
      </c>
      <c r="B1462" s="49">
        <v>795</v>
      </c>
      <c r="C1462" s="15" t="s">
        <v>180</v>
      </c>
      <c r="D1462" s="15" t="s">
        <v>180</v>
      </c>
      <c r="E1462" s="15" t="s">
        <v>753</v>
      </c>
      <c r="F1462" s="15" t="s">
        <v>178</v>
      </c>
      <c r="G1462" s="102">
        <v>5382867</v>
      </c>
      <c r="H1462" s="8">
        <v>0</v>
      </c>
      <c r="I1462" s="8">
        <v>0</v>
      </c>
    </row>
    <row r="1463" spans="1:9" ht="25.5" hidden="1" customHeight="1">
      <c r="A1463" s="37" t="s">
        <v>648</v>
      </c>
      <c r="B1463" s="49">
        <v>795</v>
      </c>
      <c r="C1463" s="15" t="s">
        <v>180</v>
      </c>
      <c r="D1463" s="15" t="s">
        <v>180</v>
      </c>
      <c r="E1463" s="15" t="s">
        <v>645</v>
      </c>
      <c r="F1463" s="15"/>
      <c r="G1463" s="102">
        <f>G1464</f>
        <v>0</v>
      </c>
      <c r="H1463" s="8">
        <v>0</v>
      </c>
      <c r="I1463" s="8">
        <v>0</v>
      </c>
    </row>
    <row r="1464" spans="1:9" ht="39.75" hidden="1" customHeight="1">
      <c r="A1464" s="37" t="s">
        <v>647</v>
      </c>
      <c r="B1464" s="49">
        <v>795</v>
      </c>
      <c r="C1464" s="15" t="s">
        <v>180</v>
      </c>
      <c r="D1464" s="15" t="s">
        <v>180</v>
      </c>
      <c r="E1464" s="15" t="s">
        <v>646</v>
      </c>
      <c r="F1464" s="15"/>
      <c r="G1464" s="102">
        <f>G1465</f>
        <v>0</v>
      </c>
      <c r="H1464" s="8">
        <v>0</v>
      </c>
      <c r="I1464" s="8">
        <v>0</v>
      </c>
    </row>
    <row r="1465" spans="1:9" ht="30.75" hidden="1" customHeight="1">
      <c r="A1465" s="16" t="s">
        <v>99</v>
      </c>
      <c r="B1465" s="49">
        <v>795</v>
      </c>
      <c r="C1465" s="15" t="s">
        <v>180</v>
      </c>
      <c r="D1465" s="15" t="s">
        <v>180</v>
      </c>
      <c r="E1465" s="15" t="s">
        <v>646</v>
      </c>
      <c r="F1465" s="15" t="s">
        <v>359</v>
      </c>
      <c r="G1465" s="102">
        <f>G1466</f>
        <v>0</v>
      </c>
      <c r="H1465" s="8">
        <v>0</v>
      </c>
      <c r="I1465" s="8">
        <v>0</v>
      </c>
    </row>
    <row r="1466" spans="1:9" ht="30.75" hidden="1" customHeight="1">
      <c r="A1466" s="16" t="s">
        <v>360</v>
      </c>
      <c r="B1466" s="49">
        <v>795</v>
      </c>
      <c r="C1466" s="15" t="s">
        <v>180</v>
      </c>
      <c r="D1466" s="15" t="s">
        <v>180</v>
      </c>
      <c r="E1466" s="15" t="s">
        <v>646</v>
      </c>
      <c r="F1466" s="15" t="s">
        <v>361</v>
      </c>
      <c r="G1466" s="102"/>
      <c r="H1466" s="8">
        <v>0</v>
      </c>
      <c r="I1466" s="8">
        <v>0</v>
      </c>
    </row>
    <row r="1467" spans="1:9" ht="55.5" hidden="1" customHeight="1">
      <c r="A1467" s="207" t="s">
        <v>773</v>
      </c>
      <c r="B1467" s="49">
        <v>795</v>
      </c>
      <c r="C1467" s="15" t="s">
        <v>180</v>
      </c>
      <c r="D1467" s="15" t="s">
        <v>180</v>
      </c>
      <c r="E1467" s="15" t="s">
        <v>755</v>
      </c>
      <c r="F1467" s="15"/>
      <c r="G1467" s="102">
        <f>G1468+G1470</f>
        <v>0</v>
      </c>
      <c r="H1467" s="74">
        <f t="shared" ref="H1467:I1467" si="377">H1468+H1470</f>
        <v>0</v>
      </c>
      <c r="I1467" s="74">
        <f t="shared" si="377"/>
        <v>0</v>
      </c>
    </row>
    <row r="1468" spans="1:9" ht="27" hidden="1" customHeight="1">
      <c r="A1468" s="16" t="s">
        <v>99</v>
      </c>
      <c r="B1468" s="49">
        <v>795</v>
      </c>
      <c r="C1468" s="15" t="s">
        <v>180</v>
      </c>
      <c r="D1468" s="15" t="s">
        <v>180</v>
      </c>
      <c r="E1468" s="15" t="s">
        <v>631</v>
      </c>
      <c r="F1468" s="15" t="s">
        <v>359</v>
      </c>
      <c r="G1468" s="102">
        <f>G1469</f>
        <v>0</v>
      </c>
      <c r="H1468" s="8">
        <f>H1469</f>
        <v>0</v>
      </c>
      <c r="I1468" s="8">
        <v>0</v>
      </c>
    </row>
    <row r="1469" spans="1:9" ht="18.75" hidden="1" customHeight="1">
      <c r="A1469" s="86" t="s">
        <v>360</v>
      </c>
      <c r="B1469" s="49">
        <v>795</v>
      </c>
      <c r="C1469" s="15" t="s">
        <v>180</v>
      </c>
      <c r="D1469" s="15" t="s">
        <v>180</v>
      </c>
      <c r="E1469" s="15" t="s">
        <v>631</v>
      </c>
      <c r="F1469" s="15" t="s">
        <v>361</v>
      </c>
      <c r="G1469" s="102"/>
      <c r="H1469" s="8"/>
      <c r="I1469" s="8">
        <v>0</v>
      </c>
    </row>
    <row r="1470" spans="1:9" ht="39.75" hidden="1" customHeight="1">
      <c r="A1470" s="86" t="s">
        <v>36</v>
      </c>
      <c r="B1470" s="49">
        <v>795</v>
      </c>
      <c r="C1470" s="15" t="s">
        <v>180</v>
      </c>
      <c r="D1470" s="15" t="s">
        <v>180</v>
      </c>
      <c r="E1470" s="15" t="s">
        <v>756</v>
      </c>
      <c r="F1470" s="15" t="s">
        <v>359</v>
      </c>
      <c r="G1470" s="102">
        <f>G1471</f>
        <v>0</v>
      </c>
      <c r="H1470" s="8"/>
      <c r="I1470" s="8"/>
    </row>
    <row r="1471" spans="1:9" ht="39" hidden="1" customHeight="1">
      <c r="A1471" s="16" t="s">
        <v>38</v>
      </c>
      <c r="B1471" s="49">
        <v>795</v>
      </c>
      <c r="C1471" s="15" t="s">
        <v>180</v>
      </c>
      <c r="D1471" s="15" t="s">
        <v>180</v>
      </c>
      <c r="E1471" s="15" t="s">
        <v>755</v>
      </c>
      <c r="F1471" s="15" t="s">
        <v>361</v>
      </c>
      <c r="G1471" s="102">
        <f>358104.72+400000-758104.72</f>
        <v>0</v>
      </c>
      <c r="H1471" s="8"/>
      <c r="I1471" s="8"/>
    </row>
    <row r="1472" spans="1:9" ht="57" customHeight="1">
      <c r="A1472" s="37" t="s">
        <v>773</v>
      </c>
      <c r="B1472" s="49">
        <v>795</v>
      </c>
      <c r="C1472" s="15" t="s">
        <v>180</v>
      </c>
      <c r="D1472" s="15" t="s">
        <v>180</v>
      </c>
      <c r="E1472" s="15" t="s">
        <v>631</v>
      </c>
      <c r="F1472" s="15"/>
      <c r="G1472" s="102">
        <f>G1473+G1475</f>
        <v>5170364.71</v>
      </c>
      <c r="H1472" s="74">
        <f t="shared" ref="H1472:I1472" si="378">H1473+H1475</f>
        <v>0</v>
      </c>
      <c r="I1472" s="74">
        <f t="shared" si="378"/>
        <v>0</v>
      </c>
    </row>
    <row r="1473" spans="1:9" ht="27" hidden="1" customHeight="1">
      <c r="A1473" s="16" t="s">
        <v>99</v>
      </c>
      <c r="B1473" s="49">
        <v>795</v>
      </c>
      <c r="C1473" s="15" t="s">
        <v>180</v>
      </c>
      <c r="D1473" s="15" t="s">
        <v>180</v>
      </c>
      <c r="E1473" s="15" t="s">
        <v>631</v>
      </c>
      <c r="F1473" s="15" t="s">
        <v>359</v>
      </c>
      <c r="G1473" s="102">
        <f>G1474</f>
        <v>0</v>
      </c>
      <c r="H1473" s="8">
        <f>H1474</f>
        <v>0</v>
      </c>
      <c r="I1473" s="8">
        <v>0</v>
      </c>
    </row>
    <row r="1474" spans="1:9" ht="18.75" hidden="1" customHeight="1">
      <c r="A1474" s="86" t="s">
        <v>360</v>
      </c>
      <c r="B1474" s="49">
        <v>795</v>
      </c>
      <c r="C1474" s="15" t="s">
        <v>180</v>
      </c>
      <c r="D1474" s="15" t="s">
        <v>180</v>
      </c>
      <c r="E1474" s="15" t="s">
        <v>631</v>
      </c>
      <c r="F1474" s="15" t="s">
        <v>361</v>
      </c>
      <c r="G1474" s="102"/>
      <c r="H1474" s="8"/>
      <c r="I1474" s="8">
        <v>0</v>
      </c>
    </row>
    <row r="1475" spans="1:9" ht="30" customHeight="1">
      <c r="A1475" s="86" t="s">
        <v>36</v>
      </c>
      <c r="B1475" s="49">
        <v>795</v>
      </c>
      <c r="C1475" s="15" t="s">
        <v>180</v>
      </c>
      <c r="D1475" s="15" t="s">
        <v>180</v>
      </c>
      <c r="E1475" s="15" t="s">
        <v>631</v>
      </c>
      <c r="F1475" s="15" t="s">
        <v>359</v>
      </c>
      <c r="G1475" s="102">
        <f>G1476</f>
        <v>5170364.71</v>
      </c>
      <c r="H1475" s="8">
        <v>0</v>
      </c>
      <c r="I1475" s="8">
        <v>0</v>
      </c>
    </row>
    <row r="1476" spans="1:9" ht="30.75" customHeight="1">
      <c r="A1476" s="16" t="s">
        <v>38</v>
      </c>
      <c r="B1476" s="49">
        <v>795</v>
      </c>
      <c r="C1476" s="15" t="s">
        <v>180</v>
      </c>
      <c r="D1476" s="15" t="s">
        <v>180</v>
      </c>
      <c r="E1476" s="15" t="s">
        <v>631</v>
      </c>
      <c r="F1476" s="15" t="s">
        <v>361</v>
      </c>
      <c r="G1476" s="102">
        <f>3170364.71+2000000</f>
        <v>5170364.71</v>
      </c>
      <c r="H1476" s="8">
        <v>0</v>
      </c>
      <c r="I1476" s="8">
        <v>0</v>
      </c>
    </row>
    <row r="1477" spans="1:9" s="3" customFormat="1" ht="33.75" hidden="1" customHeight="1">
      <c r="A1477" s="16" t="s">
        <v>529</v>
      </c>
      <c r="B1477" s="49">
        <v>795</v>
      </c>
      <c r="C1477" s="15" t="s">
        <v>180</v>
      </c>
      <c r="D1477" s="15" t="s">
        <v>180</v>
      </c>
      <c r="E1477" s="15" t="s">
        <v>530</v>
      </c>
      <c r="F1477" s="15"/>
      <c r="G1477" s="102">
        <f>G1478</f>
        <v>0</v>
      </c>
      <c r="H1477" s="8">
        <v>0</v>
      </c>
      <c r="I1477" s="8">
        <v>0</v>
      </c>
    </row>
    <row r="1478" spans="1:9" s="3" customFormat="1" ht="38.25" hidden="1" customHeight="1">
      <c r="A1478" s="16" t="s">
        <v>36</v>
      </c>
      <c r="B1478" s="49">
        <v>795</v>
      </c>
      <c r="C1478" s="15" t="s">
        <v>180</v>
      </c>
      <c r="D1478" s="15" t="s">
        <v>180</v>
      </c>
      <c r="E1478" s="15" t="s">
        <v>530</v>
      </c>
      <c r="F1478" s="15" t="s">
        <v>37</v>
      </c>
      <c r="G1478" s="74">
        <f>G1479</f>
        <v>0</v>
      </c>
      <c r="H1478" s="8">
        <v>0</v>
      </c>
      <c r="I1478" s="8">
        <v>0</v>
      </c>
    </row>
    <row r="1479" spans="1:9" s="3" customFormat="1" ht="38.25" hidden="1" customHeight="1">
      <c r="A1479" s="16" t="s">
        <v>38</v>
      </c>
      <c r="B1479" s="49">
        <v>795</v>
      </c>
      <c r="C1479" s="15" t="s">
        <v>180</v>
      </c>
      <c r="D1479" s="15" t="s">
        <v>180</v>
      </c>
      <c r="E1479" s="15" t="s">
        <v>530</v>
      </c>
      <c r="F1479" s="15" t="s">
        <v>39</v>
      </c>
      <c r="G1479" s="74"/>
      <c r="H1479" s="8">
        <v>0</v>
      </c>
      <c r="I1479" s="8">
        <v>0</v>
      </c>
    </row>
    <row r="1480" spans="1:9" ht="57" customHeight="1">
      <c r="A1480" s="37" t="s">
        <v>899</v>
      </c>
      <c r="B1480" s="49">
        <v>795</v>
      </c>
      <c r="C1480" s="15" t="s">
        <v>180</v>
      </c>
      <c r="D1480" s="15" t="s">
        <v>180</v>
      </c>
      <c r="E1480" s="15" t="s">
        <v>898</v>
      </c>
      <c r="F1480" s="15"/>
      <c r="G1480" s="102">
        <f>G1481+G1483</f>
        <v>0</v>
      </c>
      <c r="H1480" s="74">
        <f>H1483</f>
        <v>1681729.79</v>
      </c>
      <c r="I1480" s="74">
        <f t="shared" ref="I1480" si="379">I1481+I1483</f>
        <v>0</v>
      </c>
    </row>
    <row r="1481" spans="1:9" ht="27" hidden="1" customHeight="1">
      <c r="A1481" s="16" t="s">
        <v>99</v>
      </c>
      <c r="B1481" s="49">
        <v>795</v>
      </c>
      <c r="C1481" s="15" t="s">
        <v>180</v>
      </c>
      <c r="D1481" s="15" t="s">
        <v>180</v>
      </c>
      <c r="E1481" s="15" t="s">
        <v>631</v>
      </c>
      <c r="F1481" s="15" t="s">
        <v>359</v>
      </c>
      <c r="G1481" s="102">
        <f>G1482</f>
        <v>0</v>
      </c>
      <c r="H1481" s="8">
        <f>H1482</f>
        <v>0</v>
      </c>
      <c r="I1481" s="8">
        <v>0</v>
      </c>
    </row>
    <row r="1482" spans="1:9" ht="18.75" hidden="1" customHeight="1">
      <c r="A1482" s="86" t="s">
        <v>360</v>
      </c>
      <c r="B1482" s="49">
        <v>795</v>
      </c>
      <c r="C1482" s="15" t="s">
        <v>180</v>
      </c>
      <c r="D1482" s="15" t="s">
        <v>180</v>
      </c>
      <c r="E1482" s="15" t="s">
        <v>631</v>
      </c>
      <c r="F1482" s="15" t="s">
        <v>361</v>
      </c>
      <c r="G1482" s="102"/>
      <c r="H1482" s="8"/>
      <c r="I1482" s="8">
        <v>0</v>
      </c>
    </row>
    <row r="1483" spans="1:9" ht="30" customHeight="1">
      <c r="A1483" s="86" t="s">
        <v>36</v>
      </c>
      <c r="B1483" s="49">
        <v>795</v>
      </c>
      <c r="C1483" s="15" t="s">
        <v>180</v>
      </c>
      <c r="D1483" s="15" t="s">
        <v>180</v>
      </c>
      <c r="E1483" s="15" t="s">
        <v>898</v>
      </c>
      <c r="F1483" s="15" t="s">
        <v>359</v>
      </c>
      <c r="G1483" s="102">
        <f>G1484</f>
        <v>0</v>
      </c>
      <c r="H1483" s="8">
        <f>H1484</f>
        <v>1681729.79</v>
      </c>
      <c r="I1483" s="8">
        <v>0</v>
      </c>
    </row>
    <row r="1484" spans="1:9" ht="30.75" customHeight="1">
      <c r="A1484" s="16" t="s">
        <v>38</v>
      </c>
      <c r="B1484" s="49">
        <v>795</v>
      </c>
      <c r="C1484" s="15" t="s">
        <v>180</v>
      </c>
      <c r="D1484" s="15" t="s">
        <v>180</v>
      </c>
      <c r="E1484" s="15" t="s">
        <v>898</v>
      </c>
      <c r="F1484" s="15" t="s">
        <v>361</v>
      </c>
      <c r="G1484" s="102"/>
      <c r="H1484" s="8">
        <v>1681729.79</v>
      </c>
      <c r="I1484" s="8">
        <v>0</v>
      </c>
    </row>
    <row r="1485" spans="1:9" ht="57" customHeight="1">
      <c r="A1485" s="37" t="s">
        <v>904</v>
      </c>
      <c r="B1485" s="49">
        <v>795</v>
      </c>
      <c r="C1485" s="15" t="s">
        <v>180</v>
      </c>
      <c r="D1485" s="15" t="s">
        <v>180</v>
      </c>
      <c r="E1485" s="15" t="s">
        <v>903</v>
      </c>
      <c r="F1485" s="15"/>
      <c r="G1485" s="102">
        <f>G1486+G1488</f>
        <v>142694.22</v>
      </c>
      <c r="H1485" s="74">
        <f>H1488</f>
        <v>0</v>
      </c>
      <c r="I1485" s="74">
        <f t="shared" ref="I1485" si="380">I1486+I1488</f>
        <v>0</v>
      </c>
    </row>
    <row r="1486" spans="1:9" ht="27" hidden="1" customHeight="1">
      <c r="A1486" s="16" t="s">
        <v>99</v>
      </c>
      <c r="B1486" s="49">
        <v>795</v>
      </c>
      <c r="C1486" s="15" t="s">
        <v>180</v>
      </c>
      <c r="D1486" s="15" t="s">
        <v>180</v>
      </c>
      <c r="E1486" s="15" t="s">
        <v>631</v>
      </c>
      <c r="F1486" s="15" t="s">
        <v>359</v>
      </c>
      <c r="G1486" s="102">
        <f>G1487</f>
        <v>0</v>
      </c>
      <c r="H1486" s="8">
        <f>H1487</f>
        <v>0</v>
      </c>
      <c r="I1486" s="8">
        <v>0</v>
      </c>
    </row>
    <row r="1487" spans="1:9" ht="18.75" hidden="1" customHeight="1">
      <c r="A1487" s="86" t="s">
        <v>360</v>
      </c>
      <c r="B1487" s="49">
        <v>795</v>
      </c>
      <c r="C1487" s="15" t="s">
        <v>180</v>
      </c>
      <c r="D1487" s="15" t="s">
        <v>180</v>
      </c>
      <c r="E1487" s="15" t="s">
        <v>631</v>
      </c>
      <c r="F1487" s="15" t="s">
        <v>361</v>
      </c>
      <c r="G1487" s="102"/>
      <c r="H1487" s="8"/>
      <c r="I1487" s="8">
        <v>0</v>
      </c>
    </row>
    <row r="1488" spans="1:9" ht="30" customHeight="1">
      <c r="A1488" s="86" t="s">
        <v>36</v>
      </c>
      <c r="B1488" s="49">
        <v>795</v>
      </c>
      <c r="C1488" s="15" t="s">
        <v>180</v>
      </c>
      <c r="D1488" s="15" t="s">
        <v>180</v>
      </c>
      <c r="E1488" s="15" t="s">
        <v>903</v>
      </c>
      <c r="F1488" s="15" t="s">
        <v>359</v>
      </c>
      <c r="G1488" s="102">
        <f>G1489</f>
        <v>142694.22</v>
      </c>
      <c r="H1488" s="8">
        <f>H1489</f>
        <v>0</v>
      </c>
      <c r="I1488" s="8">
        <v>0</v>
      </c>
    </row>
    <row r="1489" spans="1:9" ht="30.75" customHeight="1">
      <c r="A1489" s="16" t="s">
        <v>38</v>
      </c>
      <c r="B1489" s="49">
        <v>795</v>
      </c>
      <c r="C1489" s="15" t="s">
        <v>180</v>
      </c>
      <c r="D1489" s="15" t="s">
        <v>180</v>
      </c>
      <c r="E1489" s="15" t="s">
        <v>903</v>
      </c>
      <c r="F1489" s="15" t="s">
        <v>361</v>
      </c>
      <c r="G1489" s="102">
        <v>142694.22</v>
      </c>
      <c r="H1489" s="8"/>
      <c r="I1489" s="8">
        <v>0</v>
      </c>
    </row>
    <row r="1490" spans="1:9" s="3" customFormat="1" ht="72" customHeight="1">
      <c r="A1490" s="86" t="s">
        <v>864</v>
      </c>
      <c r="B1490" s="49">
        <v>795</v>
      </c>
      <c r="C1490" s="15" t="s">
        <v>180</v>
      </c>
      <c r="D1490" s="15" t="s">
        <v>180</v>
      </c>
      <c r="E1490" s="15" t="s">
        <v>752</v>
      </c>
      <c r="F1490" s="15"/>
      <c r="G1490" s="74">
        <f>G1491+G1496</f>
        <v>675000</v>
      </c>
      <c r="H1490" s="8">
        <f>H1491</f>
        <v>0</v>
      </c>
      <c r="I1490" s="8">
        <f>I1491</f>
        <v>0</v>
      </c>
    </row>
    <row r="1491" spans="1:9" s="3" customFormat="1" ht="24.75" customHeight="1">
      <c r="A1491" s="86" t="s">
        <v>163</v>
      </c>
      <c r="B1491" s="49">
        <v>795</v>
      </c>
      <c r="C1491" s="15" t="s">
        <v>180</v>
      </c>
      <c r="D1491" s="15" t="s">
        <v>180</v>
      </c>
      <c r="E1491" s="15" t="s">
        <v>752</v>
      </c>
      <c r="F1491" s="88" t="s">
        <v>164</v>
      </c>
      <c r="G1491" s="74">
        <f>G1492</f>
        <v>675000</v>
      </c>
      <c r="H1491" s="8">
        <f>H1492</f>
        <v>0</v>
      </c>
      <c r="I1491" s="8">
        <f>I1492</f>
        <v>0</v>
      </c>
    </row>
    <row r="1492" spans="1:9" s="3" customFormat="1" ht="22.5" customHeight="1">
      <c r="A1492" s="86" t="s">
        <v>185</v>
      </c>
      <c r="B1492" s="49">
        <v>795</v>
      </c>
      <c r="C1492" s="15" t="s">
        <v>180</v>
      </c>
      <c r="D1492" s="15" t="s">
        <v>180</v>
      </c>
      <c r="E1492" s="15" t="s">
        <v>752</v>
      </c>
      <c r="F1492" s="88" t="s">
        <v>186</v>
      </c>
      <c r="G1492" s="74">
        <v>675000</v>
      </c>
      <c r="H1492" s="8">
        <v>0</v>
      </c>
      <c r="I1492" s="8">
        <v>0</v>
      </c>
    </row>
    <row r="1493" spans="1:9" s="22" customFormat="1" ht="22.5" customHeight="1">
      <c r="A1493" s="34" t="s">
        <v>2</v>
      </c>
      <c r="B1493" s="19">
        <v>795</v>
      </c>
      <c r="C1493" s="36" t="s">
        <v>168</v>
      </c>
      <c r="D1493" s="36"/>
      <c r="E1493" s="36"/>
      <c r="F1493" s="36"/>
      <c r="G1493" s="75">
        <f t="shared" ref="G1493:I1494" si="381">G1494</f>
        <v>2875150</v>
      </c>
      <c r="H1493" s="75">
        <f t="shared" si="381"/>
        <v>1030000</v>
      </c>
      <c r="I1493" s="75">
        <f t="shared" si="381"/>
        <v>1030000</v>
      </c>
    </row>
    <row r="1494" spans="1:9" s="3" customFormat="1" ht="24.75" customHeight="1">
      <c r="A1494" s="16" t="s">
        <v>363</v>
      </c>
      <c r="B1494" s="49">
        <v>795</v>
      </c>
      <c r="C1494" s="15" t="s">
        <v>168</v>
      </c>
      <c r="D1494" s="15" t="s">
        <v>180</v>
      </c>
      <c r="E1494" s="15"/>
      <c r="F1494" s="15"/>
      <c r="G1494" s="74">
        <f t="shared" si="381"/>
        <v>2875150</v>
      </c>
      <c r="H1494" s="74">
        <f t="shared" si="381"/>
        <v>1030000</v>
      </c>
      <c r="I1494" s="74">
        <f t="shared" si="381"/>
        <v>1030000</v>
      </c>
    </row>
    <row r="1495" spans="1:9" s="3" customFormat="1" ht="38.25" customHeight="1">
      <c r="A1495" s="16" t="s">
        <v>498</v>
      </c>
      <c r="B1495" s="49">
        <v>795</v>
      </c>
      <c r="C1495" s="15" t="s">
        <v>168</v>
      </c>
      <c r="D1495" s="15" t="s">
        <v>180</v>
      </c>
      <c r="E1495" s="15" t="s">
        <v>269</v>
      </c>
      <c r="F1495" s="15"/>
      <c r="G1495" s="74">
        <f>G1502+G1505+G1508+G1511+G1522+G1496+G1534+G1525+G1528+G1514+G1519+G1533+G1537+G1499+G1540</f>
        <v>2875150</v>
      </c>
      <c r="H1495" s="74">
        <f t="shared" ref="H1495:I1495" si="382">H1502+H1505+H1508+H1511+H1522+H1496+H1534+H1525+H1528+H1514+H1519+H1533+H1537+H1499+H1540</f>
        <v>1030000</v>
      </c>
      <c r="I1495" s="74">
        <f t="shared" si="382"/>
        <v>1030000</v>
      </c>
    </row>
    <row r="1496" spans="1:9" s="3" customFormat="1" ht="38.25" hidden="1" customHeight="1">
      <c r="A1496" s="16" t="s">
        <v>553</v>
      </c>
      <c r="B1496" s="49">
        <v>795</v>
      </c>
      <c r="C1496" s="15" t="s">
        <v>168</v>
      </c>
      <c r="D1496" s="15" t="s">
        <v>180</v>
      </c>
      <c r="E1496" s="15" t="s">
        <v>554</v>
      </c>
      <c r="F1496" s="15"/>
      <c r="G1496" s="74">
        <f>G1497</f>
        <v>0</v>
      </c>
      <c r="H1496" s="8">
        <v>0</v>
      </c>
      <c r="I1496" s="8">
        <v>0</v>
      </c>
    </row>
    <row r="1497" spans="1:9" s="3" customFormat="1" ht="38.25" hidden="1" customHeight="1">
      <c r="A1497" s="16" t="s">
        <v>36</v>
      </c>
      <c r="B1497" s="49">
        <v>795</v>
      </c>
      <c r="C1497" s="15" t="s">
        <v>168</v>
      </c>
      <c r="D1497" s="15" t="s">
        <v>180</v>
      </c>
      <c r="E1497" s="15" t="s">
        <v>554</v>
      </c>
      <c r="F1497" s="15" t="s">
        <v>37</v>
      </c>
      <c r="G1497" s="74">
        <f>G1498</f>
        <v>0</v>
      </c>
      <c r="H1497" s="8">
        <v>0</v>
      </c>
      <c r="I1497" s="8">
        <v>0</v>
      </c>
    </row>
    <row r="1498" spans="1:9" s="3" customFormat="1" ht="38.25" hidden="1" customHeight="1">
      <c r="A1498" s="16" t="s">
        <v>38</v>
      </c>
      <c r="B1498" s="49">
        <v>795</v>
      </c>
      <c r="C1498" s="15" t="s">
        <v>168</v>
      </c>
      <c r="D1498" s="15" t="s">
        <v>180</v>
      </c>
      <c r="E1498" s="15" t="s">
        <v>554</v>
      </c>
      <c r="F1498" s="15" t="s">
        <v>39</v>
      </c>
      <c r="G1498" s="74"/>
      <c r="H1498" s="8">
        <v>0</v>
      </c>
      <c r="I1498" s="8">
        <v>0</v>
      </c>
    </row>
    <row r="1499" spans="1:9" s="3" customFormat="1" ht="38.25" hidden="1" customHeight="1">
      <c r="A1499" s="16" t="s">
        <v>794</v>
      </c>
      <c r="B1499" s="49">
        <v>795</v>
      </c>
      <c r="C1499" s="15" t="s">
        <v>168</v>
      </c>
      <c r="D1499" s="15" t="s">
        <v>180</v>
      </c>
      <c r="E1499" s="15" t="s">
        <v>793</v>
      </c>
      <c r="F1499" s="15"/>
      <c r="G1499" s="74">
        <f t="shared" ref="G1499:I1500" si="383">G1500</f>
        <v>0</v>
      </c>
      <c r="H1499" s="74">
        <f t="shared" si="383"/>
        <v>0</v>
      </c>
      <c r="I1499" s="74">
        <f t="shared" si="383"/>
        <v>0</v>
      </c>
    </row>
    <row r="1500" spans="1:9" s="3" customFormat="1" ht="38.25" hidden="1" customHeight="1">
      <c r="A1500" s="16" t="s">
        <v>36</v>
      </c>
      <c r="B1500" s="49">
        <v>795</v>
      </c>
      <c r="C1500" s="15" t="s">
        <v>168</v>
      </c>
      <c r="D1500" s="15" t="s">
        <v>180</v>
      </c>
      <c r="E1500" s="15" t="s">
        <v>793</v>
      </c>
      <c r="F1500" s="15" t="s">
        <v>37</v>
      </c>
      <c r="G1500" s="74">
        <f t="shared" si="383"/>
        <v>0</v>
      </c>
      <c r="H1500" s="74">
        <f t="shared" si="383"/>
        <v>0</v>
      </c>
      <c r="I1500" s="74">
        <f t="shared" si="383"/>
        <v>0</v>
      </c>
    </row>
    <row r="1501" spans="1:9" s="3" customFormat="1" ht="38.25" hidden="1" customHeight="1">
      <c r="A1501" s="16" t="s">
        <v>38</v>
      </c>
      <c r="B1501" s="49">
        <v>795</v>
      </c>
      <c r="C1501" s="15" t="s">
        <v>168</v>
      </c>
      <c r="D1501" s="15" t="s">
        <v>180</v>
      </c>
      <c r="E1501" s="15" t="s">
        <v>793</v>
      </c>
      <c r="F1501" s="15" t="s">
        <v>39</v>
      </c>
      <c r="G1501" s="74"/>
      <c r="H1501" s="74"/>
      <c r="I1501" s="74"/>
    </row>
    <row r="1502" spans="1:9" s="3" customFormat="1" ht="38.25" customHeight="1">
      <c r="A1502" s="16" t="s">
        <v>507</v>
      </c>
      <c r="B1502" s="49">
        <v>795</v>
      </c>
      <c r="C1502" s="15" t="s">
        <v>168</v>
      </c>
      <c r="D1502" s="15" t="s">
        <v>180</v>
      </c>
      <c r="E1502" s="15" t="s">
        <v>387</v>
      </c>
      <c r="F1502" s="15"/>
      <c r="G1502" s="74">
        <f t="shared" ref="G1502:I1503" si="384">G1503</f>
        <v>120000</v>
      </c>
      <c r="H1502" s="74">
        <f t="shared" si="384"/>
        <v>300000</v>
      </c>
      <c r="I1502" s="74">
        <f t="shared" si="384"/>
        <v>300000</v>
      </c>
    </row>
    <row r="1503" spans="1:9" s="3" customFormat="1" ht="38.25" customHeight="1">
      <c r="A1503" s="16" t="s">
        <v>36</v>
      </c>
      <c r="B1503" s="49">
        <v>795</v>
      </c>
      <c r="C1503" s="15" t="s">
        <v>168</v>
      </c>
      <c r="D1503" s="15" t="s">
        <v>180</v>
      </c>
      <c r="E1503" s="15" t="s">
        <v>387</v>
      </c>
      <c r="F1503" s="15" t="s">
        <v>37</v>
      </c>
      <c r="G1503" s="74">
        <f t="shared" si="384"/>
        <v>120000</v>
      </c>
      <c r="H1503" s="74">
        <f t="shared" si="384"/>
        <v>300000</v>
      </c>
      <c r="I1503" s="74">
        <f t="shared" si="384"/>
        <v>300000</v>
      </c>
    </row>
    <row r="1504" spans="1:9" s="3" customFormat="1" ht="38.25" customHeight="1">
      <c r="A1504" s="16" t="s">
        <v>38</v>
      </c>
      <c r="B1504" s="49">
        <v>795</v>
      </c>
      <c r="C1504" s="15" t="s">
        <v>168</v>
      </c>
      <c r="D1504" s="15" t="s">
        <v>180</v>
      </c>
      <c r="E1504" s="15" t="s">
        <v>387</v>
      </c>
      <c r="F1504" s="15" t="s">
        <v>39</v>
      </c>
      <c r="G1504" s="74">
        <f>200000-80000</f>
        <v>120000</v>
      </c>
      <c r="H1504" s="74">
        <v>300000</v>
      </c>
      <c r="I1504" s="74">
        <f>H1504</f>
        <v>300000</v>
      </c>
    </row>
    <row r="1505" spans="1:9" s="3" customFormat="1" ht="38.25" customHeight="1">
      <c r="A1505" s="16" t="s">
        <v>390</v>
      </c>
      <c r="B1505" s="49">
        <v>795</v>
      </c>
      <c r="C1505" s="15" t="s">
        <v>168</v>
      </c>
      <c r="D1505" s="15" t="s">
        <v>180</v>
      </c>
      <c r="E1505" s="15" t="s">
        <v>388</v>
      </c>
      <c r="F1505" s="15"/>
      <c r="G1505" s="74">
        <f t="shared" ref="G1505:I1506" si="385">G1506</f>
        <v>190000</v>
      </c>
      <c r="H1505" s="74">
        <f t="shared" si="385"/>
        <v>700000</v>
      </c>
      <c r="I1505" s="74">
        <f t="shared" si="385"/>
        <v>700000</v>
      </c>
    </row>
    <row r="1506" spans="1:9" s="3" customFormat="1" ht="38.25" customHeight="1">
      <c r="A1506" s="16" t="s">
        <v>36</v>
      </c>
      <c r="B1506" s="49">
        <v>795</v>
      </c>
      <c r="C1506" s="15" t="s">
        <v>168</v>
      </c>
      <c r="D1506" s="15" t="s">
        <v>180</v>
      </c>
      <c r="E1506" s="15" t="s">
        <v>388</v>
      </c>
      <c r="F1506" s="15" t="s">
        <v>37</v>
      </c>
      <c r="G1506" s="74">
        <f t="shared" si="385"/>
        <v>190000</v>
      </c>
      <c r="H1506" s="74">
        <f t="shared" si="385"/>
        <v>700000</v>
      </c>
      <c r="I1506" s="74">
        <f t="shared" si="385"/>
        <v>700000</v>
      </c>
    </row>
    <row r="1507" spans="1:9" s="3" customFormat="1" ht="39.75" customHeight="1">
      <c r="A1507" s="16" t="s">
        <v>38</v>
      </c>
      <c r="B1507" s="49">
        <v>795</v>
      </c>
      <c r="C1507" s="15" t="s">
        <v>168</v>
      </c>
      <c r="D1507" s="15" t="s">
        <v>180</v>
      </c>
      <c r="E1507" s="15" t="s">
        <v>388</v>
      </c>
      <c r="F1507" s="15" t="s">
        <v>39</v>
      </c>
      <c r="G1507" s="74">
        <f>700000-360000-150000</f>
        <v>190000</v>
      </c>
      <c r="H1507" s="74">
        <v>700000</v>
      </c>
      <c r="I1507" s="74">
        <v>700000</v>
      </c>
    </row>
    <row r="1508" spans="1:9" s="3" customFormat="1" ht="35.25" customHeight="1">
      <c r="A1508" s="16" t="s">
        <v>132</v>
      </c>
      <c r="B1508" s="49">
        <v>795</v>
      </c>
      <c r="C1508" s="15" t="s">
        <v>168</v>
      </c>
      <c r="D1508" s="15" t="s">
        <v>180</v>
      </c>
      <c r="E1508" s="15" t="s">
        <v>295</v>
      </c>
      <c r="F1508" s="15"/>
      <c r="G1508" s="74">
        <f>G1510</f>
        <v>30000</v>
      </c>
      <c r="H1508" s="74">
        <f>H1510</f>
        <v>30000</v>
      </c>
      <c r="I1508" s="74">
        <f>I1510</f>
        <v>30000</v>
      </c>
    </row>
    <row r="1509" spans="1:9" s="3" customFormat="1" ht="38.25" customHeight="1">
      <c r="A1509" s="16" t="s">
        <v>36</v>
      </c>
      <c r="B1509" s="49">
        <v>795</v>
      </c>
      <c r="C1509" s="15" t="s">
        <v>168</v>
      </c>
      <c r="D1509" s="15" t="s">
        <v>180</v>
      </c>
      <c r="E1509" s="15" t="s">
        <v>295</v>
      </c>
      <c r="F1509" s="15" t="s">
        <v>37</v>
      </c>
      <c r="G1509" s="74">
        <f>G1510</f>
        <v>30000</v>
      </c>
      <c r="H1509" s="74">
        <f>H1510</f>
        <v>30000</v>
      </c>
      <c r="I1509" s="74">
        <f>I1510</f>
        <v>30000</v>
      </c>
    </row>
    <row r="1510" spans="1:9" s="3" customFormat="1" ht="38.25" customHeight="1">
      <c r="A1510" s="16" t="s">
        <v>38</v>
      </c>
      <c r="B1510" s="49">
        <v>795</v>
      </c>
      <c r="C1510" s="15" t="s">
        <v>168</v>
      </c>
      <c r="D1510" s="15" t="s">
        <v>180</v>
      </c>
      <c r="E1510" s="15" t="s">
        <v>295</v>
      </c>
      <c r="F1510" s="15" t="s">
        <v>39</v>
      </c>
      <c r="G1510" s="74">
        <v>30000</v>
      </c>
      <c r="H1510" s="74">
        <f>G1510</f>
        <v>30000</v>
      </c>
      <c r="I1510" s="74">
        <f>H1510</f>
        <v>30000</v>
      </c>
    </row>
    <row r="1511" spans="1:9" s="3" customFormat="1" ht="31.5" customHeight="1">
      <c r="A1511" s="86" t="s">
        <v>553</v>
      </c>
      <c r="B1511" s="49">
        <v>795</v>
      </c>
      <c r="C1511" s="15" t="s">
        <v>168</v>
      </c>
      <c r="D1511" s="15" t="s">
        <v>180</v>
      </c>
      <c r="E1511" s="15" t="s">
        <v>554</v>
      </c>
      <c r="F1511" s="15"/>
      <c r="G1511" s="74">
        <f>G1512</f>
        <v>1694950</v>
      </c>
      <c r="H1511" s="74">
        <f t="shared" ref="H1511:I1511" si="386">H1512</f>
        <v>0</v>
      </c>
      <c r="I1511" s="74">
        <f t="shared" si="386"/>
        <v>0</v>
      </c>
    </row>
    <row r="1512" spans="1:9" s="3" customFormat="1" ht="38.25" customHeight="1">
      <c r="A1512" s="16" t="s">
        <v>36</v>
      </c>
      <c r="B1512" s="49">
        <v>795</v>
      </c>
      <c r="C1512" s="15" t="s">
        <v>168</v>
      </c>
      <c r="D1512" s="15" t="s">
        <v>180</v>
      </c>
      <c r="E1512" s="15" t="s">
        <v>554</v>
      </c>
      <c r="F1512" s="15" t="s">
        <v>37</v>
      </c>
      <c r="G1512" s="74">
        <f>G1513</f>
        <v>1694950</v>
      </c>
      <c r="H1512" s="74">
        <f t="shared" ref="H1512:I1512" si="387">H1513</f>
        <v>0</v>
      </c>
      <c r="I1512" s="74">
        <f t="shared" si="387"/>
        <v>0</v>
      </c>
    </row>
    <row r="1513" spans="1:9" s="3" customFormat="1" ht="38.25" customHeight="1">
      <c r="A1513" s="16" t="s">
        <v>38</v>
      </c>
      <c r="B1513" s="49">
        <v>795</v>
      </c>
      <c r="C1513" s="15" t="s">
        <v>168</v>
      </c>
      <c r="D1513" s="15" t="s">
        <v>180</v>
      </c>
      <c r="E1513" s="15" t="s">
        <v>554</v>
      </c>
      <c r="F1513" s="15" t="s">
        <v>39</v>
      </c>
      <c r="G1513" s="74">
        <f>1464950+300000+300000-370000</f>
        <v>1694950</v>
      </c>
      <c r="H1513" s="74">
        <v>0</v>
      </c>
      <c r="I1513" s="74">
        <f>H1513</f>
        <v>0</v>
      </c>
    </row>
    <row r="1514" spans="1:9" s="3" customFormat="1" ht="38.25" hidden="1" customHeight="1">
      <c r="A1514" s="16" t="s">
        <v>553</v>
      </c>
      <c r="B1514" s="49">
        <v>795</v>
      </c>
      <c r="C1514" s="15" t="s">
        <v>168</v>
      </c>
      <c r="D1514" s="15" t="s">
        <v>180</v>
      </c>
      <c r="E1514" s="15" t="s">
        <v>582</v>
      </c>
      <c r="F1514" s="15"/>
      <c r="G1514" s="74">
        <f>G1515+G1517</f>
        <v>0</v>
      </c>
      <c r="H1514" s="74">
        <f t="shared" ref="H1514:I1520" si="388">H1515</f>
        <v>0</v>
      </c>
      <c r="I1514" s="74">
        <f t="shared" si="388"/>
        <v>0</v>
      </c>
    </row>
    <row r="1515" spans="1:9" s="3" customFormat="1" ht="38.25" hidden="1" customHeight="1">
      <c r="A1515" s="16" t="s">
        <v>36</v>
      </c>
      <c r="B1515" s="49">
        <v>795</v>
      </c>
      <c r="C1515" s="15" t="s">
        <v>168</v>
      </c>
      <c r="D1515" s="15" t="s">
        <v>180</v>
      </c>
      <c r="E1515" s="15" t="s">
        <v>582</v>
      </c>
      <c r="F1515" s="15" t="s">
        <v>37</v>
      </c>
      <c r="G1515" s="74">
        <f>G1516</f>
        <v>0</v>
      </c>
      <c r="H1515" s="74">
        <f t="shared" si="388"/>
        <v>0</v>
      </c>
      <c r="I1515" s="74">
        <f t="shared" si="388"/>
        <v>0</v>
      </c>
    </row>
    <row r="1516" spans="1:9" s="3" customFormat="1" ht="38.25" hidden="1" customHeight="1">
      <c r="A1516" s="16" t="s">
        <v>38</v>
      </c>
      <c r="B1516" s="49">
        <v>795</v>
      </c>
      <c r="C1516" s="15" t="s">
        <v>168</v>
      </c>
      <c r="D1516" s="15" t="s">
        <v>180</v>
      </c>
      <c r="E1516" s="15" t="s">
        <v>582</v>
      </c>
      <c r="F1516" s="15" t="s">
        <v>39</v>
      </c>
      <c r="G1516" s="74"/>
      <c r="H1516" s="74">
        <v>0</v>
      </c>
      <c r="I1516" s="74">
        <v>0</v>
      </c>
    </row>
    <row r="1517" spans="1:9" s="3" customFormat="1" ht="24.75" hidden="1" customHeight="1">
      <c r="A1517" s="16" t="s">
        <v>163</v>
      </c>
      <c r="B1517" s="49">
        <v>795</v>
      </c>
      <c r="C1517" s="15" t="s">
        <v>168</v>
      </c>
      <c r="D1517" s="15" t="s">
        <v>180</v>
      </c>
      <c r="E1517" s="15" t="s">
        <v>582</v>
      </c>
      <c r="F1517" s="15" t="s">
        <v>164</v>
      </c>
      <c r="G1517" s="74">
        <f>G1518</f>
        <v>0</v>
      </c>
      <c r="H1517" s="74">
        <v>0</v>
      </c>
      <c r="I1517" s="74">
        <v>0</v>
      </c>
    </row>
    <row r="1518" spans="1:9" s="3" customFormat="1" ht="32.25" hidden="1" customHeight="1">
      <c r="A1518" s="16" t="s">
        <v>177</v>
      </c>
      <c r="B1518" s="49">
        <v>795</v>
      </c>
      <c r="C1518" s="15" t="s">
        <v>168</v>
      </c>
      <c r="D1518" s="15" t="s">
        <v>180</v>
      </c>
      <c r="E1518" s="15" t="s">
        <v>582</v>
      </c>
      <c r="F1518" s="15" t="s">
        <v>178</v>
      </c>
      <c r="G1518" s="74"/>
      <c r="H1518" s="74">
        <v>0</v>
      </c>
      <c r="I1518" s="74">
        <v>0</v>
      </c>
    </row>
    <row r="1519" spans="1:9" s="3" customFormat="1" ht="38.25" hidden="1" customHeight="1">
      <c r="A1519" s="16" t="s">
        <v>584</v>
      </c>
      <c r="B1519" s="49">
        <v>795</v>
      </c>
      <c r="C1519" s="15" t="s">
        <v>168</v>
      </c>
      <c r="D1519" s="15" t="s">
        <v>180</v>
      </c>
      <c r="E1519" s="15" t="s">
        <v>583</v>
      </c>
      <c r="F1519" s="15"/>
      <c r="G1519" s="74">
        <f>G1520</f>
        <v>0</v>
      </c>
      <c r="H1519" s="74">
        <f t="shared" si="388"/>
        <v>0</v>
      </c>
      <c r="I1519" s="74">
        <f t="shared" si="388"/>
        <v>0</v>
      </c>
    </row>
    <row r="1520" spans="1:9" s="3" customFormat="1" ht="38.25" hidden="1" customHeight="1">
      <c r="A1520" s="16" t="s">
        <v>36</v>
      </c>
      <c r="B1520" s="49">
        <v>795</v>
      </c>
      <c r="C1520" s="15" t="s">
        <v>168</v>
      </c>
      <c r="D1520" s="15" t="s">
        <v>180</v>
      </c>
      <c r="E1520" s="15" t="s">
        <v>583</v>
      </c>
      <c r="F1520" s="15" t="s">
        <v>37</v>
      </c>
      <c r="G1520" s="74">
        <f>G1521</f>
        <v>0</v>
      </c>
      <c r="H1520" s="74">
        <f t="shared" si="388"/>
        <v>0</v>
      </c>
      <c r="I1520" s="74">
        <f t="shared" si="388"/>
        <v>0</v>
      </c>
    </row>
    <row r="1521" spans="1:9" s="3" customFormat="1" ht="38.25" hidden="1" customHeight="1">
      <c r="A1521" s="16" t="s">
        <v>38</v>
      </c>
      <c r="B1521" s="49">
        <v>795</v>
      </c>
      <c r="C1521" s="15" t="s">
        <v>168</v>
      </c>
      <c r="D1521" s="15" t="s">
        <v>180</v>
      </c>
      <c r="E1521" s="15" t="s">
        <v>583</v>
      </c>
      <c r="F1521" s="15" t="s">
        <v>39</v>
      </c>
      <c r="G1521" s="74"/>
      <c r="H1521" s="74">
        <v>0</v>
      </c>
      <c r="I1521" s="74">
        <v>0</v>
      </c>
    </row>
    <row r="1522" spans="1:9" s="3" customFormat="1" ht="38.25" hidden="1" customHeight="1">
      <c r="A1522" s="16" t="s">
        <v>477</v>
      </c>
      <c r="B1522" s="49">
        <v>795</v>
      </c>
      <c r="C1522" s="15" t="s">
        <v>168</v>
      </c>
      <c r="D1522" s="15" t="s">
        <v>180</v>
      </c>
      <c r="E1522" s="15" t="s">
        <v>478</v>
      </c>
      <c r="F1522" s="15"/>
      <c r="G1522" s="74">
        <f>G1523</f>
        <v>0</v>
      </c>
      <c r="H1522" s="74">
        <f>H1523</f>
        <v>0</v>
      </c>
      <c r="I1522" s="74">
        <f>I1523</f>
        <v>0</v>
      </c>
    </row>
    <row r="1523" spans="1:9" s="3" customFormat="1" ht="31.5" hidden="1" customHeight="1">
      <c r="A1523" s="16" t="s">
        <v>36</v>
      </c>
      <c r="B1523" s="49">
        <v>795</v>
      </c>
      <c r="C1523" s="15" t="s">
        <v>168</v>
      </c>
      <c r="D1523" s="15" t="s">
        <v>180</v>
      </c>
      <c r="E1523" s="15" t="s">
        <v>478</v>
      </c>
      <c r="F1523" s="15" t="s">
        <v>37</v>
      </c>
      <c r="G1523" s="74">
        <f>G1524</f>
        <v>0</v>
      </c>
      <c r="H1523" s="74">
        <v>0</v>
      </c>
      <c r="I1523" s="74">
        <v>0</v>
      </c>
    </row>
    <row r="1524" spans="1:9" s="3" customFormat="1" ht="33.75" hidden="1" customHeight="1">
      <c r="A1524" s="16" t="s">
        <v>38</v>
      </c>
      <c r="B1524" s="49">
        <v>795</v>
      </c>
      <c r="C1524" s="15" t="s">
        <v>168</v>
      </c>
      <c r="D1524" s="15" t="s">
        <v>180</v>
      </c>
      <c r="E1524" s="15" t="s">
        <v>478</v>
      </c>
      <c r="F1524" s="15" t="s">
        <v>39</v>
      </c>
      <c r="G1524" s="74"/>
      <c r="H1524" s="74">
        <v>0</v>
      </c>
      <c r="I1524" s="74">
        <v>0</v>
      </c>
    </row>
    <row r="1525" spans="1:9" s="3" customFormat="1" ht="38.25" hidden="1" customHeight="1">
      <c r="A1525" s="16" t="s">
        <v>581</v>
      </c>
      <c r="B1525" s="49">
        <v>795</v>
      </c>
      <c r="C1525" s="15" t="s">
        <v>168</v>
      </c>
      <c r="D1525" s="15" t="s">
        <v>180</v>
      </c>
      <c r="E1525" s="15" t="s">
        <v>580</v>
      </c>
      <c r="F1525" s="15"/>
      <c r="G1525" s="74">
        <f>G1526</f>
        <v>0</v>
      </c>
      <c r="H1525" s="74">
        <f t="shared" ref="H1525:I1529" si="389">H1526</f>
        <v>0</v>
      </c>
      <c r="I1525" s="74">
        <f t="shared" si="389"/>
        <v>0</v>
      </c>
    </row>
    <row r="1526" spans="1:9" s="3" customFormat="1" ht="38.25" hidden="1" customHeight="1">
      <c r="A1526" s="16" t="s">
        <v>36</v>
      </c>
      <c r="B1526" s="49">
        <v>795</v>
      </c>
      <c r="C1526" s="15" t="s">
        <v>168</v>
      </c>
      <c r="D1526" s="15" t="s">
        <v>180</v>
      </c>
      <c r="E1526" s="15" t="s">
        <v>580</v>
      </c>
      <c r="F1526" s="15" t="s">
        <v>37</v>
      </c>
      <c r="G1526" s="74">
        <f>G1527</f>
        <v>0</v>
      </c>
      <c r="H1526" s="74">
        <f t="shared" si="389"/>
        <v>0</v>
      </c>
      <c r="I1526" s="74">
        <f t="shared" si="389"/>
        <v>0</v>
      </c>
    </row>
    <row r="1527" spans="1:9" s="3" customFormat="1" ht="38.25" hidden="1" customHeight="1">
      <c r="A1527" s="16" t="s">
        <v>38</v>
      </c>
      <c r="B1527" s="49">
        <v>795</v>
      </c>
      <c r="C1527" s="15" t="s">
        <v>168</v>
      </c>
      <c r="D1527" s="15" t="s">
        <v>180</v>
      </c>
      <c r="E1527" s="15" t="s">
        <v>580</v>
      </c>
      <c r="F1527" s="15" t="s">
        <v>39</v>
      </c>
      <c r="G1527" s="74"/>
      <c r="H1527" s="74">
        <v>0</v>
      </c>
      <c r="I1527" s="74">
        <v>0</v>
      </c>
    </row>
    <row r="1528" spans="1:9" s="3" customFormat="1" ht="38.25" hidden="1" customHeight="1">
      <c r="A1528" s="16" t="s">
        <v>579</v>
      </c>
      <c r="B1528" s="49">
        <v>795</v>
      </c>
      <c r="C1528" s="15" t="s">
        <v>168</v>
      </c>
      <c r="D1528" s="15" t="s">
        <v>180</v>
      </c>
      <c r="E1528" s="15" t="s">
        <v>578</v>
      </c>
      <c r="F1528" s="15"/>
      <c r="G1528" s="74">
        <f>G1529</f>
        <v>0</v>
      </c>
      <c r="H1528" s="74">
        <f t="shared" si="389"/>
        <v>0</v>
      </c>
      <c r="I1528" s="74">
        <f t="shared" si="389"/>
        <v>0</v>
      </c>
    </row>
    <row r="1529" spans="1:9" s="3" customFormat="1" ht="38.25" hidden="1" customHeight="1">
      <c r="A1529" s="16" t="s">
        <v>36</v>
      </c>
      <c r="B1529" s="49">
        <v>795</v>
      </c>
      <c r="C1529" s="15" t="s">
        <v>168</v>
      </c>
      <c r="D1529" s="15" t="s">
        <v>180</v>
      </c>
      <c r="E1529" s="15" t="s">
        <v>578</v>
      </c>
      <c r="F1529" s="15" t="s">
        <v>37</v>
      </c>
      <c r="G1529" s="74">
        <f>G1530</f>
        <v>0</v>
      </c>
      <c r="H1529" s="74">
        <f t="shared" si="389"/>
        <v>0</v>
      </c>
      <c r="I1529" s="74">
        <f t="shared" si="389"/>
        <v>0</v>
      </c>
    </row>
    <row r="1530" spans="1:9" s="3" customFormat="1" ht="38.25" hidden="1" customHeight="1">
      <c r="A1530" s="86" t="s">
        <v>38</v>
      </c>
      <c r="B1530" s="49">
        <v>795</v>
      </c>
      <c r="C1530" s="15" t="s">
        <v>168</v>
      </c>
      <c r="D1530" s="15" t="s">
        <v>180</v>
      </c>
      <c r="E1530" s="15" t="s">
        <v>578</v>
      </c>
      <c r="F1530" s="15" t="s">
        <v>39</v>
      </c>
      <c r="G1530" s="74"/>
      <c r="H1530" s="74">
        <v>0</v>
      </c>
      <c r="I1530" s="74">
        <v>0</v>
      </c>
    </row>
    <row r="1531" spans="1:9" s="3" customFormat="1" ht="38.25" hidden="1" customHeight="1">
      <c r="A1531" s="86" t="s">
        <v>577</v>
      </c>
      <c r="B1531" s="49">
        <v>795</v>
      </c>
      <c r="C1531" s="15" t="s">
        <v>168</v>
      </c>
      <c r="D1531" s="15" t="s">
        <v>180</v>
      </c>
      <c r="E1531" s="15" t="s">
        <v>576</v>
      </c>
      <c r="F1531" s="15"/>
      <c r="G1531" s="74">
        <f>G1532</f>
        <v>0</v>
      </c>
      <c r="H1531" s="74">
        <f t="shared" ref="H1531:I1531" si="390">H1532</f>
        <v>0</v>
      </c>
      <c r="I1531" s="74">
        <f t="shared" si="390"/>
        <v>0</v>
      </c>
    </row>
    <row r="1532" spans="1:9" s="3" customFormat="1" ht="38.25" hidden="1" customHeight="1">
      <c r="A1532" s="16" t="s">
        <v>163</v>
      </c>
      <c r="B1532" s="49">
        <v>795</v>
      </c>
      <c r="C1532" s="15" t="s">
        <v>168</v>
      </c>
      <c r="D1532" s="15" t="s">
        <v>180</v>
      </c>
      <c r="E1532" s="15" t="s">
        <v>576</v>
      </c>
      <c r="F1532" s="15" t="s">
        <v>164</v>
      </c>
      <c r="G1532" s="74">
        <f>G1533</f>
        <v>0</v>
      </c>
      <c r="H1532" s="74">
        <f t="shared" ref="H1532:I1535" si="391">H1533</f>
        <v>0</v>
      </c>
      <c r="I1532" s="74">
        <f t="shared" si="391"/>
        <v>0</v>
      </c>
    </row>
    <row r="1533" spans="1:9" s="3" customFormat="1" ht="38.25" hidden="1" customHeight="1">
      <c r="A1533" s="16" t="s">
        <v>177</v>
      </c>
      <c r="B1533" s="49">
        <v>795</v>
      </c>
      <c r="C1533" s="15" t="s">
        <v>168</v>
      </c>
      <c r="D1533" s="15" t="s">
        <v>180</v>
      </c>
      <c r="E1533" s="15" t="s">
        <v>576</v>
      </c>
      <c r="F1533" s="15" t="s">
        <v>178</v>
      </c>
      <c r="G1533" s="74"/>
      <c r="H1533" s="74">
        <v>0</v>
      </c>
      <c r="I1533" s="74">
        <v>0</v>
      </c>
    </row>
    <row r="1534" spans="1:9" s="3" customFormat="1" ht="38.25" hidden="1" customHeight="1">
      <c r="A1534" s="16" t="s">
        <v>575</v>
      </c>
      <c r="B1534" s="49">
        <v>795</v>
      </c>
      <c r="C1534" s="15" t="s">
        <v>168</v>
      </c>
      <c r="D1534" s="15" t="s">
        <v>180</v>
      </c>
      <c r="E1534" s="15" t="s">
        <v>574</v>
      </c>
      <c r="F1534" s="15"/>
      <c r="G1534" s="74">
        <f>G1535</f>
        <v>0</v>
      </c>
      <c r="H1534" s="74">
        <f t="shared" ref="H1534:I1534" si="392">H1535</f>
        <v>0</v>
      </c>
      <c r="I1534" s="74">
        <f t="shared" si="392"/>
        <v>0</v>
      </c>
    </row>
    <row r="1535" spans="1:9" s="3" customFormat="1" ht="38.25" hidden="1" customHeight="1">
      <c r="A1535" s="16" t="s">
        <v>163</v>
      </c>
      <c r="B1535" s="49">
        <v>795</v>
      </c>
      <c r="C1535" s="15" t="s">
        <v>168</v>
      </c>
      <c r="D1535" s="15" t="s">
        <v>180</v>
      </c>
      <c r="E1535" s="15" t="s">
        <v>574</v>
      </c>
      <c r="F1535" s="15" t="s">
        <v>164</v>
      </c>
      <c r="G1535" s="74">
        <f>G1536</f>
        <v>0</v>
      </c>
      <c r="H1535" s="74">
        <f t="shared" si="391"/>
        <v>0</v>
      </c>
      <c r="I1535" s="74">
        <f t="shared" si="391"/>
        <v>0</v>
      </c>
    </row>
    <row r="1536" spans="1:9" s="3" customFormat="1" ht="38.25" hidden="1" customHeight="1">
      <c r="A1536" s="16" t="s">
        <v>177</v>
      </c>
      <c r="B1536" s="49">
        <v>795</v>
      </c>
      <c r="C1536" s="15" t="s">
        <v>168</v>
      </c>
      <c r="D1536" s="15" t="s">
        <v>180</v>
      </c>
      <c r="E1536" s="15" t="s">
        <v>574</v>
      </c>
      <c r="F1536" s="15" t="s">
        <v>178</v>
      </c>
      <c r="G1536" s="74"/>
      <c r="H1536" s="74">
        <v>0</v>
      </c>
      <c r="I1536" s="74">
        <v>0</v>
      </c>
    </row>
    <row r="1537" spans="1:16" s="3" customFormat="1" ht="38.25" customHeight="1">
      <c r="A1537" s="16" t="s">
        <v>732</v>
      </c>
      <c r="B1537" s="49">
        <v>795</v>
      </c>
      <c r="C1537" s="15" t="s">
        <v>168</v>
      </c>
      <c r="D1537" s="15" t="s">
        <v>180</v>
      </c>
      <c r="E1537" s="15" t="s">
        <v>731</v>
      </c>
      <c r="F1537" s="15"/>
      <c r="G1537" s="74">
        <f>G1538</f>
        <v>453000</v>
      </c>
      <c r="H1537" s="74">
        <f t="shared" ref="H1537:I1541" si="393">H1538</f>
        <v>0</v>
      </c>
      <c r="I1537" s="74">
        <f t="shared" si="393"/>
        <v>0</v>
      </c>
    </row>
    <row r="1538" spans="1:16" s="3" customFormat="1" ht="38.25" customHeight="1">
      <c r="A1538" s="16" t="s">
        <v>36</v>
      </c>
      <c r="B1538" s="49">
        <v>795</v>
      </c>
      <c r="C1538" s="15" t="s">
        <v>168</v>
      </c>
      <c r="D1538" s="15" t="s">
        <v>180</v>
      </c>
      <c r="E1538" s="15" t="s">
        <v>731</v>
      </c>
      <c r="F1538" s="15" t="s">
        <v>37</v>
      </c>
      <c r="G1538" s="74">
        <f>G1539</f>
        <v>453000</v>
      </c>
      <c r="H1538" s="74">
        <f t="shared" si="393"/>
        <v>0</v>
      </c>
      <c r="I1538" s="74">
        <f t="shared" si="393"/>
        <v>0</v>
      </c>
    </row>
    <row r="1539" spans="1:16" s="3" customFormat="1" ht="38.25" customHeight="1">
      <c r="A1539" s="16" t="s">
        <v>38</v>
      </c>
      <c r="B1539" s="49">
        <v>795</v>
      </c>
      <c r="C1539" s="15" t="s">
        <v>168</v>
      </c>
      <c r="D1539" s="15" t="s">
        <v>180</v>
      </c>
      <c r="E1539" s="15" t="s">
        <v>731</v>
      </c>
      <c r="F1539" s="15" t="s">
        <v>39</v>
      </c>
      <c r="G1539" s="74">
        <v>453000</v>
      </c>
      <c r="H1539" s="74">
        <v>0</v>
      </c>
      <c r="I1539" s="74">
        <f>H1539</f>
        <v>0</v>
      </c>
    </row>
    <row r="1540" spans="1:16" s="3" customFormat="1" ht="63" customHeight="1">
      <c r="A1540" s="16" t="s">
        <v>819</v>
      </c>
      <c r="B1540" s="49">
        <v>795</v>
      </c>
      <c r="C1540" s="15" t="s">
        <v>168</v>
      </c>
      <c r="D1540" s="15" t="s">
        <v>180</v>
      </c>
      <c r="E1540" s="15" t="s">
        <v>818</v>
      </c>
      <c r="F1540" s="15"/>
      <c r="G1540" s="74">
        <f>G1541</f>
        <v>387200</v>
      </c>
      <c r="H1540" s="74">
        <f t="shared" si="393"/>
        <v>0</v>
      </c>
      <c r="I1540" s="74">
        <f t="shared" si="393"/>
        <v>0</v>
      </c>
    </row>
    <row r="1541" spans="1:16" s="3" customFormat="1" ht="38.25" customHeight="1">
      <c r="A1541" s="16" t="s">
        <v>36</v>
      </c>
      <c r="B1541" s="49">
        <v>795</v>
      </c>
      <c r="C1541" s="15" t="s">
        <v>168</v>
      </c>
      <c r="D1541" s="15" t="s">
        <v>180</v>
      </c>
      <c r="E1541" s="15" t="s">
        <v>818</v>
      </c>
      <c r="F1541" s="15" t="s">
        <v>37</v>
      </c>
      <c r="G1541" s="74">
        <f>G1542</f>
        <v>387200</v>
      </c>
      <c r="H1541" s="74">
        <f t="shared" si="393"/>
        <v>0</v>
      </c>
      <c r="I1541" s="74">
        <f t="shared" si="393"/>
        <v>0</v>
      </c>
    </row>
    <row r="1542" spans="1:16" s="3" customFormat="1" ht="38.25" customHeight="1">
      <c r="A1542" s="16" t="s">
        <v>38</v>
      </c>
      <c r="B1542" s="49">
        <v>795</v>
      </c>
      <c r="C1542" s="15" t="s">
        <v>168</v>
      </c>
      <c r="D1542" s="15" t="s">
        <v>180</v>
      </c>
      <c r="E1542" s="15" t="s">
        <v>818</v>
      </c>
      <c r="F1542" s="15" t="s">
        <v>39</v>
      </c>
      <c r="G1542" s="74">
        <v>387200</v>
      </c>
      <c r="H1542" s="74">
        <v>0</v>
      </c>
      <c r="I1542" s="74">
        <f>H1542</f>
        <v>0</v>
      </c>
    </row>
    <row r="1543" spans="1:16" s="184" customFormat="1" ht="20.25" customHeight="1">
      <c r="A1543" s="173" t="s">
        <v>75</v>
      </c>
      <c r="B1543" s="170"/>
      <c r="C1543" s="174"/>
      <c r="D1543" s="174"/>
      <c r="E1543" s="174"/>
      <c r="F1543" s="174"/>
      <c r="G1543" s="175">
        <f>G1227+G1322+G1493+G1221</f>
        <v>92538495.110000014</v>
      </c>
      <c r="H1543" s="175">
        <f t="shared" ref="H1543:I1543" si="394">H1227+H1322+H1493+H1221</f>
        <v>245113696</v>
      </c>
      <c r="I1543" s="175">
        <f t="shared" si="394"/>
        <v>485568979.54000002</v>
      </c>
    </row>
    <row r="1544" spans="1:16" s="105" customFormat="1" ht="25.5">
      <c r="A1544" s="98" t="s">
        <v>891</v>
      </c>
      <c r="B1544" s="91">
        <v>799</v>
      </c>
      <c r="C1544" s="97"/>
      <c r="D1544" s="97"/>
      <c r="E1544" s="97"/>
      <c r="F1544" s="97"/>
      <c r="G1544" s="96"/>
      <c r="H1544" s="96"/>
      <c r="I1544" s="96"/>
      <c r="J1544" s="188">
        <v>453900</v>
      </c>
      <c r="K1544" s="105">
        <v>1361500</v>
      </c>
      <c r="P1544" s="105">
        <v>500000</v>
      </c>
    </row>
    <row r="1545" spans="1:16" s="33" customFormat="1" ht="39" customHeight="1">
      <c r="A1545" s="30" t="s">
        <v>377</v>
      </c>
      <c r="B1545" s="14">
        <v>799</v>
      </c>
      <c r="C1545" s="15" t="s">
        <v>19</v>
      </c>
      <c r="D1545" s="15" t="s">
        <v>168</v>
      </c>
      <c r="E1545" s="15"/>
      <c r="F1545" s="15"/>
      <c r="G1545" s="74">
        <f>G1547</f>
        <v>544505.63</v>
      </c>
      <c r="H1545" s="74">
        <f t="shared" ref="H1545:I1545" si="395">H1547</f>
        <v>2005321</v>
      </c>
      <c r="I1545" s="74">
        <f t="shared" si="395"/>
        <v>2025988</v>
      </c>
      <c r="P1545" s="33">
        <v>1982009.99</v>
      </c>
    </row>
    <row r="1546" spans="1:16" s="3" customFormat="1" ht="38.25" hidden="1">
      <c r="A1546" s="16" t="s">
        <v>167</v>
      </c>
      <c r="B1546" s="14"/>
      <c r="C1546" s="15" t="s">
        <v>19</v>
      </c>
      <c r="D1546" s="15" t="s">
        <v>168</v>
      </c>
      <c r="E1546" s="15"/>
      <c r="F1546" s="15"/>
      <c r="G1546" s="74"/>
      <c r="H1546" s="74"/>
      <c r="I1546" s="74"/>
    </row>
    <row r="1547" spans="1:16" s="46" customFormat="1" ht="25.5">
      <c r="A1547" s="16" t="s">
        <v>892</v>
      </c>
      <c r="B1547" s="14">
        <v>799</v>
      </c>
      <c r="C1547" s="15" t="s">
        <v>19</v>
      </c>
      <c r="D1547" s="15" t="s">
        <v>168</v>
      </c>
      <c r="E1547" s="15" t="s">
        <v>893</v>
      </c>
      <c r="F1547" s="15"/>
      <c r="G1547" s="74">
        <f>G1549+G1557</f>
        <v>544505.63</v>
      </c>
      <c r="H1547" s="74">
        <f t="shared" ref="H1547:I1547" si="396">H1549</f>
        <v>2005321</v>
      </c>
      <c r="I1547" s="74">
        <f t="shared" si="396"/>
        <v>2025988</v>
      </c>
      <c r="P1547" s="46">
        <v>105000</v>
      </c>
    </row>
    <row r="1548" spans="1:16" s="46" customFormat="1" hidden="1">
      <c r="A1548" s="56"/>
      <c r="B1548" s="14"/>
      <c r="C1548" s="15"/>
      <c r="D1548" s="15"/>
      <c r="E1548" s="15"/>
      <c r="F1548" s="15"/>
      <c r="G1548" s="74"/>
      <c r="H1548" s="74"/>
      <c r="I1548" s="74"/>
      <c r="O1548" s="1"/>
    </row>
    <row r="1549" spans="1:16" s="46" customFormat="1" ht="25.5">
      <c r="A1549" s="16" t="s">
        <v>78</v>
      </c>
      <c r="B1549" s="14">
        <v>799</v>
      </c>
      <c r="C1549" s="15" t="s">
        <v>19</v>
      </c>
      <c r="D1549" s="15" t="s">
        <v>168</v>
      </c>
      <c r="E1549" s="15" t="s">
        <v>894</v>
      </c>
      <c r="F1549" s="15"/>
      <c r="G1549" s="74">
        <f>G1550+G1552</f>
        <v>477876.63</v>
      </c>
      <c r="H1549" s="74">
        <f t="shared" ref="H1549:I1549" si="397">H1550+H1552</f>
        <v>2005321</v>
      </c>
      <c r="I1549" s="74">
        <f t="shared" si="397"/>
        <v>2025988</v>
      </c>
      <c r="P1549" s="46">
        <v>50000</v>
      </c>
    </row>
    <row r="1550" spans="1:16" s="3" customFormat="1" ht="63.75">
      <c r="A1550" s="56" t="s">
        <v>56</v>
      </c>
      <c r="B1550" s="14">
        <v>799</v>
      </c>
      <c r="C1550" s="15" t="s">
        <v>19</v>
      </c>
      <c r="D1550" s="15" t="s">
        <v>168</v>
      </c>
      <c r="E1550" s="15" t="s">
        <v>894</v>
      </c>
      <c r="F1550" s="15" t="s">
        <v>59</v>
      </c>
      <c r="G1550" s="74">
        <f>G1551</f>
        <v>405837.63</v>
      </c>
      <c r="H1550" s="74">
        <f>H1551</f>
        <v>1947821</v>
      </c>
      <c r="I1550" s="74">
        <f>I1551</f>
        <v>1968488</v>
      </c>
      <c r="P1550" s="46">
        <v>42300</v>
      </c>
    </row>
    <row r="1551" spans="1:16" s="3" customFormat="1" ht="25.5">
      <c r="A1551" s="56" t="s">
        <v>57</v>
      </c>
      <c r="B1551" s="14">
        <v>799</v>
      </c>
      <c r="C1551" s="15" t="s">
        <v>19</v>
      </c>
      <c r="D1551" s="15" t="s">
        <v>168</v>
      </c>
      <c r="E1551" s="15" t="s">
        <v>894</v>
      </c>
      <c r="F1551" s="15" t="s">
        <v>60</v>
      </c>
      <c r="G1551" s="74">
        <v>405837.63</v>
      </c>
      <c r="H1551" s="74">
        <v>1947821</v>
      </c>
      <c r="I1551" s="74">
        <v>1968488</v>
      </c>
      <c r="P1551" s="46">
        <v>2045000</v>
      </c>
    </row>
    <row r="1552" spans="1:16" s="3" customFormat="1" ht="25.5">
      <c r="A1552" s="16" t="s">
        <v>36</v>
      </c>
      <c r="B1552" s="14">
        <v>799</v>
      </c>
      <c r="C1552" s="15" t="s">
        <v>19</v>
      </c>
      <c r="D1552" s="15" t="s">
        <v>168</v>
      </c>
      <c r="E1552" s="15" t="s">
        <v>894</v>
      </c>
      <c r="F1552" s="15" t="s">
        <v>37</v>
      </c>
      <c r="G1552" s="74">
        <f>G1553</f>
        <v>72039</v>
      </c>
      <c r="H1552" s="74">
        <f>H1553</f>
        <v>57500</v>
      </c>
      <c r="I1552" s="74">
        <f>I1553</f>
        <v>57500</v>
      </c>
      <c r="P1552" s="46">
        <v>16112923</v>
      </c>
    </row>
    <row r="1553" spans="1:16" s="3" customFormat="1" ht="25.5">
      <c r="A1553" s="16" t="s">
        <v>38</v>
      </c>
      <c r="B1553" s="14">
        <v>799</v>
      </c>
      <c r="C1553" s="15" t="s">
        <v>19</v>
      </c>
      <c r="D1553" s="15" t="s">
        <v>168</v>
      </c>
      <c r="E1553" s="15" t="s">
        <v>894</v>
      </c>
      <c r="F1553" s="15" t="s">
        <v>39</v>
      </c>
      <c r="G1553" s="74">
        <v>72039</v>
      </c>
      <c r="H1553" s="74">
        <v>57500</v>
      </c>
      <c r="I1553" s="74">
        <v>57500</v>
      </c>
      <c r="P1553" s="46">
        <v>67500</v>
      </c>
    </row>
    <row r="1554" spans="1:16" s="3" customFormat="1" ht="66" hidden="1" customHeight="1">
      <c r="A1554" s="30" t="s">
        <v>146</v>
      </c>
      <c r="B1554" s="14">
        <v>794</v>
      </c>
      <c r="C1554" s="15" t="s">
        <v>19</v>
      </c>
      <c r="D1554" s="15" t="s">
        <v>168</v>
      </c>
      <c r="E1554" s="15" t="s">
        <v>284</v>
      </c>
      <c r="F1554" s="15"/>
      <c r="G1554" s="74">
        <f t="shared" ref="G1554:I1555" si="398">G1555</f>
        <v>0</v>
      </c>
      <c r="H1554" s="74">
        <f t="shared" si="398"/>
        <v>0</v>
      </c>
      <c r="I1554" s="74">
        <f t="shared" si="398"/>
        <v>0</v>
      </c>
    </row>
    <row r="1555" spans="1:16" s="3" customFormat="1" ht="25.5" hidden="1">
      <c r="A1555" s="16" t="s">
        <v>36</v>
      </c>
      <c r="B1555" s="14">
        <v>794</v>
      </c>
      <c r="C1555" s="15" t="s">
        <v>19</v>
      </c>
      <c r="D1555" s="15" t="s">
        <v>168</v>
      </c>
      <c r="E1555" s="15" t="s">
        <v>284</v>
      </c>
      <c r="F1555" s="15" t="s">
        <v>37</v>
      </c>
      <c r="G1555" s="74">
        <f t="shared" si="398"/>
        <v>0</v>
      </c>
      <c r="H1555" s="74">
        <f t="shared" si="398"/>
        <v>0</v>
      </c>
      <c r="I1555" s="74">
        <f t="shared" si="398"/>
        <v>0</v>
      </c>
    </row>
    <row r="1556" spans="1:16" s="3" customFormat="1" ht="25.5" hidden="1">
      <c r="A1556" s="16" t="s">
        <v>38</v>
      </c>
      <c r="B1556" s="14">
        <v>794</v>
      </c>
      <c r="C1556" s="15" t="s">
        <v>19</v>
      </c>
      <c r="D1556" s="15" t="s">
        <v>168</v>
      </c>
      <c r="E1556" s="15" t="s">
        <v>284</v>
      </c>
      <c r="F1556" s="15" t="s">
        <v>39</v>
      </c>
      <c r="G1556" s="74"/>
      <c r="H1556" s="74"/>
      <c r="I1556" s="74"/>
    </row>
    <row r="1557" spans="1:16" s="3" customFormat="1" ht="66" customHeight="1">
      <c r="A1557" s="30" t="s">
        <v>146</v>
      </c>
      <c r="B1557" s="14">
        <v>799</v>
      </c>
      <c r="C1557" s="15" t="s">
        <v>19</v>
      </c>
      <c r="D1557" s="15" t="s">
        <v>168</v>
      </c>
      <c r="E1557" s="15" t="s">
        <v>895</v>
      </c>
      <c r="F1557" s="15"/>
      <c r="G1557" s="74">
        <f t="shared" ref="G1557:I1558" si="399">G1558</f>
        <v>66629</v>
      </c>
      <c r="H1557" s="74">
        <f t="shared" si="399"/>
        <v>0</v>
      </c>
      <c r="I1557" s="74">
        <f t="shared" si="399"/>
        <v>0</v>
      </c>
    </row>
    <row r="1558" spans="1:16" s="3" customFormat="1" ht="25.5">
      <c r="A1558" s="16" t="s">
        <v>36</v>
      </c>
      <c r="B1558" s="14">
        <v>799</v>
      </c>
      <c r="C1558" s="15" t="s">
        <v>19</v>
      </c>
      <c r="D1558" s="15" t="s">
        <v>168</v>
      </c>
      <c r="E1558" s="15" t="s">
        <v>895</v>
      </c>
      <c r="F1558" s="15" t="s">
        <v>37</v>
      </c>
      <c r="G1558" s="74">
        <f t="shared" si="399"/>
        <v>66629</v>
      </c>
      <c r="H1558" s="74">
        <f t="shared" si="399"/>
        <v>0</v>
      </c>
      <c r="I1558" s="74">
        <f t="shared" si="399"/>
        <v>0</v>
      </c>
    </row>
    <row r="1559" spans="1:16" s="3" customFormat="1" ht="25.5">
      <c r="A1559" s="16" t="s">
        <v>38</v>
      </c>
      <c r="B1559" s="14">
        <v>799</v>
      </c>
      <c r="C1559" s="15" t="s">
        <v>19</v>
      </c>
      <c r="D1559" s="15" t="s">
        <v>168</v>
      </c>
      <c r="E1559" s="15" t="s">
        <v>895</v>
      </c>
      <c r="F1559" s="15" t="s">
        <v>39</v>
      </c>
      <c r="G1559" s="74">
        <v>66629</v>
      </c>
      <c r="H1559" s="74">
        <v>0</v>
      </c>
      <c r="I1559" s="74">
        <v>0</v>
      </c>
    </row>
    <row r="1560" spans="1:16" s="184" customFormat="1">
      <c r="A1560" s="173" t="s">
        <v>75</v>
      </c>
      <c r="B1560" s="170"/>
      <c r="C1560" s="171"/>
      <c r="D1560" s="171"/>
      <c r="E1560" s="171"/>
      <c r="F1560" s="171"/>
      <c r="G1560" s="172">
        <f>G1545</f>
        <v>544505.63</v>
      </c>
      <c r="H1560" s="172">
        <f t="shared" ref="H1560:I1560" si="400">H1545</f>
        <v>2005321</v>
      </c>
      <c r="I1560" s="172">
        <f t="shared" si="400"/>
        <v>2025988</v>
      </c>
      <c r="P1560" s="184">
        <v>70000</v>
      </c>
    </row>
    <row r="1561" spans="1:16" s="22" customFormat="1" ht="21" customHeight="1">
      <c r="A1561" s="189" t="s">
        <v>379</v>
      </c>
      <c r="B1561" s="186"/>
      <c r="C1561" s="186"/>
      <c r="D1561" s="186"/>
      <c r="E1561" s="186"/>
      <c r="F1561" s="186"/>
      <c r="G1561" s="187">
        <f>G297+G351+G756+G824+G1188+G1219+G1543+G1560</f>
        <v>1502913938.5099998</v>
      </c>
      <c r="H1561" s="187">
        <f>H297+H351+H756+H824+H1188+H1219+H1543+H1560</f>
        <v>1569017981.4300003</v>
      </c>
      <c r="I1561" s="187">
        <f>I297+I351+I756+I824+I1188+I1219+I1543+I1560</f>
        <v>1802885684.4884501</v>
      </c>
    </row>
    <row r="1563" spans="1:16" hidden="1">
      <c r="G1563" s="61">
        <v>1693561408.47</v>
      </c>
      <c r="H1563" s="61">
        <v>1709224436.53</v>
      </c>
      <c r="I1563" s="61">
        <v>2194467213.0700002</v>
      </c>
    </row>
    <row r="1564" spans="1:16" hidden="1"/>
    <row r="1565" spans="1:16" hidden="1">
      <c r="G1565" s="61">
        <f>G1561-G1563</f>
        <v>-190647469.96000028</v>
      </c>
      <c r="H1565" s="61">
        <f t="shared" ref="H1565:I1565" si="401">H1561-H1563</f>
        <v>-140206455.09999967</v>
      </c>
      <c r="I1565" s="61">
        <f t="shared" si="401"/>
        <v>-391581528.58155012</v>
      </c>
    </row>
    <row r="1566" spans="1:16" hidden="1"/>
    <row r="1567" spans="1:16" hidden="1">
      <c r="G1567" s="61">
        <f>'прил 4'!F69</f>
        <v>1502913938.51</v>
      </c>
      <c r="H1567" s="61">
        <f>'прил 4'!G69</f>
        <v>1569017981.4300003</v>
      </c>
      <c r="I1567" s="61">
        <f>'прил 4'!H69</f>
        <v>1802885684.4884501</v>
      </c>
    </row>
    <row r="1568" spans="1:16" hidden="1"/>
    <row r="1569" spans="2:9" hidden="1">
      <c r="B1569" s="1"/>
      <c r="C1569" s="1"/>
      <c r="D1569" s="1"/>
      <c r="G1569" s="61">
        <f>'прил 6'!G1143</f>
        <v>1502913938.5099995</v>
      </c>
      <c r="H1569" s="61">
        <f>'прил 6'!H1143</f>
        <v>1569017981.4300001</v>
      </c>
      <c r="I1569" s="61">
        <f>'прил 6'!I1143</f>
        <v>1802885684.4884501</v>
      </c>
    </row>
    <row r="1570" spans="2:9" hidden="1">
      <c r="B1570" s="1"/>
      <c r="C1570" s="1"/>
      <c r="D1570" s="1"/>
    </row>
    <row r="1571" spans="2:9">
      <c r="B1571" s="1"/>
      <c r="C1571" s="1"/>
      <c r="D1571" s="1"/>
    </row>
    <row r="1573" spans="2:9">
      <c r="G1573" s="257">
        <v>1493385924.01</v>
      </c>
      <c r="H1573" s="257">
        <v>1569017981.4300001</v>
      </c>
      <c r="I1573" s="257">
        <v>1811515960.3800001</v>
      </c>
    </row>
    <row r="1575" spans="2:9">
      <c r="G1575" s="61">
        <f>G1561-G1573</f>
        <v>9528014.4999997616</v>
      </c>
      <c r="H1575" s="61">
        <f t="shared" ref="H1575:I1575" si="402">H1561-H1573</f>
        <v>0</v>
      </c>
      <c r="I1575" s="61">
        <f t="shared" si="402"/>
        <v>-8630275.8915500641</v>
      </c>
    </row>
    <row r="1576" spans="2:9">
      <c r="B1576" s="1"/>
      <c r="C1576" s="1"/>
      <c r="D1576" s="1"/>
      <c r="E1576" s="1"/>
      <c r="F1576" s="1"/>
      <c r="G1576" s="256">
        <v>12489351.5</v>
      </c>
      <c r="H1576" s="1"/>
      <c r="I1576" s="1"/>
    </row>
    <row r="1577" spans="2:9">
      <c r="G1577" s="61">
        <f>G1575-G1576</f>
        <v>-2961337.0000002384</v>
      </c>
    </row>
    <row r="1579" spans="2:9">
      <c r="G1579" s="61">
        <v>1515027501.51</v>
      </c>
      <c r="H1579" s="61">
        <v>1569017981.4300001</v>
      </c>
      <c r="I1579" s="61">
        <v>1802885684.49</v>
      </c>
    </row>
    <row r="1580" spans="2:9">
      <c r="G1580" s="61">
        <f>G1561-G1579</f>
        <v>-12113563.000000238</v>
      </c>
      <c r="H1580" s="61">
        <f t="shared" ref="H1580:I1580" si="403">H1561-H1579</f>
        <v>0</v>
      </c>
      <c r="I1580" s="61">
        <f t="shared" si="403"/>
        <v>-1.5499591827392578E-3</v>
      </c>
    </row>
  </sheetData>
  <mergeCells count="26">
    <mergeCell ref="B1:G1"/>
    <mergeCell ref="B2:G2"/>
    <mergeCell ref="B3:G3"/>
    <mergeCell ref="B4:G4"/>
    <mergeCell ref="B9:G9"/>
    <mergeCell ref="B10:G10"/>
    <mergeCell ref="B7:G7"/>
    <mergeCell ref="B8:G8"/>
    <mergeCell ref="B5:G5"/>
    <mergeCell ref="B6:G6"/>
    <mergeCell ref="A18:A20"/>
    <mergeCell ref="D18:D20"/>
    <mergeCell ref="C18:C20"/>
    <mergeCell ref="B18:B20"/>
    <mergeCell ref="F12:K12"/>
    <mergeCell ref="B13:G13"/>
    <mergeCell ref="B14:G14"/>
    <mergeCell ref="B15:G15"/>
    <mergeCell ref="A17:I17"/>
    <mergeCell ref="B16:G16"/>
    <mergeCell ref="H19:H20"/>
    <mergeCell ref="I19:I20"/>
    <mergeCell ref="G18:I18"/>
    <mergeCell ref="F18:F20"/>
    <mergeCell ref="E18:E20"/>
    <mergeCell ref="G19:G20"/>
  </mergeCells>
  <phoneticPr fontId="0" type="noConversion"/>
  <pageMargins left="0.83" right="0.27559055118110237" top="0.22" bottom="0.25" header="0.19685039370078741" footer="0.19685039370078741"/>
  <pageSetup paperSize="9" scale="58" fitToHeight="3" orientation="portrait" r:id="rId1"/>
  <rowBreaks count="3" manualBreakCount="3">
    <brk id="1353" max="8" man="1"/>
    <brk id="1435" max="8" man="1"/>
    <brk id="156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1178"/>
  <sheetViews>
    <sheetView tabSelected="1" zoomScaleSheetLayoutView="100" workbookViewId="0">
      <selection activeCell="A6" sqref="A6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8.5703125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1" bestFit="1" customWidth="1"/>
    <col min="17" max="16384" width="9.140625" style="1"/>
  </cols>
  <sheetData>
    <row r="1" spans="1:9" ht="19.5" customHeight="1">
      <c r="B1" s="270" t="s">
        <v>381</v>
      </c>
      <c r="C1" s="271"/>
      <c r="D1" s="271"/>
      <c r="E1" s="272" t="s">
        <v>744</v>
      </c>
      <c r="F1" s="272"/>
      <c r="G1" s="272"/>
      <c r="H1" s="105"/>
      <c r="I1" s="1"/>
    </row>
    <row r="2" spans="1:9" ht="35.25" customHeight="1">
      <c r="B2" s="260" t="s">
        <v>743</v>
      </c>
      <c r="C2" s="260"/>
      <c r="D2" s="260" t="s">
        <v>914</v>
      </c>
      <c r="E2" s="260"/>
      <c r="F2" s="273"/>
      <c r="G2" s="273"/>
      <c r="H2" s="105"/>
      <c r="I2" s="1"/>
    </row>
    <row r="3" spans="1:9" ht="19.5" customHeight="1">
      <c r="B3" s="270" t="s">
        <v>381</v>
      </c>
      <c r="C3" s="271"/>
      <c r="D3" s="271"/>
      <c r="E3" s="272" t="s">
        <v>792</v>
      </c>
      <c r="F3" s="272"/>
      <c r="G3" s="272"/>
      <c r="H3" s="105"/>
      <c r="I3" s="1"/>
    </row>
    <row r="4" spans="1:9" ht="35.25" customHeight="1">
      <c r="B4" s="260" t="s">
        <v>743</v>
      </c>
      <c r="C4" s="260"/>
      <c r="D4" s="260" t="s">
        <v>902</v>
      </c>
      <c r="E4" s="260"/>
      <c r="F4" s="273"/>
      <c r="G4" s="273"/>
      <c r="H4" s="105"/>
      <c r="I4" s="1"/>
    </row>
    <row r="5" spans="1:9" ht="19.5" customHeight="1">
      <c r="B5" s="270" t="s">
        <v>381</v>
      </c>
      <c r="C5" s="271"/>
      <c r="D5" s="271"/>
      <c r="E5" s="272" t="s">
        <v>791</v>
      </c>
      <c r="F5" s="272"/>
      <c r="G5" s="272"/>
      <c r="H5" s="105"/>
      <c r="I5" s="1"/>
    </row>
    <row r="6" spans="1:9" ht="35.25" customHeight="1">
      <c r="B6" s="260" t="s">
        <v>743</v>
      </c>
      <c r="C6" s="260"/>
      <c r="D6" s="260" t="s">
        <v>890</v>
      </c>
      <c r="E6" s="260"/>
      <c r="F6" s="273"/>
      <c r="G6" s="273"/>
      <c r="H6" s="105"/>
      <c r="I6" s="1"/>
    </row>
    <row r="7" spans="1:9" ht="19.5" customHeight="1">
      <c r="B7" s="270" t="s">
        <v>381</v>
      </c>
      <c r="C7" s="271"/>
      <c r="D7" s="271"/>
      <c r="E7" s="272" t="s">
        <v>792</v>
      </c>
      <c r="F7" s="272"/>
      <c r="G7" s="272"/>
      <c r="H7" s="105"/>
      <c r="I7" s="1"/>
    </row>
    <row r="8" spans="1:9" ht="35.25" customHeight="1">
      <c r="B8" s="260" t="s">
        <v>743</v>
      </c>
      <c r="C8" s="260"/>
      <c r="D8" s="260" t="s">
        <v>872</v>
      </c>
      <c r="E8" s="260"/>
      <c r="F8" s="273"/>
      <c r="G8" s="273"/>
      <c r="H8" s="105"/>
      <c r="I8" s="1"/>
    </row>
    <row r="9" spans="1:9" ht="19.5" customHeight="1">
      <c r="B9" s="270" t="s">
        <v>381</v>
      </c>
      <c r="C9" s="271"/>
      <c r="D9" s="271"/>
      <c r="E9" s="272" t="s">
        <v>744</v>
      </c>
      <c r="F9" s="272"/>
      <c r="G9" s="272"/>
      <c r="H9" s="105"/>
      <c r="I9" s="1"/>
    </row>
    <row r="10" spans="1:9" ht="35.25" customHeight="1">
      <c r="B10" s="260" t="s">
        <v>743</v>
      </c>
      <c r="C10" s="260"/>
      <c r="D10" s="260" t="s">
        <v>873</v>
      </c>
      <c r="E10" s="260"/>
      <c r="F10" s="273"/>
      <c r="G10" s="273"/>
      <c r="H10" s="105"/>
      <c r="I10" s="1"/>
    </row>
    <row r="11" spans="1:9" ht="19.5" customHeight="1">
      <c r="B11" s="270" t="s">
        <v>381</v>
      </c>
      <c r="C11" s="271"/>
      <c r="D11" s="271"/>
      <c r="E11" s="272" t="s">
        <v>792</v>
      </c>
      <c r="F11" s="272"/>
      <c r="G11" s="272"/>
      <c r="H11" s="105"/>
      <c r="I11" s="1"/>
    </row>
    <row r="12" spans="1:9" ht="35.25" customHeight="1">
      <c r="B12" s="260" t="s">
        <v>743</v>
      </c>
      <c r="C12" s="260"/>
      <c r="D12" s="260" t="s">
        <v>809</v>
      </c>
      <c r="E12" s="260"/>
      <c r="F12" s="273"/>
      <c r="G12" s="273"/>
      <c r="H12" s="105"/>
      <c r="I12" s="1"/>
    </row>
    <row r="13" spans="1:9" ht="19.5" customHeight="1">
      <c r="B13" s="270" t="s">
        <v>381</v>
      </c>
      <c r="C13" s="271"/>
      <c r="D13" s="271"/>
      <c r="E13" s="272" t="s">
        <v>744</v>
      </c>
      <c r="F13" s="272"/>
      <c r="G13" s="272"/>
      <c r="H13" s="105"/>
      <c r="I13" s="1"/>
    </row>
    <row r="14" spans="1:9" ht="35.25" customHeight="1">
      <c r="B14" s="260" t="s">
        <v>743</v>
      </c>
      <c r="C14" s="260"/>
      <c r="D14" s="260" t="s">
        <v>747</v>
      </c>
      <c r="E14" s="260"/>
      <c r="F14" s="273"/>
      <c r="G14" s="273"/>
      <c r="H14" s="105"/>
      <c r="I14" s="1"/>
    </row>
    <row r="15" spans="1:9" ht="61.5" customHeight="1">
      <c r="A15" s="276" t="s">
        <v>685</v>
      </c>
      <c r="B15" s="276"/>
      <c r="C15" s="276"/>
      <c r="D15" s="276"/>
      <c r="E15" s="276"/>
      <c r="F15" s="276"/>
      <c r="G15" s="276"/>
      <c r="H15" s="277"/>
      <c r="I15" s="277"/>
    </row>
    <row r="16" spans="1:9" ht="14.25" customHeight="1">
      <c r="A16" s="266" t="s">
        <v>12</v>
      </c>
      <c r="B16" s="117"/>
      <c r="C16" s="117"/>
      <c r="D16" s="117"/>
      <c r="E16" s="268" t="s">
        <v>16</v>
      </c>
      <c r="F16" s="268" t="s">
        <v>17</v>
      </c>
      <c r="G16" s="274" t="s">
        <v>382</v>
      </c>
      <c r="H16" s="275"/>
      <c r="I16" s="275"/>
    </row>
    <row r="17" spans="1:11" s="3" customFormat="1" ht="23.25" customHeight="1">
      <c r="A17" s="275"/>
      <c r="B17" s="268" t="s">
        <v>13</v>
      </c>
      <c r="C17" s="268" t="s">
        <v>14</v>
      </c>
      <c r="D17" s="268" t="s">
        <v>15</v>
      </c>
      <c r="E17" s="267"/>
      <c r="F17" s="267"/>
      <c r="G17" s="278" t="s">
        <v>448</v>
      </c>
      <c r="H17" s="278" t="s">
        <v>449</v>
      </c>
      <c r="I17" s="278" t="s">
        <v>684</v>
      </c>
      <c r="J17" s="152"/>
      <c r="K17" s="105"/>
    </row>
    <row r="18" spans="1:11" s="3" customFormat="1" ht="69.75" customHeight="1">
      <c r="A18" s="275"/>
      <c r="B18" s="279"/>
      <c r="C18" s="279"/>
      <c r="D18" s="279"/>
      <c r="E18" s="267"/>
      <c r="F18" s="267"/>
      <c r="G18" s="264"/>
      <c r="H18" s="264"/>
      <c r="I18" s="264"/>
      <c r="J18" s="152"/>
    </row>
    <row r="19" spans="1:11" s="3" customFormat="1">
      <c r="A19" s="4">
        <v>1</v>
      </c>
      <c r="B19" s="4">
        <v>2</v>
      </c>
      <c r="C19" s="4">
        <v>3</v>
      </c>
      <c r="D19" s="4">
        <v>4</v>
      </c>
      <c r="E19" s="4">
        <v>2</v>
      </c>
      <c r="F19" s="4">
        <v>3</v>
      </c>
      <c r="G19" s="106">
        <v>4</v>
      </c>
      <c r="H19" s="106">
        <v>5</v>
      </c>
      <c r="I19" s="106">
        <v>6</v>
      </c>
      <c r="J19" s="152"/>
    </row>
    <row r="20" spans="1:11" s="78" customFormat="1" ht="42" customHeight="1">
      <c r="A20" s="82" t="s">
        <v>113</v>
      </c>
      <c r="B20" s="77"/>
      <c r="C20" s="77"/>
      <c r="D20" s="77"/>
      <c r="E20" s="77"/>
      <c r="F20" s="77"/>
      <c r="G20" s="107">
        <f>G32+G124+G568+G264+G759+G947+G53+G789+G816+G747+G97+G728+G966+G22+G146+G493+G500+G516+G704+G723+G737+G753+G826+G240+G976</f>
        <v>1428109445.7599995</v>
      </c>
      <c r="H20" s="107">
        <f>H32+H124+H568+H264+H759+H947+H53+H789+H816+H747+H97+H728+H966+H22+H146+H493+H500+H516+H704+H723+H737+H753+H826+H240+H976</f>
        <v>1512015567.47</v>
      </c>
      <c r="I20" s="107">
        <f>I32+I124+I568+I264+I759+I947+I53+I789+I816+I747+I97+I728+I966+I22+I146+I493+I500+I516+I704+I723+I737+I753+I826+I240+I976</f>
        <v>1745508041</v>
      </c>
      <c r="J20" s="153"/>
    </row>
    <row r="21" spans="1:11" s="3" customFormat="1">
      <c r="A21" s="4"/>
      <c r="B21" s="4"/>
      <c r="C21" s="4"/>
      <c r="D21" s="4"/>
      <c r="E21" s="4"/>
      <c r="F21" s="4"/>
      <c r="G21" s="106"/>
      <c r="H21" s="106"/>
      <c r="I21" s="106"/>
      <c r="J21" s="152"/>
    </row>
    <row r="22" spans="1:11" s="141" customFormat="1" ht="42" customHeight="1">
      <c r="A22" s="137" t="s">
        <v>489</v>
      </c>
      <c r="B22" s="138"/>
      <c r="C22" s="138"/>
      <c r="D22" s="138"/>
      <c r="E22" s="99" t="s">
        <v>114</v>
      </c>
      <c r="F22" s="139"/>
      <c r="G22" s="140">
        <f>G23+G29+G26</f>
        <v>11296401.57</v>
      </c>
      <c r="H22" s="140">
        <f>H23+H29</f>
        <v>1296576</v>
      </c>
      <c r="I22" s="140">
        <f>I23+I29</f>
        <v>1226295</v>
      </c>
      <c r="J22" s="154">
        <v>2271304</v>
      </c>
    </row>
    <row r="23" spans="1:11" ht="33" customHeight="1">
      <c r="A23" s="16" t="s">
        <v>192</v>
      </c>
      <c r="B23" s="14">
        <v>757</v>
      </c>
      <c r="C23" s="15" t="s">
        <v>70</v>
      </c>
      <c r="D23" s="15" t="s">
        <v>71</v>
      </c>
      <c r="E23" s="15" t="s">
        <v>424</v>
      </c>
      <c r="F23" s="15"/>
      <c r="G23" s="74">
        <f t="shared" ref="G23:I24" si="0">G24</f>
        <v>11172741.57</v>
      </c>
      <c r="H23" s="74">
        <f t="shared" si="0"/>
        <v>1296576</v>
      </c>
      <c r="I23" s="74">
        <f t="shared" si="0"/>
        <v>1226295</v>
      </c>
    </row>
    <row r="24" spans="1:11" ht="33" customHeight="1">
      <c r="A24" s="16" t="s">
        <v>154</v>
      </c>
      <c r="B24" s="14">
        <v>757</v>
      </c>
      <c r="C24" s="15" t="s">
        <v>70</v>
      </c>
      <c r="D24" s="15" t="s">
        <v>71</v>
      </c>
      <c r="E24" s="15" t="s">
        <v>424</v>
      </c>
      <c r="F24" s="15" t="s">
        <v>155</v>
      </c>
      <c r="G24" s="74">
        <f t="shared" si="0"/>
        <v>11172741.57</v>
      </c>
      <c r="H24" s="74">
        <f t="shared" si="0"/>
        <v>1296576</v>
      </c>
      <c r="I24" s="74">
        <f t="shared" si="0"/>
        <v>1226295</v>
      </c>
    </row>
    <row r="25" spans="1:11" ht="33" customHeight="1">
      <c r="A25" s="16" t="s">
        <v>156</v>
      </c>
      <c r="B25" s="14">
        <v>757</v>
      </c>
      <c r="C25" s="15" t="s">
        <v>70</v>
      </c>
      <c r="D25" s="15" t="s">
        <v>71</v>
      </c>
      <c r="E25" s="15" t="s">
        <v>424</v>
      </c>
      <c r="F25" s="15" t="s">
        <v>157</v>
      </c>
      <c r="G25" s="74">
        <f>'прил 5'!G269</f>
        <v>11172741.57</v>
      </c>
      <c r="H25" s="74">
        <f>'прил 5'!H269</f>
        <v>1296576</v>
      </c>
      <c r="I25" s="74">
        <f>'прил 5'!I269</f>
        <v>1226295</v>
      </c>
    </row>
    <row r="26" spans="1:11" ht="33" hidden="1" customHeight="1">
      <c r="A26" s="16" t="s">
        <v>863</v>
      </c>
      <c r="B26" s="14">
        <v>757</v>
      </c>
      <c r="C26" s="15" t="s">
        <v>70</v>
      </c>
      <c r="D26" s="15" t="s">
        <v>55</v>
      </c>
      <c r="E26" s="15" t="s">
        <v>862</v>
      </c>
      <c r="F26" s="15"/>
      <c r="G26" s="74">
        <f t="shared" ref="G26:I27" si="1">G27</f>
        <v>0</v>
      </c>
      <c r="H26" s="74">
        <f t="shared" si="1"/>
        <v>0</v>
      </c>
      <c r="I26" s="74">
        <f t="shared" si="1"/>
        <v>0</v>
      </c>
      <c r="J26" s="1"/>
    </row>
    <row r="27" spans="1:11" ht="33" hidden="1" customHeight="1">
      <c r="A27" s="16" t="s">
        <v>154</v>
      </c>
      <c r="B27" s="14">
        <v>757</v>
      </c>
      <c r="C27" s="15" t="s">
        <v>70</v>
      </c>
      <c r="D27" s="15" t="s">
        <v>55</v>
      </c>
      <c r="E27" s="15" t="s">
        <v>862</v>
      </c>
      <c r="F27" s="15" t="s">
        <v>155</v>
      </c>
      <c r="G27" s="74">
        <f t="shared" si="1"/>
        <v>0</v>
      </c>
      <c r="H27" s="74">
        <f t="shared" si="1"/>
        <v>0</v>
      </c>
      <c r="I27" s="74">
        <f t="shared" si="1"/>
        <v>0</v>
      </c>
      <c r="J27" s="1"/>
    </row>
    <row r="28" spans="1:11" ht="33" hidden="1" customHeight="1">
      <c r="A28" s="16" t="s">
        <v>156</v>
      </c>
      <c r="B28" s="14">
        <v>757</v>
      </c>
      <c r="C28" s="15" t="s">
        <v>70</v>
      </c>
      <c r="D28" s="15" t="s">
        <v>55</v>
      </c>
      <c r="E28" s="15" t="s">
        <v>862</v>
      </c>
      <c r="F28" s="15" t="s">
        <v>157</v>
      </c>
      <c r="G28" s="74">
        <f>'прил 5'!G272</f>
        <v>0</v>
      </c>
      <c r="H28" s="74">
        <v>0</v>
      </c>
      <c r="I28" s="74">
        <v>0</v>
      </c>
      <c r="J28" s="1"/>
    </row>
    <row r="29" spans="1:11" ht="82.5" customHeight="1">
      <c r="A29" s="50" t="s">
        <v>426</v>
      </c>
      <c r="B29" s="14">
        <v>757</v>
      </c>
      <c r="C29" s="15" t="s">
        <v>70</v>
      </c>
      <c r="D29" s="15" t="s">
        <v>71</v>
      </c>
      <c r="E29" s="15" t="s">
        <v>425</v>
      </c>
      <c r="F29" s="15"/>
      <c r="G29" s="74">
        <f t="shared" ref="G29:I30" si="2">G30</f>
        <v>123660</v>
      </c>
      <c r="H29" s="74">
        <f>H30</f>
        <v>0</v>
      </c>
      <c r="I29" s="74">
        <f t="shared" si="2"/>
        <v>0</v>
      </c>
    </row>
    <row r="30" spans="1:11" ht="33" customHeight="1">
      <c r="A30" s="16" t="s">
        <v>154</v>
      </c>
      <c r="B30" s="14">
        <v>757</v>
      </c>
      <c r="C30" s="15" t="s">
        <v>70</v>
      </c>
      <c r="D30" s="15" t="s">
        <v>71</v>
      </c>
      <c r="E30" s="15" t="s">
        <v>425</v>
      </c>
      <c r="F30" s="15" t="s">
        <v>155</v>
      </c>
      <c r="G30" s="74">
        <f t="shared" si="2"/>
        <v>123660</v>
      </c>
      <c r="H30" s="74">
        <f t="shared" si="2"/>
        <v>0</v>
      </c>
      <c r="I30" s="74">
        <f t="shared" si="2"/>
        <v>0</v>
      </c>
    </row>
    <row r="31" spans="1:11" ht="33" customHeight="1">
      <c r="A31" s="16" t="s">
        <v>156</v>
      </c>
      <c r="B31" s="14">
        <v>757</v>
      </c>
      <c r="C31" s="15" t="s">
        <v>70</v>
      </c>
      <c r="D31" s="15" t="s">
        <v>71</v>
      </c>
      <c r="E31" s="15" t="s">
        <v>425</v>
      </c>
      <c r="F31" s="15" t="s">
        <v>157</v>
      </c>
      <c r="G31" s="74">
        <f>'прил 5'!G275</f>
        <v>123660</v>
      </c>
      <c r="H31" s="74">
        <f>'прил 5'!AG275</f>
        <v>0</v>
      </c>
      <c r="I31" s="74">
        <f>'прил 5'!AH275</f>
        <v>0</v>
      </c>
    </row>
    <row r="32" spans="1:11" s="134" customFormat="1" ht="51">
      <c r="A32" s="131" t="s">
        <v>491</v>
      </c>
      <c r="B32" s="127">
        <v>793</v>
      </c>
      <c r="C32" s="128" t="s">
        <v>19</v>
      </c>
      <c r="D32" s="128" t="s">
        <v>23</v>
      </c>
      <c r="E32" s="127" t="s">
        <v>255</v>
      </c>
      <c r="F32" s="128"/>
      <c r="G32" s="129">
        <f>G33+G36+G43+G50</f>
        <v>2645761.1900000004</v>
      </c>
      <c r="H32" s="129">
        <f>H33+H36+H43+H50+H39</f>
        <v>1115008.29</v>
      </c>
      <c r="I32" s="129">
        <f>I33+I36+I43+I50+I39</f>
        <v>1115008.29</v>
      </c>
      <c r="J32" s="155">
        <v>465200</v>
      </c>
    </row>
    <row r="33" spans="1:10" s="33" customFormat="1" ht="27.75" customHeight="1">
      <c r="A33" s="16" t="s">
        <v>195</v>
      </c>
      <c r="B33" s="14">
        <v>793</v>
      </c>
      <c r="C33" s="15" t="s">
        <v>19</v>
      </c>
      <c r="D33" s="15" t="s">
        <v>23</v>
      </c>
      <c r="E33" s="15" t="s">
        <v>393</v>
      </c>
      <c r="F33" s="15"/>
      <c r="G33" s="102">
        <f t="shared" ref="G33:I34" si="3">G34</f>
        <v>756033</v>
      </c>
      <c r="H33" s="102">
        <f t="shared" si="3"/>
        <v>500000</v>
      </c>
      <c r="I33" s="102">
        <f t="shared" si="3"/>
        <v>500000</v>
      </c>
      <c r="J33" s="156"/>
    </row>
    <row r="34" spans="1:10" s="33" customFormat="1" ht="28.5" customHeight="1">
      <c r="A34" s="16" t="s">
        <v>30</v>
      </c>
      <c r="B34" s="14">
        <v>793</v>
      </c>
      <c r="C34" s="15" t="s">
        <v>19</v>
      </c>
      <c r="D34" s="15" t="s">
        <v>23</v>
      </c>
      <c r="E34" s="15" t="s">
        <v>393</v>
      </c>
      <c r="F34" s="15" t="s">
        <v>31</v>
      </c>
      <c r="G34" s="102">
        <f t="shared" si="3"/>
        <v>756033</v>
      </c>
      <c r="H34" s="102">
        <f t="shared" si="3"/>
        <v>500000</v>
      </c>
      <c r="I34" s="102">
        <f t="shared" si="3"/>
        <v>500000</v>
      </c>
      <c r="J34" s="156"/>
    </row>
    <row r="35" spans="1:10" s="33" customFormat="1" ht="31.5" customHeight="1">
      <c r="A35" s="16" t="s">
        <v>9</v>
      </c>
      <c r="B35" s="14">
        <v>793</v>
      </c>
      <c r="C35" s="15" t="s">
        <v>19</v>
      </c>
      <c r="D35" s="15" t="s">
        <v>23</v>
      </c>
      <c r="E35" s="15" t="s">
        <v>393</v>
      </c>
      <c r="F35" s="15" t="s">
        <v>8</v>
      </c>
      <c r="G35" s="102">
        <f>'прил 5'!G886</f>
        <v>756033</v>
      </c>
      <c r="H35" s="102">
        <f>'прил 5'!H886</f>
        <v>500000</v>
      </c>
      <c r="I35" s="102">
        <f>'прил 5'!I886</f>
        <v>500000</v>
      </c>
      <c r="J35" s="156"/>
    </row>
    <row r="36" spans="1:10" ht="25.5">
      <c r="A36" s="16" t="s">
        <v>170</v>
      </c>
      <c r="B36" s="14">
        <v>793</v>
      </c>
      <c r="C36" s="15" t="s">
        <v>19</v>
      </c>
      <c r="D36" s="15" t="s">
        <v>23</v>
      </c>
      <c r="E36" s="15" t="s">
        <v>394</v>
      </c>
      <c r="F36" s="15"/>
      <c r="G36" s="102">
        <f>G37+G39+G41+G42</f>
        <v>1789728.1900000002</v>
      </c>
      <c r="H36" s="102">
        <f>H39+H41</f>
        <v>460008.29</v>
      </c>
      <c r="I36" s="102">
        <f>I39+I41</f>
        <v>460008.29</v>
      </c>
      <c r="J36" s="2">
        <v>70000</v>
      </c>
    </row>
    <row r="37" spans="1:10" ht="25.5" hidden="1" customHeight="1">
      <c r="A37" s="16" t="s">
        <v>163</v>
      </c>
      <c r="B37" s="14">
        <v>793</v>
      </c>
      <c r="C37" s="15" t="s">
        <v>19</v>
      </c>
      <c r="D37" s="15" t="s">
        <v>23</v>
      </c>
      <c r="E37" s="15" t="s">
        <v>394</v>
      </c>
      <c r="F37" s="15" t="s">
        <v>164</v>
      </c>
      <c r="G37" s="74">
        <f>G38</f>
        <v>0</v>
      </c>
      <c r="H37" s="74">
        <f t="shared" ref="H37:I39" si="4">H38</f>
        <v>0</v>
      </c>
      <c r="I37" s="74">
        <f t="shared" si="4"/>
        <v>0</v>
      </c>
      <c r="J37" s="2">
        <v>35000</v>
      </c>
    </row>
    <row r="38" spans="1:10" ht="25.5" hidden="1" customHeight="1">
      <c r="A38" s="16" t="s">
        <v>177</v>
      </c>
      <c r="B38" s="14">
        <v>793</v>
      </c>
      <c r="C38" s="15" t="s">
        <v>19</v>
      </c>
      <c r="D38" s="15" t="s">
        <v>23</v>
      </c>
      <c r="E38" s="15" t="s">
        <v>394</v>
      </c>
      <c r="F38" s="15" t="s">
        <v>178</v>
      </c>
      <c r="G38" s="74">
        <f>'прил 5'!G891</f>
        <v>0</v>
      </c>
      <c r="H38" s="118">
        <v>0</v>
      </c>
      <c r="I38" s="118">
        <v>0</v>
      </c>
      <c r="J38" s="2">
        <v>500000</v>
      </c>
    </row>
    <row r="39" spans="1:10" ht="25.5" customHeight="1">
      <c r="A39" s="16" t="s">
        <v>163</v>
      </c>
      <c r="B39" s="14">
        <v>793</v>
      </c>
      <c r="C39" s="15" t="s">
        <v>19</v>
      </c>
      <c r="D39" s="15" t="s">
        <v>23</v>
      </c>
      <c r="E39" s="15" t="s">
        <v>394</v>
      </c>
      <c r="F39" s="15" t="s">
        <v>164</v>
      </c>
      <c r="G39" s="74">
        <f>G40</f>
        <v>1789728.1900000002</v>
      </c>
      <c r="H39" s="74">
        <f t="shared" si="4"/>
        <v>0</v>
      </c>
      <c r="I39" s="74">
        <f t="shared" si="4"/>
        <v>0</v>
      </c>
      <c r="J39" s="2">
        <v>35000</v>
      </c>
    </row>
    <row r="40" spans="1:10" ht="25.5" customHeight="1">
      <c r="A40" s="16" t="s">
        <v>185</v>
      </c>
      <c r="B40" s="14">
        <v>793</v>
      </c>
      <c r="C40" s="15" t="s">
        <v>19</v>
      </c>
      <c r="D40" s="15" t="s">
        <v>23</v>
      </c>
      <c r="E40" s="15" t="s">
        <v>394</v>
      </c>
      <c r="F40" s="15" t="s">
        <v>186</v>
      </c>
      <c r="G40" s="74">
        <f>'прил 5'!G889</f>
        <v>1789728.1900000002</v>
      </c>
      <c r="H40" s="118">
        <f>'прил 5'!H889</f>
        <v>0</v>
      </c>
      <c r="I40" s="118">
        <f>'прил 5'!I889</f>
        <v>0</v>
      </c>
      <c r="J40" s="2">
        <v>500000</v>
      </c>
    </row>
    <row r="41" spans="1:10" ht="16.5" customHeight="1">
      <c r="A41" s="86" t="s">
        <v>64</v>
      </c>
      <c r="B41" s="14">
        <v>793</v>
      </c>
      <c r="C41" s="15" t="s">
        <v>19</v>
      </c>
      <c r="D41" s="15" t="s">
        <v>23</v>
      </c>
      <c r="E41" s="15" t="s">
        <v>394</v>
      </c>
      <c r="F41" s="15" t="s">
        <v>65</v>
      </c>
      <c r="G41" s="74">
        <f>G42</f>
        <v>0</v>
      </c>
      <c r="H41" s="74">
        <f t="shared" ref="H41:I41" si="5">H42</f>
        <v>460008.29</v>
      </c>
      <c r="I41" s="74">
        <f t="shared" si="5"/>
        <v>460008.29</v>
      </c>
      <c r="J41" s="1"/>
    </row>
    <row r="42" spans="1:10" ht="17.25" customHeight="1">
      <c r="A42" s="86" t="s">
        <v>187</v>
      </c>
      <c r="B42" s="14">
        <v>793</v>
      </c>
      <c r="C42" s="15" t="s">
        <v>19</v>
      </c>
      <c r="D42" s="15" t="s">
        <v>23</v>
      </c>
      <c r="E42" s="15" t="s">
        <v>394</v>
      </c>
      <c r="F42" s="15" t="s">
        <v>188</v>
      </c>
      <c r="G42" s="74">
        <v>0</v>
      </c>
      <c r="H42" s="74">
        <v>460008.29</v>
      </c>
      <c r="I42" s="74">
        <v>460008.29</v>
      </c>
      <c r="J42" s="1"/>
    </row>
    <row r="43" spans="1:10" ht="25.5" customHeight="1">
      <c r="A43" s="16" t="s">
        <v>124</v>
      </c>
      <c r="B43" s="14">
        <v>793</v>
      </c>
      <c r="C43" s="15" t="s">
        <v>19</v>
      </c>
      <c r="D43" s="15" t="s">
        <v>23</v>
      </c>
      <c r="E43" s="15" t="s">
        <v>256</v>
      </c>
      <c r="F43" s="15"/>
      <c r="G43" s="102">
        <f>G44+G48+G47</f>
        <v>65000</v>
      </c>
      <c r="H43" s="102">
        <f t="shared" ref="H43:I43" si="6">H44+H48+H47</f>
        <v>105000</v>
      </c>
      <c r="I43" s="102">
        <f t="shared" si="6"/>
        <v>105000</v>
      </c>
      <c r="J43" s="2">
        <v>50000</v>
      </c>
    </row>
    <row r="44" spans="1:10" ht="25.5" customHeight="1">
      <c r="A44" s="16" t="s">
        <v>334</v>
      </c>
      <c r="B44" s="14">
        <v>793</v>
      </c>
      <c r="C44" s="15" t="s">
        <v>19</v>
      </c>
      <c r="D44" s="15" t="s">
        <v>23</v>
      </c>
      <c r="E44" s="15" t="s">
        <v>256</v>
      </c>
      <c r="F44" s="15" t="s">
        <v>37</v>
      </c>
      <c r="G44" s="102">
        <f>G45</f>
        <v>30000</v>
      </c>
      <c r="H44" s="102">
        <f>H45</f>
        <v>70000</v>
      </c>
      <c r="I44" s="102">
        <f>I45</f>
        <v>70000</v>
      </c>
      <c r="J44" s="2">
        <f>SUM(J32:J43)</f>
        <v>1655200</v>
      </c>
    </row>
    <row r="45" spans="1:10" ht="25.5" customHeight="1">
      <c r="A45" s="16" t="s">
        <v>38</v>
      </c>
      <c r="B45" s="14">
        <v>793</v>
      </c>
      <c r="C45" s="15" t="s">
        <v>19</v>
      </c>
      <c r="D45" s="15" t="s">
        <v>23</v>
      </c>
      <c r="E45" s="15" t="s">
        <v>256</v>
      </c>
      <c r="F45" s="15" t="s">
        <v>39</v>
      </c>
      <c r="G45" s="102">
        <f>'прил 5'!G894</f>
        <v>30000</v>
      </c>
      <c r="H45" s="102">
        <f>'прил 5'!H894</f>
        <v>70000</v>
      </c>
      <c r="I45" s="102">
        <f>'прил 5'!I894</f>
        <v>70000</v>
      </c>
    </row>
    <row r="46" spans="1:10" ht="25.5" hidden="1" customHeight="1">
      <c r="A46" s="16" t="s">
        <v>30</v>
      </c>
      <c r="B46" s="14">
        <v>793</v>
      </c>
      <c r="C46" s="15" t="s">
        <v>19</v>
      </c>
      <c r="D46" s="15" t="s">
        <v>23</v>
      </c>
      <c r="E46" s="15" t="s">
        <v>256</v>
      </c>
      <c r="F46" s="15" t="s">
        <v>31</v>
      </c>
      <c r="G46" s="74">
        <f>G47</f>
        <v>0</v>
      </c>
      <c r="H46" s="74">
        <f t="shared" ref="H46:I46" si="7">H47</f>
        <v>0</v>
      </c>
      <c r="I46" s="74">
        <f t="shared" si="7"/>
        <v>0</v>
      </c>
      <c r="J46" s="1"/>
    </row>
    <row r="47" spans="1:10" ht="25.5" hidden="1" customHeight="1">
      <c r="A47" s="16" t="s">
        <v>9</v>
      </c>
      <c r="B47" s="14">
        <v>793</v>
      </c>
      <c r="C47" s="15" t="s">
        <v>19</v>
      </c>
      <c r="D47" s="15" t="s">
        <v>23</v>
      </c>
      <c r="E47" s="15" t="s">
        <v>256</v>
      </c>
      <c r="F47" s="15" t="s">
        <v>8</v>
      </c>
      <c r="G47" s="74"/>
      <c r="H47" s="74"/>
      <c r="I47" s="74"/>
      <c r="J47" s="1"/>
    </row>
    <row r="48" spans="1:10" ht="25.5" customHeight="1">
      <c r="A48" s="16" t="s">
        <v>64</v>
      </c>
      <c r="B48" s="14">
        <v>793</v>
      </c>
      <c r="C48" s="15" t="s">
        <v>19</v>
      </c>
      <c r="D48" s="15" t="s">
        <v>23</v>
      </c>
      <c r="E48" s="15" t="s">
        <v>256</v>
      </c>
      <c r="F48" s="15" t="s">
        <v>65</v>
      </c>
      <c r="G48" s="102">
        <f>G49</f>
        <v>35000</v>
      </c>
      <c r="H48" s="102">
        <f>H49</f>
        <v>35000</v>
      </c>
      <c r="I48" s="102">
        <f>I49</f>
        <v>35000</v>
      </c>
    </row>
    <row r="49" spans="1:16" ht="25.5" customHeight="1">
      <c r="A49" s="16" t="s">
        <v>150</v>
      </c>
      <c r="B49" s="14">
        <v>793</v>
      </c>
      <c r="C49" s="15" t="s">
        <v>19</v>
      </c>
      <c r="D49" s="15" t="s">
        <v>23</v>
      </c>
      <c r="E49" s="15" t="s">
        <v>256</v>
      </c>
      <c r="F49" s="15" t="s">
        <v>68</v>
      </c>
      <c r="G49" s="102">
        <f>'прил 5'!G898</f>
        <v>35000</v>
      </c>
      <c r="H49" s="102">
        <f>'прил 5'!H898</f>
        <v>35000</v>
      </c>
      <c r="I49" s="102">
        <f>'прил 5'!I898</f>
        <v>35000</v>
      </c>
    </row>
    <row r="50" spans="1:16" ht="25.5" customHeight="1">
      <c r="A50" s="16" t="s">
        <v>464</v>
      </c>
      <c r="B50" s="14">
        <v>793</v>
      </c>
      <c r="C50" s="15" t="s">
        <v>19</v>
      </c>
      <c r="D50" s="15" t="s">
        <v>23</v>
      </c>
      <c r="E50" s="15" t="s">
        <v>465</v>
      </c>
      <c r="F50" s="15"/>
      <c r="G50" s="74">
        <f t="shared" ref="G50:I51" si="8">G51</f>
        <v>35000</v>
      </c>
      <c r="H50" s="8">
        <f t="shared" si="8"/>
        <v>50000</v>
      </c>
      <c r="I50" s="8">
        <f t="shared" si="8"/>
        <v>50000</v>
      </c>
    </row>
    <row r="51" spans="1:16" ht="25.5" customHeight="1">
      <c r="A51" s="16" t="s">
        <v>334</v>
      </c>
      <c r="B51" s="14">
        <v>793</v>
      </c>
      <c r="C51" s="15" t="s">
        <v>19</v>
      </c>
      <c r="D51" s="15" t="s">
        <v>23</v>
      </c>
      <c r="E51" s="15" t="s">
        <v>465</v>
      </c>
      <c r="F51" s="15" t="s">
        <v>37</v>
      </c>
      <c r="G51" s="74">
        <f t="shared" si="8"/>
        <v>35000</v>
      </c>
      <c r="H51" s="8">
        <f t="shared" si="8"/>
        <v>50000</v>
      </c>
      <c r="I51" s="8">
        <f t="shared" si="8"/>
        <v>50000</v>
      </c>
    </row>
    <row r="52" spans="1:16" ht="25.5" customHeight="1">
      <c r="A52" s="16" t="s">
        <v>38</v>
      </c>
      <c r="B52" s="14">
        <v>793</v>
      </c>
      <c r="C52" s="15" t="s">
        <v>19</v>
      </c>
      <c r="D52" s="15" t="s">
        <v>23</v>
      </c>
      <c r="E52" s="15" t="s">
        <v>465</v>
      </c>
      <c r="F52" s="15" t="s">
        <v>39</v>
      </c>
      <c r="G52" s="74">
        <f>'прил 5'!G901</f>
        <v>35000</v>
      </c>
      <c r="H52" s="8">
        <f>'прил 5'!H901</f>
        <v>50000</v>
      </c>
      <c r="I52" s="8">
        <f>'прил 5'!I901</f>
        <v>50000</v>
      </c>
    </row>
    <row r="53" spans="1:16" s="134" customFormat="1" ht="38.25">
      <c r="A53" s="131" t="s">
        <v>457</v>
      </c>
      <c r="B53" s="127">
        <v>763</v>
      </c>
      <c r="C53" s="128" t="s">
        <v>19</v>
      </c>
      <c r="D53" s="128" t="s">
        <v>55</v>
      </c>
      <c r="E53" s="128" t="s">
        <v>214</v>
      </c>
      <c r="F53" s="133"/>
      <c r="G53" s="129">
        <f>G54+G61+G67+G70+G73+G76+G79++G82+G85+G91+G88+G94</f>
        <v>11914873.6</v>
      </c>
      <c r="H53" s="129">
        <f>H54+H61+H64+H67+H70+H82</f>
        <v>10757399.6</v>
      </c>
      <c r="I53" s="129">
        <f>I54+I61+I64+I67+I70+I82</f>
        <v>10758516.6</v>
      </c>
      <c r="J53" s="155">
        <v>9155959</v>
      </c>
      <c r="L53" s="155">
        <f>G53+H53+I53-G54-H54-I54</f>
        <v>3608949.9999999963</v>
      </c>
    </row>
    <row r="54" spans="1:16" s="33" customFormat="1" ht="25.5">
      <c r="A54" s="16" t="s">
        <v>78</v>
      </c>
      <c r="B54" s="14">
        <v>763</v>
      </c>
      <c r="C54" s="15" t="s">
        <v>19</v>
      </c>
      <c r="D54" s="15" t="s">
        <v>55</v>
      </c>
      <c r="E54" s="15" t="s">
        <v>215</v>
      </c>
      <c r="F54" s="39"/>
      <c r="G54" s="102">
        <f>G55+G57+G59</f>
        <v>9885923.5999999996</v>
      </c>
      <c r="H54" s="102">
        <f t="shared" ref="H54:I54" si="9">H55+H57+H59</f>
        <v>9967399.5999999996</v>
      </c>
      <c r="I54" s="102">
        <f t="shared" si="9"/>
        <v>9968516.5999999996</v>
      </c>
      <c r="J54" s="156">
        <v>567396</v>
      </c>
    </row>
    <row r="55" spans="1:16" ht="51">
      <c r="A55" s="16" t="s">
        <v>56</v>
      </c>
      <c r="B55" s="14">
        <v>763</v>
      </c>
      <c r="C55" s="15" t="s">
        <v>19</v>
      </c>
      <c r="D55" s="15" t="s">
        <v>55</v>
      </c>
      <c r="E55" s="15" t="s">
        <v>215</v>
      </c>
      <c r="F55" s="15" t="s">
        <v>59</v>
      </c>
      <c r="G55" s="102">
        <f>SUM(G56)</f>
        <v>9342856</v>
      </c>
      <c r="H55" s="102">
        <f>SUM(H56)</f>
        <v>9444382</v>
      </c>
      <c r="I55" s="102">
        <f>SUM(I56)</f>
        <v>9445499</v>
      </c>
      <c r="J55" s="2">
        <v>15000</v>
      </c>
      <c r="P55" s="2"/>
    </row>
    <row r="56" spans="1:16" ht="25.5">
      <c r="A56" s="16" t="s">
        <v>57</v>
      </c>
      <c r="B56" s="14">
        <v>763</v>
      </c>
      <c r="C56" s="15" t="s">
        <v>19</v>
      </c>
      <c r="D56" s="15" t="s">
        <v>55</v>
      </c>
      <c r="E56" s="15" t="s">
        <v>215</v>
      </c>
      <c r="F56" s="15" t="s">
        <v>60</v>
      </c>
      <c r="G56" s="102">
        <f>'прил 5'!G304</f>
        <v>9342856</v>
      </c>
      <c r="H56" s="102">
        <f>'прил 5'!AG304+'прил 5'!H304</f>
        <v>9444382</v>
      </c>
      <c r="I56" s="102">
        <f>'прил 5'!AH304+'прил 5'!I304</f>
        <v>9445499</v>
      </c>
      <c r="J56" s="2">
        <v>200000</v>
      </c>
    </row>
    <row r="57" spans="1:16" ht="25.5">
      <c r="A57" s="16" t="s">
        <v>36</v>
      </c>
      <c r="B57" s="14">
        <v>763</v>
      </c>
      <c r="C57" s="15" t="s">
        <v>19</v>
      </c>
      <c r="D57" s="15" t="s">
        <v>55</v>
      </c>
      <c r="E57" s="15" t="s">
        <v>215</v>
      </c>
      <c r="F57" s="15" t="s">
        <v>37</v>
      </c>
      <c r="G57" s="102">
        <f>SUM(G58)</f>
        <v>524203.6</v>
      </c>
      <c r="H57" s="102">
        <f>SUM(H58)</f>
        <v>500017.6</v>
      </c>
      <c r="I57" s="102">
        <f>SUM(I58)</f>
        <v>500017.6</v>
      </c>
      <c r="J57" s="2">
        <v>200000</v>
      </c>
    </row>
    <row r="58" spans="1:16" ht="25.5">
      <c r="A58" s="16" t="s">
        <v>38</v>
      </c>
      <c r="B58" s="14">
        <v>763</v>
      </c>
      <c r="C58" s="15" t="s">
        <v>19</v>
      </c>
      <c r="D58" s="15" t="s">
        <v>55</v>
      </c>
      <c r="E58" s="15" t="s">
        <v>215</v>
      </c>
      <c r="F58" s="15" t="s">
        <v>39</v>
      </c>
      <c r="G58" s="102">
        <f>'прил 5'!G306</f>
        <v>524203.6</v>
      </c>
      <c r="H58" s="102">
        <f>'прил 5'!AG306+'прил 5'!H306</f>
        <v>500017.6</v>
      </c>
      <c r="I58" s="102">
        <f>'прил 5'!AH306+'прил 5'!I306</f>
        <v>500017.6</v>
      </c>
      <c r="J58" s="2">
        <v>210000</v>
      </c>
    </row>
    <row r="59" spans="1:16">
      <c r="A59" s="16" t="s">
        <v>64</v>
      </c>
      <c r="B59" s="14"/>
      <c r="C59" s="15"/>
      <c r="D59" s="15"/>
      <c r="E59" s="15" t="s">
        <v>215</v>
      </c>
      <c r="F59" s="15" t="s">
        <v>65</v>
      </c>
      <c r="G59" s="102">
        <f>G60</f>
        <v>18864</v>
      </c>
      <c r="H59" s="102">
        <f>H60</f>
        <v>23000</v>
      </c>
      <c r="I59" s="102">
        <f>I60</f>
        <v>23000</v>
      </c>
      <c r="J59" s="2">
        <f>SUM(J53:J58)</f>
        <v>10348355</v>
      </c>
    </row>
    <row r="60" spans="1:16">
      <c r="A60" s="16" t="s">
        <v>150</v>
      </c>
      <c r="B60" s="14"/>
      <c r="C60" s="15"/>
      <c r="D60" s="15"/>
      <c r="E60" s="15" t="s">
        <v>215</v>
      </c>
      <c r="F60" s="15" t="s">
        <v>68</v>
      </c>
      <c r="G60" s="102">
        <f>'прил 5'!G308</f>
        <v>18864</v>
      </c>
      <c r="H60" s="102">
        <f>'прил 5'!AG308+'прил 5'!H308</f>
        <v>23000</v>
      </c>
      <c r="I60" s="102">
        <f>'прил 5'!AH308+'прил 5'!I308</f>
        <v>23000</v>
      </c>
    </row>
    <row r="61" spans="1:16" ht="33.75" customHeight="1">
      <c r="A61" s="16" t="s">
        <v>664</v>
      </c>
      <c r="B61" s="14">
        <v>763</v>
      </c>
      <c r="C61" s="15" t="s">
        <v>19</v>
      </c>
      <c r="D61" s="15" t="s">
        <v>23</v>
      </c>
      <c r="E61" s="15" t="s">
        <v>216</v>
      </c>
      <c r="F61" s="15"/>
      <c r="G61" s="102">
        <f>G62+G64</f>
        <v>145713.84000000003</v>
      </c>
      <c r="H61" s="102">
        <f t="shared" ref="G61:I62" si="10">H62</f>
        <v>280000</v>
      </c>
      <c r="I61" s="102">
        <f t="shared" si="10"/>
        <v>280000</v>
      </c>
    </row>
    <row r="62" spans="1:16" ht="27.75" customHeight="1">
      <c r="A62" s="16" t="s">
        <v>36</v>
      </c>
      <c r="B62" s="14">
        <v>763</v>
      </c>
      <c r="C62" s="15" t="s">
        <v>19</v>
      </c>
      <c r="D62" s="15" t="s">
        <v>23</v>
      </c>
      <c r="E62" s="15" t="s">
        <v>216</v>
      </c>
      <c r="F62" s="15" t="s">
        <v>37</v>
      </c>
      <c r="G62" s="102">
        <f t="shared" si="10"/>
        <v>145713.84000000003</v>
      </c>
      <c r="H62" s="102">
        <f t="shared" si="10"/>
        <v>280000</v>
      </c>
      <c r="I62" s="102">
        <f t="shared" si="10"/>
        <v>280000</v>
      </c>
    </row>
    <row r="63" spans="1:16" ht="28.5" customHeight="1">
      <c r="A63" s="16" t="s">
        <v>38</v>
      </c>
      <c r="B63" s="14">
        <v>763</v>
      </c>
      <c r="C63" s="15" t="s">
        <v>19</v>
      </c>
      <c r="D63" s="15" t="s">
        <v>23</v>
      </c>
      <c r="E63" s="15" t="s">
        <v>216</v>
      </c>
      <c r="F63" s="15" t="s">
        <v>39</v>
      </c>
      <c r="G63" s="102">
        <f>'прил 5'!G313</f>
        <v>145713.84000000003</v>
      </c>
      <c r="H63" s="102">
        <f>'прил 5'!AG313+'прил 5'!H313</f>
        <v>280000</v>
      </c>
      <c r="I63" s="102">
        <f>'прил 5'!AH313+'прил 5'!I313</f>
        <v>280000</v>
      </c>
    </row>
    <row r="64" spans="1:16" hidden="1">
      <c r="A64" s="16" t="s">
        <v>64</v>
      </c>
      <c r="B64" s="14">
        <v>763</v>
      </c>
      <c r="C64" s="15" t="s">
        <v>19</v>
      </c>
      <c r="D64" s="15" t="s">
        <v>23</v>
      </c>
      <c r="E64" s="15" t="s">
        <v>216</v>
      </c>
      <c r="F64" s="15" t="s">
        <v>65</v>
      </c>
      <c r="G64" s="102">
        <f>G65</f>
        <v>0</v>
      </c>
      <c r="H64" s="74">
        <v>0</v>
      </c>
      <c r="I64" s="74">
        <v>0</v>
      </c>
    </row>
    <row r="65" spans="1:10" ht="15" hidden="1" customHeight="1">
      <c r="A65" s="16" t="s">
        <v>187</v>
      </c>
      <c r="B65" s="14">
        <v>763</v>
      </c>
      <c r="C65" s="15" t="s">
        <v>19</v>
      </c>
      <c r="D65" s="15" t="s">
        <v>23</v>
      </c>
      <c r="E65" s="15" t="s">
        <v>216</v>
      </c>
      <c r="F65" s="15" t="s">
        <v>188</v>
      </c>
      <c r="G65" s="102">
        <f>'прил 5'!G315</f>
        <v>0</v>
      </c>
      <c r="H65" s="74">
        <v>0</v>
      </c>
      <c r="I65" s="74">
        <v>0</v>
      </c>
    </row>
    <row r="66" spans="1:10" ht="28.5" hidden="1" customHeight="1">
      <c r="A66" s="16"/>
      <c r="B66" s="14"/>
      <c r="C66" s="15"/>
      <c r="D66" s="15"/>
      <c r="E66" s="15"/>
      <c r="F66" s="15"/>
      <c r="G66" s="74"/>
      <c r="H66" s="74"/>
      <c r="I66" s="74"/>
      <c r="J66" s="1"/>
    </row>
    <row r="67" spans="1:10" ht="125.25" customHeight="1">
      <c r="A67" s="16" t="s">
        <v>289</v>
      </c>
      <c r="B67" s="14">
        <v>763</v>
      </c>
      <c r="C67" s="15" t="s">
        <v>55</v>
      </c>
      <c r="D67" s="15" t="s">
        <v>90</v>
      </c>
      <c r="E67" s="15" t="s">
        <v>219</v>
      </c>
      <c r="F67" s="15"/>
      <c r="G67" s="102">
        <f>G68</f>
        <v>329286.16000000003</v>
      </c>
      <c r="H67" s="102">
        <f t="shared" ref="H67:I67" si="11">H68</f>
        <v>250000</v>
      </c>
      <c r="I67" s="102">
        <f t="shared" si="11"/>
        <v>250000</v>
      </c>
    </row>
    <row r="68" spans="1:10" ht="25.5">
      <c r="A68" s="16" t="s">
        <v>36</v>
      </c>
      <c r="B68" s="14">
        <v>763</v>
      </c>
      <c r="C68" s="15" t="s">
        <v>55</v>
      </c>
      <c r="D68" s="15" t="s">
        <v>90</v>
      </c>
      <c r="E68" s="15" t="s">
        <v>219</v>
      </c>
      <c r="F68" s="15" t="s">
        <v>37</v>
      </c>
      <c r="G68" s="102">
        <f>SUM(G69)</f>
        <v>329286.16000000003</v>
      </c>
      <c r="H68" s="102">
        <f>SUM(H69)</f>
        <v>250000</v>
      </c>
      <c r="I68" s="102">
        <f>SUM(I69)</f>
        <v>250000</v>
      </c>
    </row>
    <row r="69" spans="1:10" ht="25.5" customHeight="1">
      <c r="A69" s="16" t="s">
        <v>38</v>
      </c>
      <c r="B69" s="14">
        <v>763</v>
      </c>
      <c r="C69" s="15" t="s">
        <v>55</v>
      </c>
      <c r="D69" s="15" t="s">
        <v>90</v>
      </c>
      <c r="E69" s="15" t="s">
        <v>219</v>
      </c>
      <c r="F69" s="15" t="s">
        <v>39</v>
      </c>
      <c r="G69" s="102">
        <f>'прил 5'!G326</f>
        <v>329286.16000000003</v>
      </c>
      <c r="H69" s="102">
        <f>'прил 5'!AG326+'прил 5'!H326</f>
        <v>250000</v>
      </c>
      <c r="I69" s="102">
        <f>'прил 5'!AH326+'прил 5'!I326</f>
        <v>250000</v>
      </c>
    </row>
    <row r="70" spans="1:10" ht="94.5" customHeight="1">
      <c r="A70" s="30" t="s">
        <v>665</v>
      </c>
      <c r="B70" s="14">
        <v>763</v>
      </c>
      <c r="C70" s="15" t="s">
        <v>55</v>
      </c>
      <c r="D70" s="15" t="s">
        <v>90</v>
      </c>
      <c r="E70" s="15" t="s">
        <v>220</v>
      </c>
      <c r="F70" s="15"/>
      <c r="G70" s="102">
        <f>G71</f>
        <v>275000</v>
      </c>
      <c r="H70" s="102">
        <f t="shared" ref="H70:I70" si="12">H71</f>
        <v>220000</v>
      </c>
      <c r="I70" s="102">
        <f t="shared" si="12"/>
        <v>220000</v>
      </c>
    </row>
    <row r="71" spans="1:10" ht="25.5">
      <c r="A71" s="16" t="s">
        <v>36</v>
      </c>
      <c r="B71" s="14">
        <v>763</v>
      </c>
      <c r="C71" s="15" t="s">
        <v>55</v>
      </c>
      <c r="D71" s="15" t="s">
        <v>90</v>
      </c>
      <c r="E71" s="15" t="s">
        <v>220</v>
      </c>
      <c r="F71" s="15" t="s">
        <v>37</v>
      </c>
      <c r="G71" s="102">
        <f>SUM(G72)</f>
        <v>275000</v>
      </c>
      <c r="H71" s="102">
        <f>SUM(H72)</f>
        <v>220000</v>
      </c>
      <c r="I71" s="102">
        <f>SUM(I72)</f>
        <v>220000</v>
      </c>
    </row>
    <row r="72" spans="1:10" ht="25.5" customHeight="1">
      <c r="A72" s="16" t="s">
        <v>38</v>
      </c>
      <c r="B72" s="14">
        <v>763</v>
      </c>
      <c r="C72" s="15" t="s">
        <v>55</v>
      </c>
      <c r="D72" s="15" t="s">
        <v>90</v>
      </c>
      <c r="E72" s="15" t="s">
        <v>220</v>
      </c>
      <c r="F72" s="15" t="s">
        <v>39</v>
      </c>
      <c r="G72" s="102">
        <f>'прил 5'!G329</f>
        <v>275000</v>
      </c>
      <c r="H72" s="102">
        <f>'прил 5'!AG329+'прил 5'!H329</f>
        <v>220000</v>
      </c>
      <c r="I72" s="102">
        <f>'прил 5'!AH329+'прил 5'!I329</f>
        <v>220000</v>
      </c>
    </row>
    <row r="73" spans="1:10" ht="81.75" hidden="1" customHeight="1">
      <c r="A73" s="30" t="s">
        <v>619</v>
      </c>
      <c r="B73" s="14">
        <v>763</v>
      </c>
      <c r="C73" s="15" t="s">
        <v>55</v>
      </c>
      <c r="D73" s="15" t="s">
        <v>90</v>
      </c>
      <c r="E73" s="15" t="s">
        <v>586</v>
      </c>
      <c r="F73" s="15"/>
      <c r="G73" s="74">
        <f>G74</f>
        <v>0</v>
      </c>
      <c r="H73" s="74">
        <v>0</v>
      </c>
      <c r="I73" s="74">
        <v>0</v>
      </c>
      <c r="J73" s="1"/>
    </row>
    <row r="74" spans="1:10" ht="25.5" hidden="1">
      <c r="A74" s="16" t="s">
        <v>36</v>
      </c>
      <c r="B74" s="14">
        <v>763</v>
      </c>
      <c r="C74" s="15" t="s">
        <v>55</v>
      </c>
      <c r="D74" s="15" t="s">
        <v>90</v>
      </c>
      <c r="E74" s="15" t="s">
        <v>586</v>
      </c>
      <c r="F74" s="15" t="s">
        <v>37</v>
      </c>
      <c r="G74" s="74">
        <f>SUM(G75)</f>
        <v>0</v>
      </c>
      <c r="H74" s="74">
        <f>SUM(H75)</f>
        <v>0</v>
      </c>
      <c r="I74" s="74">
        <f>SUM(I75)</f>
        <v>0</v>
      </c>
      <c r="J74" s="1"/>
    </row>
    <row r="75" spans="1:10" ht="25.5" hidden="1" customHeight="1">
      <c r="A75" s="16" t="s">
        <v>38</v>
      </c>
      <c r="B75" s="14">
        <v>763</v>
      </c>
      <c r="C75" s="15" t="s">
        <v>55</v>
      </c>
      <c r="D75" s="15" t="s">
        <v>90</v>
      </c>
      <c r="E75" s="15" t="s">
        <v>586</v>
      </c>
      <c r="F75" s="15" t="s">
        <v>39</v>
      </c>
      <c r="G75" s="74"/>
      <c r="H75" s="74">
        <v>0</v>
      </c>
      <c r="I75" s="74">
        <v>0</v>
      </c>
      <c r="J75" s="1"/>
    </row>
    <row r="76" spans="1:10" ht="23.25" hidden="1" customHeight="1">
      <c r="A76" s="176" t="s">
        <v>588</v>
      </c>
      <c r="B76" s="14">
        <v>763</v>
      </c>
      <c r="C76" s="15" t="s">
        <v>55</v>
      </c>
      <c r="D76" s="15" t="s">
        <v>90</v>
      </c>
      <c r="E76" s="15" t="s">
        <v>587</v>
      </c>
      <c r="F76" s="15"/>
      <c r="G76" s="74">
        <f>G77</f>
        <v>0</v>
      </c>
      <c r="H76" s="74">
        <v>0</v>
      </c>
      <c r="I76" s="74">
        <v>0</v>
      </c>
      <c r="J76" s="1"/>
    </row>
    <row r="77" spans="1:10" ht="25.5" hidden="1">
      <c r="A77" s="16" t="s">
        <v>36</v>
      </c>
      <c r="B77" s="14">
        <v>763</v>
      </c>
      <c r="C77" s="15" t="s">
        <v>55</v>
      </c>
      <c r="D77" s="15" t="s">
        <v>90</v>
      </c>
      <c r="E77" s="15" t="s">
        <v>587</v>
      </c>
      <c r="F77" s="15" t="s">
        <v>37</v>
      </c>
      <c r="G77" s="74">
        <f>SUM(G78)</f>
        <v>0</v>
      </c>
      <c r="H77" s="74">
        <f>SUM(H78)</f>
        <v>0</v>
      </c>
      <c r="I77" s="74">
        <f>SUM(I78)</f>
        <v>0</v>
      </c>
      <c r="J77" s="1"/>
    </row>
    <row r="78" spans="1:10" ht="25.5" hidden="1" customHeight="1">
      <c r="A78" s="16" t="s">
        <v>38</v>
      </c>
      <c r="B78" s="14">
        <v>763</v>
      </c>
      <c r="C78" s="15" t="s">
        <v>55</v>
      </c>
      <c r="D78" s="15" t="s">
        <v>90</v>
      </c>
      <c r="E78" s="15" t="s">
        <v>587</v>
      </c>
      <c r="F78" s="15" t="s">
        <v>39</v>
      </c>
      <c r="G78" s="74"/>
      <c r="H78" s="74">
        <v>0</v>
      </c>
      <c r="I78" s="74">
        <v>0</v>
      </c>
      <c r="J78" s="1"/>
    </row>
    <row r="79" spans="1:10" ht="23.25" hidden="1" customHeight="1">
      <c r="A79" s="176" t="s">
        <v>590</v>
      </c>
      <c r="B79" s="14">
        <v>763</v>
      </c>
      <c r="C79" s="15" t="s">
        <v>55</v>
      </c>
      <c r="D79" s="15" t="s">
        <v>90</v>
      </c>
      <c r="E79" s="15" t="s">
        <v>589</v>
      </c>
      <c r="F79" s="15"/>
      <c r="G79" s="74">
        <f>G80</f>
        <v>0</v>
      </c>
      <c r="H79" s="74">
        <v>0</v>
      </c>
      <c r="I79" s="74">
        <v>0</v>
      </c>
      <c r="J79" s="1"/>
    </row>
    <row r="80" spans="1:10" ht="25.5" hidden="1">
      <c r="A80" s="16" t="s">
        <v>36</v>
      </c>
      <c r="B80" s="14">
        <v>763</v>
      </c>
      <c r="C80" s="15" t="s">
        <v>55</v>
      </c>
      <c r="D80" s="15" t="s">
        <v>90</v>
      </c>
      <c r="E80" s="15" t="s">
        <v>589</v>
      </c>
      <c r="F80" s="15" t="s">
        <v>37</v>
      </c>
      <c r="G80" s="74">
        <f>SUM(G81)</f>
        <v>0</v>
      </c>
      <c r="H80" s="74">
        <f>SUM(H81)</f>
        <v>0</v>
      </c>
      <c r="I80" s="74">
        <f>SUM(I81)</f>
        <v>0</v>
      </c>
      <c r="J80" s="1"/>
    </row>
    <row r="81" spans="1:10" ht="25.5" hidden="1" customHeight="1">
      <c r="A81" s="16" t="s">
        <v>38</v>
      </c>
      <c r="B81" s="14">
        <v>763</v>
      </c>
      <c r="C81" s="15" t="s">
        <v>55</v>
      </c>
      <c r="D81" s="15" t="s">
        <v>90</v>
      </c>
      <c r="E81" s="15" t="s">
        <v>589</v>
      </c>
      <c r="F81" s="15" t="s">
        <v>39</v>
      </c>
      <c r="G81" s="74"/>
      <c r="H81" s="74">
        <v>0</v>
      </c>
      <c r="I81" s="74">
        <v>0</v>
      </c>
      <c r="J81" s="1"/>
    </row>
    <row r="82" spans="1:10" ht="34.5" customHeight="1">
      <c r="A82" s="16" t="s">
        <v>604</v>
      </c>
      <c r="B82" s="14">
        <v>763</v>
      </c>
      <c r="C82" s="15" t="s">
        <v>55</v>
      </c>
      <c r="D82" s="15" t="s">
        <v>90</v>
      </c>
      <c r="E82" s="15" t="s">
        <v>603</v>
      </c>
      <c r="F82" s="15"/>
      <c r="G82" s="74">
        <f>G83</f>
        <v>0</v>
      </c>
      <c r="H82" s="74">
        <f t="shared" ref="H82:I82" si="13">H83</f>
        <v>40000</v>
      </c>
      <c r="I82" s="74">
        <f t="shared" si="13"/>
        <v>40000</v>
      </c>
      <c r="J82" s="1"/>
    </row>
    <row r="83" spans="1:10" ht="25.5">
      <c r="A83" s="16" t="s">
        <v>36</v>
      </c>
      <c r="B83" s="14">
        <v>763</v>
      </c>
      <c r="C83" s="15" t="s">
        <v>55</v>
      </c>
      <c r="D83" s="15" t="s">
        <v>90</v>
      </c>
      <c r="E83" s="15" t="s">
        <v>603</v>
      </c>
      <c r="F83" s="15" t="s">
        <v>37</v>
      </c>
      <c r="G83" s="74">
        <f>SUM(G84)</f>
        <v>0</v>
      </c>
      <c r="H83" s="74">
        <f>SUM(H84)</f>
        <v>40000</v>
      </c>
      <c r="I83" s="74">
        <f>SUM(I84)</f>
        <v>40000</v>
      </c>
      <c r="J83" s="1"/>
    </row>
    <row r="84" spans="1:10" ht="30.75" customHeight="1">
      <c r="A84" s="16" t="s">
        <v>38</v>
      </c>
      <c r="B84" s="14">
        <v>763</v>
      </c>
      <c r="C84" s="15" t="s">
        <v>55</v>
      </c>
      <c r="D84" s="15" t="s">
        <v>90</v>
      </c>
      <c r="E84" s="15" t="s">
        <v>603</v>
      </c>
      <c r="F84" s="15" t="s">
        <v>39</v>
      </c>
      <c r="G84" s="74">
        <f>'прил 5'!G341</f>
        <v>0</v>
      </c>
      <c r="H84" s="74">
        <f>'прил 5'!H341</f>
        <v>40000</v>
      </c>
      <c r="I84" s="74">
        <f>'прил 5'!I341</f>
        <v>40000</v>
      </c>
      <c r="J84" s="1"/>
    </row>
    <row r="85" spans="1:10" ht="34.5" hidden="1" customHeight="1">
      <c r="A85" s="16" t="s">
        <v>830</v>
      </c>
      <c r="B85" s="14">
        <v>763</v>
      </c>
      <c r="C85" s="15" t="s">
        <v>55</v>
      </c>
      <c r="D85" s="15" t="s">
        <v>90</v>
      </c>
      <c r="E85" s="15" t="s">
        <v>829</v>
      </c>
      <c r="F85" s="15"/>
      <c r="G85" s="74">
        <f>G86</f>
        <v>0</v>
      </c>
      <c r="H85" s="74">
        <f>SUM(H86)</f>
        <v>0</v>
      </c>
      <c r="I85" s="74">
        <f>SUM(I86)</f>
        <v>0</v>
      </c>
      <c r="J85" s="1"/>
    </row>
    <row r="86" spans="1:10" ht="25.5" hidden="1">
      <c r="A86" s="16" t="s">
        <v>36</v>
      </c>
      <c r="B86" s="14">
        <v>763</v>
      </c>
      <c r="C86" s="15" t="s">
        <v>55</v>
      </c>
      <c r="D86" s="15" t="s">
        <v>90</v>
      </c>
      <c r="E86" s="15" t="s">
        <v>829</v>
      </c>
      <c r="F86" s="15" t="s">
        <v>37</v>
      </c>
      <c r="G86" s="74">
        <f>SUM(G87)</f>
        <v>0</v>
      </c>
      <c r="H86" s="74">
        <f>SUM(H87)</f>
        <v>0</v>
      </c>
      <c r="I86" s="74">
        <f>SUM(I87)</f>
        <v>0</v>
      </c>
      <c r="J86" s="1"/>
    </row>
    <row r="87" spans="1:10" ht="30.75" hidden="1" customHeight="1">
      <c r="A87" s="16" t="s">
        <v>38</v>
      </c>
      <c r="B87" s="14">
        <v>763</v>
      </c>
      <c r="C87" s="15" t="s">
        <v>55</v>
      </c>
      <c r="D87" s="15" t="s">
        <v>90</v>
      </c>
      <c r="E87" s="15" t="s">
        <v>829</v>
      </c>
      <c r="F87" s="15" t="s">
        <v>39</v>
      </c>
      <c r="G87" s="74"/>
      <c r="H87" s="74">
        <v>0</v>
      </c>
      <c r="I87" s="74">
        <v>0</v>
      </c>
      <c r="J87" s="1"/>
    </row>
    <row r="88" spans="1:10" ht="34.5" customHeight="1">
      <c r="A88" s="16" t="s">
        <v>841</v>
      </c>
      <c r="B88" s="14">
        <v>763</v>
      </c>
      <c r="C88" s="15" t="s">
        <v>55</v>
      </c>
      <c r="D88" s="15" t="s">
        <v>90</v>
      </c>
      <c r="E88" s="15" t="s">
        <v>840</v>
      </c>
      <c r="F88" s="15"/>
      <c r="G88" s="74">
        <f>G89</f>
        <v>19950</v>
      </c>
      <c r="H88" s="74">
        <f>SUM(H89)</f>
        <v>0</v>
      </c>
      <c r="I88" s="74">
        <f>SUM(I89)</f>
        <v>0</v>
      </c>
      <c r="J88" s="1"/>
    </row>
    <row r="89" spans="1:10" ht="25.5">
      <c r="A89" s="16" t="s">
        <v>36</v>
      </c>
      <c r="B89" s="14">
        <v>763</v>
      </c>
      <c r="C89" s="15" t="s">
        <v>55</v>
      </c>
      <c r="D89" s="15" t="s">
        <v>90</v>
      </c>
      <c r="E89" s="15" t="s">
        <v>840</v>
      </c>
      <c r="F89" s="15" t="s">
        <v>37</v>
      </c>
      <c r="G89" s="74">
        <f>SUM(G90)</f>
        <v>19950</v>
      </c>
      <c r="H89" s="74">
        <f>SUM(H90)</f>
        <v>0</v>
      </c>
      <c r="I89" s="74">
        <f>SUM(I90)</f>
        <v>0</v>
      </c>
      <c r="J89" s="1"/>
    </row>
    <row r="90" spans="1:10" ht="30.75" customHeight="1">
      <c r="A90" s="16" t="s">
        <v>38</v>
      </c>
      <c r="B90" s="14">
        <v>763</v>
      </c>
      <c r="C90" s="15" t="s">
        <v>55</v>
      </c>
      <c r="D90" s="15" t="s">
        <v>90</v>
      </c>
      <c r="E90" s="15" t="s">
        <v>840</v>
      </c>
      <c r="F90" s="15" t="s">
        <v>39</v>
      </c>
      <c r="G90" s="74">
        <f>40000-20050</f>
        <v>19950</v>
      </c>
      <c r="H90" s="74"/>
      <c r="I90" s="74"/>
      <c r="J90" s="1"/>
    </row>
    <row r="91" spans="1:10" ht="40.5" customHeight="1">
      <c r="A91" s="16" t="s">
        <v>827</v>
      </c>
      <c r="B91" s="14">
        <v>763</v>
      </c>
      <c r="C91" s="15" t="s">
        <v>55</v>
      </c>
      <c r="D91" s="15" t="s">
        <v>180</v>
      </c>
      <c r="E91" s="14" t="s">
        <v>839</v>
      </c>
      <c r="F91" s="14"/>
      <c r="G91" s="74">
        <f>G92</f>
        <v>660000</v>
      </c>
      <c r="H91" s="74">
        <f>H93</f>
        <v>0</v>
      </c>
      <c r="I91" s="74">
        <f>I93</f>
        <v>0</v>
      </c>
      <c r="J91" s="1"/>
    </row>
    <row r="92" spans="1:10" ht="25.5">
      <c r="A92" s="16" t="s">
        <v>36</v>
      </c>
      <c r="B92" s="14">
        <v>763</v>
      </c>
      <c r="C92" s="15" t="s">
        <v>55</v>
      </c>
      <c r="D92" s="15" t="s">
        <v>180</v>
      </c>
      <c r="E92" s="14" t="s">
        <v>839</v>
      </c>
      <c r="F92" s="14">
        <v>200</v>
      </c>
      <c r="G92" s="74">
        <f t="shared" ref="G92:I92" si="14">G93</f>
        <v>660000</v>
      </c>
      <c r="H92" s="74">
        <f t="shared" si="14"/>
        <v>0</v>
      </c>
      <c r="I92" s="74">
        <f t="shared" si="14"/>
        <v>0</v>
      </c>
      <c r="J92" s="1"/>
    </row>
    <row r="93" spans="1:10" ht="48" customHeight="1">
      <c r="A93" s="16" t="s">
        <v>38</v>
      </c>
      <c r="B93" s="14">
        <v>763</v>
      </c>
      <c r="C93" s="15" t="s">
        <v>55</v>
      </c>
      <c r="D93" s="15" t="s">
        <v>180</v>
      </c>
      <c r="E93" s="14" t="s">
        <v>839</v>
      </c>
      <c r="F93" s="14">
        <v>240</v>
      </c>
      <c r="G93" s="74">
        <f>'прил 5'!G321</f>
        <v>660000</v>
      </c>
      <c r="H93" s="8">
        <v>0</v>
      </c>
      <c r="I93" s="8">
        <v>0</v>
      </c>
      <c r="J93" s="1"/>
    </row>
    <row r="94" spans="1:10" ht="34.5" customHeight="1">
      <c r="A94" s="16" t="s">
        <v>844</v>
      </c>
      <c r="B94" s="14">
        <v>763</v>
      </c>
      <c r="C94" s="15" t="s">
        <v>55</v>
      </c>
      <c r="D94" s="15" t="s">
        <v>90</v>
      </c>
      <c r="E94" s="15" t="s">
        <v>843</v>
      </c>
      <c r="F94" s="15"/>
      <c r="G94" s="74">
        <f>G95</f>
        <v>599000</v>
      </c>
      <c r="H94" s="74">
        <f>SUM(H95)</f>
        <v>0</v>
      </c>
      <c r="I94" s="74">
        <f>SUM(I95)</f>
        <v>0</v>
      </c>
      <c r="J94" s="1"/>
    </row>
    <row r="95" spans="1:10" ht="25.5">
      <c r="A95" s="16" t="s">
        <v>36</v>
      </c>
      <c r="B95" s="14">
        <v>763</v>
      </c>
      <c r="C95" s="15" t="s">
        <v>55</v>
      </c>
      <c r="D95" s="15" t="s">
        <v>90</v>
      </c>
      <c r="E95" s="15" t="s">
        <v>843</v>
      </c>
      <c r="F95" s="15" t="s">
        <v>37</v>
      </c>
      <c r="G95" s="74">
        <f>SUM(G96)</f>
        <v>599000</v>
      </c>
      <c r="H95" s="74">
        <f>SUM(H96)</f>
        <v>0</v>
      </c>
      <c r="I95" s="74">
        <f>SUM(I96)</f>
        <v>0</v>
      </c>
      <c r="J95" s="1"/>
    </row>
    <row r="96" spans="1:10" ht="30.75" customHeight="1">
      <c r="A96" s="16" t="s">
        <v>38</v>
      </c>
      <c r="B96" s="14">
        <v>763</v>
      </c>
      <c r="C96" s="15" t="s">
        <v>55</v>
      </c>
      <c r="D96" s="15" t="s">
        <v>90</v>
      </c>
      <c r="E96" s="15" t="s">
        <v>843</v>
      </c>
      <c r="F96" s="15" t="s">
        <v>39</v>
      </c>
      <c r="G96" s="74">
        <v>599000</v>
      </c>
      <c r="H96" s="74"/>
      <c r="I96" s="74"/>
      <c r="J96" s="1"/>
    </row>
    <row r="97" spans="1:10" s="136" customFormat="1" ht="48" customHeight="1">
      <c r="A97" s="131" t="s">
        <v>876</v>
      </c>
      <c r="B97" s="127">
        <v>793</v>
      </c>
      <c r="C97" s="128" t="s">
        <v>70</v>
      </c>
      <c r="D97" s="128" t="s">
        <v>71</v>
      </c>
      <c r="E97" s="128" t="s">
        <v>270</v>
      </c>
      <c r="F97" s="128"/>
      <c r="G97" s="129">
        <f>G98</f>
        <v>3737309.81</v>
      </c>
      <c r="H97" s="129">
        <f t="shared" ref="H97:I97" si="15">H98</f>
        <v>200000</v>
      </c>
      <c r="I97" s="129">
        <f t="shared" si="15"/>
        <v>200000</v>
      </c>
      <c r="J97" s="157">
        <v>100000</v>
      </c>
    </row>
    <row r="98" spans="1:10" ht="42.75" customHeight="1">
      <c r="A98" s="16" t="s">
        <v>133</v>
      </c>
      <c r="B98" s="14">
        <v>793</v>
      </c>
      <c r="C98" s="15" t="s">
        <v>70</v>
      </c>
      <c r="D98" s="15" t="s">
        <v>71</v>
      </c>
      <c r="E98" s="15" t="s">
        <v>270</v>
      </c>
      <c r="F98" s="15"/>
      <c r="G98" s="102">
        <f>G99+G102+G106+G109+G112+G115+G118+G121</f>
        <v>3737309.81</v>
      </c>
      <c r="H98" s="102">
        <f>H99+H102+H106+H109+H112+H115+H118+H121</f>
        <v>200000</v>
      </c>
      <c r="I98" s="102">
        <f>I99+I102+I106+I109+I112+I115+I118+I121</f>
        <v>200000</v>
      </c>
    </row>
    <row r="99" spans="1:10" s="18" customFormat="1" ht="25.5" hidden="1">
      <c r="A99" s="16" t="s">
        <v>492</v>
      </c>
      <c r="B99" s="15" t="s">
        <v>97</v>
      </c>
      <c r="C99" s="15" t="s">
        <v>26</v>
      </c>
      <c r="D99" s="15" t="s">
        <v>28</v>
      </c>
      <c r="E99" s="15" t="s">
        <v>462</v>
      </c>
      <c r="F99" s="15"/>
      <c r="G99" s="74">
        <f>G100</f>
        <v>0</v>
      </c>
      <c r="H99" s="74">
        <f t="shared" ref="H99:I99" si="16">H100</f>
        <v>0</v>
      </c>
      <c r="I99" s="74">
        <f t="shared" si="16"/>
        <v>0</v>
      </c>
      <c r="J99" s="17"/>
    </row>
    <row r="100" spans="1:10" s="18" customFormat="1" ht="25.5" hidden="1">
      <c r="A100" s="16" t="s">
        <v>99</v>
      </c>
      <c r="B100" s="15" t="s">
        <v>97</v>
      </c>
      <c r="C100" s="15" t="s">
        <v>26</v>
      </c>
      <c r="D100" s="15" t="s">
        <v>28</v>
      </c>
      <c r="E100" s="15" t="s">
        <v>462</v>
      </c>
      <c r="F100" s="15" t="s">
        <v>359</v>
      </c>
      <c r="G100" s="74">
        <f>G101</f>
        <v>0</v>
      </c>
      <c r="H100" s="74">
        <f>H101</f>
        <v>0</v>
      </c>
      <c r="I100" s="74">
        <f>I101</f>
        <v>0</v>
      </c>
      <c r="J100" s="17"/>
    </row>
    <row r="101" spans="1:10" s="18" customFormat="1" ht="89.25" hidden="1">
      <c r="A101" s="50" t="s">
        <v>434</v>
      </c>
      <c r="B101" s="15" t="s">
        <v>97</v>
      </c>
      <c r="C101" s="15" t="s">
        <v>26</v>
      </c>
      <c r="D101" s="15" t="s">
        <v>28</v>
      </c>
      <c r="E101" s="15" t="s">
        <v>462</v>
      </c>
      <c r="F101" s="15" t="s">
        <v>433</v>
      </c>
      <c r="G101" s="74">
        <f>'прил 5'!G562</f>
        <v>0</v>
      </c>
      <c r="H101" s="27">
        <f>'прил 5'!H562+'прил 5'!H562</f>
        <v>0</v>
      </c>
      <c r="I101" s="27">
        <f>'прил 5'!I562+'прил 5'!I562</f>
        <v>0</v>
      </c>
      <c r="J101" s="17"/>
    </row>
    <row r="102" spans="1:10" s="18" customFormat="1" ht="25.5" hidden="1" customHeight="1">
      <c r="A102" s="16" t="s">
        <v>538</v>
      </c>
      <c r="B102" s="49">
        <v>795</v>
      </c>
      <c r="C102" s="15" t="s">
        <v>180</v>
      </c>
      <c r="D102" s="15" t="s">
        <v>28</v>
      </c>
      <c r="E102" s="15" t="s">
        <v>537</v>
      </c>
      <c r="F102" s="15"/>
      <c r="G102" s="74">
        <f>G103</f>
        <v>0</v>
      </c>
      <c r="H102" s="74">
        <f t="shared" ref="H102:I102" si="17">H103</f>
        <v>0</v>
      </c>
      <c r="I102" s="74">
        <f t="shared" si="17"/>
        <v>0</v>
      </c>
    </row>
    <row r="103" spans="1:10" s="18" customFormat="1" ht="48" hidden="1" customHeight="1">
      <c r="A103" s="16" t="s">
        <v>573</v>
      </c>
      <c r="B103" s="49">
        <v>795</v>
      </c>
      <c r="C103" s="15" t="s">
        <v>180</v>
      </c>
      <c r="D103" s="15" t="s">
        <v>28</v>
      </c>
      <c r="E103" s="15" t="s">
        <v>572</v>
      </c>
      <c r="F103" s="15"/>
      <c r="G103" s="74">
        <f>G104</f>
        <v>0</v>
      </c>
      <c r="H103" s="74">
        <f t="shared" ref="H103:I104" si="18">H104</f>
        <v>0</v>
      </c>
      <c r="I103" s="74">
        <f t="shared" si="18"/>
        <v>0</v>
      </c>
    </row>
    <row r="104" spans="1:10" s="18" customFormat="1" hidden="1">
      <c r="A104" s="16" t="s">
        <v>163</v>
      </c>
      <c r="B104" s="49">
        <v>795</v>
      </c>
      <c r="C104" s="15" t="s">
        <v>180</v>
      </c>
      <c r="D104" s="15" t="s">
        <v>28</v>
      </c>
      <c r="E104" s="15" t="s">
        <v>572</v>
      </c>
      <c r="F104" s="15" t="s">
        <v>164</v>
      </c>
      <c r="G104" s="74">
        <f>G105</f>
        <v>0</v>
      </c>
      <c r="H104" s="74">
        <f t="shared" si="18"/>
        <v>0</v>
      </c>
      <c r="I104" s="74">
        <f t="shared" si="18"/>
        <v>0</v>
      </c>
    </row>
    <row r="105" spans="1:10" s="18" customFormat="1" hidden="1">
      <c r="A105" s="16" t="s">
        <v>177</v>
      </c>
      <c r="B105" s="49">
        <v>795</v>
      </c>
      <c r="C105" s="15" t="s">
        <v>180</v>
      </c>
      <c r="D105" s="15" t="s">
        <v>28</v>
      </c>
      <c r="E105" s="15" t="s">
        <v>572</v>
      </c>
      <c r="F105" s="15" t="s">
        <v>178</v>
      </c>
      <c r="G105" s="74">
        <f>'прил 5'!G1410</f>
        <v>0</v>
      </c>
      <c r="H105" s="74">
        <f>'прил 5'!H1410</f>
        <v>0</v>
      </c>
      <c r="I105" s="74">
        <v>0</v>
      </c>
    </row>
    <row r="106" spans="1:10" s="18" customFormat="1" ht="56.25" hidden="1" customHeight="1">
      <c r="A106" s="16" t="s">
        <v>617</v>
      </c>
      <c r="B106" s="14">
        <v>757</v>
      </c>
      <c r="C106" s="15" t="s">
        <v>45</v>
      </c>
      <c r="D106" s="15" t="s">
        <v>19</v>
      </c>
      <c r="E106" s="15" t="s">
        <v>616</v>
      </c>
      <c r="F106" s="15"/>
      <c r="G106" s="74">
        <f>G107</f>
        <v>0</v>
      </c>
      <c r="H106" s="74">
        <f t="shared" ref="H106:I107" si="19">H107</f>
        <v>0</v>
      </c>
      <c r="I106" s="74">
        <f t="shared" si="19"/>
        <v>0</v>
      </c>
    </row>
    <row r="107" spans="1:10" s="18" customFormat="1" ht="25.5" hidden="1">
      <c r="A107" s="16" t="s">
        <v>30</v>
      </c>
      <c r="B107" s="14">
        <v>757</v>
      </c>
      <c r="C107" s="15" t="s">
        <v>45</v>
      </c>
      <c r="D107" s="15" t="s">
        <v>19</v>
      </c>
      <c r="E107" s="15" t="s">
        <v>616</v>
      </c>
      <c r="F107" s="15" t="s">
        <v>31</v>
      </c>
      <c r="G107" s="74">
        <f>G108</f>
        <v>0</v>
      </c>
      <c r="H107" s="74">
        <f t="shared" si="19"/>
        <v>0</v>
      </c>
      <c r="I107" s="74">
        <f t="shared" si="19"/>
        <v>0</v>
      </c>
    </row>
    <row r="108" spans="1:10" s="18" customFormat="1" hidden="1">
      <c r="A108" s="16" t="s">
        <v>32</v>
      </c>
      <c r="B108" s="14">
        <v>757</v>
      </c>
      <c r="C108" s="15" t="s">
        <v>45</v>
      </c>
      <c r="D108" s="15" t="s">
        <v>19</v>
      </c>
      <c r="E108" s="15" t="s">
        <v>616</v>
      </c>
      <c r="F108" s="15" t="s">
        <v>33</v>
      </c>
      <c r="G108" s="74">
        <f>'прил 5'!G219</f>
        <v>0</v>
      </c>
      <c r="H108" s="74">
        <v>0</v>
      </c>
      <c r="I108" s="74">
        <v>0</v>
      </c>
    </row>
    <row r="109" spans="1:10" s="18" customFormat="1" ht="52.5" hidden="1" customHeight="1">
      <c r="A109" s="16" t="s">
        <v>569</v>
      </c>
      <c r="B109" s="15" t="s">
        <v>97</v>
      </c>
      <c r="C109" s="15" t="s">
        <v>26</v>
      </c>
      <c r="D109" s="15" t="s">
        <v>19</v>
      </c>
      <c r="E109" s="15" t="s">
        <v>568</v>
      </c>
      <c r="F109" s="15"/>
      <c r="G109" s="74">
        <f>G110</f>
        <v>0</v>
      </c>
      <c r="H109" s="74">
        <f t="shared" ref="H109:I110" si="20">H110</f>
        <v>0</v>
      </c>
      <c r="I109" s="74">
        <f t="shared" si="20"/>
        <v>0</v>
      </c>
    </row>
    <row r="110" spans="1:10" s="18" customFormat="1" ht="25.5" hidden="1">
      <c r="A110" s="16" t="s">
        <v>30</v>
      </c>
      <c r="B110" s="15" t="s">
        <v>97</v>
      </c>
      <c r="C110" s="15" t="s">
        <v>26</v>
      </c>
      <c r="D110" s="15" t="s">
        <v>19</v>
      </c>
      <c r="E110" s="15" t="s">
        <v>568</v>
      </c>
      <c r="F110" s="15" t="s">
        <v>31</v>
      </c>
      <c r="G110" s="74">
        <f>G111</f>
        <v>0</v>
      </c>
      <c r="H110" s="74">
        <f t="shared" si="20"/>
        <v>0</v>
      </c>
      <c r="I110" s="74">
        <f t="shared" si="20"/>
        <v>0</v>
      </c>
    </row>
    <row r="111" spans="1:10" s="18" customFormat="1" hidden="1">
      <c r="A111" s="16" t="s">
        <v>32</v>
      </c>
      <c r="B111" s="15" t="s">
        <v>97</v>
      </c>
      <c r="C111" s="15" t="s">
        <v>26</v>
      </c>
      <c r="D111" s="15" t="s">
        <v>19</v>
      </c>
      <c r="E111" s="15" t="s">
        <v>568</v>
      </c>
      <c r="F111" s="15" t="s">
        <v>33</v>
      </c>
      <c r="G111" s="74"/>
      <c r="H111" s="74">
        <v>0</v>
      </c>
      <c r="I111" s="74">
        <v>0</v>
      </c>
    </row>
    <row r="112" spans="1:10" ht="42.75" hidden="1" customHeight="1">
      <c r="A112" s="210" t="s">
        <v>883</v>
      </c>
      <c r="B112" s="14">
        <v>757</v>
      </c>
      <c r="C112" s="15" t="s">
        <v>45</v>
      </c>
      <c r="D112" s="15" t="s">
        <v>19</v>
      </c>
      <c r="E112" s="15" t="s">
        <v>882</v>
      </c>
      <c r="F112" s="14"/>
      <c r="G112" s="102">
        <f t="shared" ref="G112:I113" si="21">G113</f>
        <v>0</v>
      </c>
      <c r="H112" s="74">
        <f t="shared" si="21"/>
        <v>0</v>
      </c>
      <c r="I112" s="74">
        <f t="shared" si="21"/>
        <v>0</v>
      </c>
      <c r="J112" s="1"/>
    </row>
    <row r="113" spans="1:16" ht="25.5" hidden="1">
      <c r="A113" s="86" t="s">
        <v>30</v>
      </c>
      <c r="B113" s="14">
        <v>757</v>
      </c>
      <c r="C113" s="15" t="s">
        <v>45</v>
      </c>
      <c r="D113" s="15" t="s">
        <v>19</v>
      </c>
      <c r="E113" s="15" t="s">
        <v>882</v>
      </c>
      <c r="F113" s="15" t="s">
        <v>31</v>
      </c>
      <c r="G113" s="110">
        <f t="shared" si="21"/>
        <v>0</v>
      </c>
      <c r="H113" s="25">
        <f t="shared" si="21"/>
        <v>0</v>
      </c>
      <c r="I113" s="25">
        <f t="shared" si="21"/>
        <v>0</v>
      </c>
      <c r="J113" s="1"/>
    </row>
    <row r="114" spans="1:16" hidden="1">
      <c r="A114" s="86" t="s">
        <v>32</v>
      </c>
      <c r="B114" s="14">
        <v>757</v>
      </c>
      <c r="C114" s="15" t="s">
        <v>45</v>
      </c>
      <c r="D114" s="15" t="s">
        <v>19</v>
      </c>
      <c r="E114" s="15" t="s">
        <v>882</v>
      </c>
      <c r="F114" s="15" t="s">
        <v>33</v>
      </c>
      <c r="G114" s="25"/>
      <c r="H114" s="25">
        <v>0</v>
      </c>
      <c r="I114" s="25">
        <v>0</v>
      </c>
      <c r="J114" s="1"/>
    </row>
    <row r="115" spans="1:16" ht="34.5" customHeight="1">
      <c r="A115" s="50" t="s">
        <v>535</v>
      </c>
      <c r="B115" s="14">
        <v>793</v>
      </c>
      <c r="C115" s="15" t="s">
        <v>70</v>
      </c>
      <c r="D115" s="15" t="s">
        <v>71</v>
      </c>
      <c r="E115" s="15" t="s">
        <v>542</v>
      </c>
      <c r="F115" s="15"/>
      <c r="G115" s="74">
        <f>G116</f>
        <v>3737309.81</v>
      </c>
      <c r="H115" s="74">
        <f t="shared" ref="H115:I115" si="22">H116</f>
        <v>200000</v>
      </c>
      <c r="I115" s="74">
        <f t="shared" si="22"/>
        <v>200000</v>
      </c>
      <c r="J115" s="1"/>
    </row>
    <row r="116" spans="1:16" ht="21" customHeight="1">
      <c r="A116" s="16" t="s">
        <v>154</v>
      </c>
      <c r="B116" s="14">
        <v>793</v>
      </c>
      <c r="C116" s="15" t="s">
        <v>70</v>
      </c>
      <c r="D116" s="15" t="s">
        <v>71</v>
      </c>
      <c r="E116" s="15" t="s">
        <v>542</v>
      </c>
      <c r="F116" s="15" t="s">
        <v>155</v>
      </c>
      <c r="G116" s="74">
        <f>G117</f>
        <v>3737309.81</v>
      </c>
      <c r="H116" s="74">
        <f t="shared" ref="H116:I116" si="23">H117</f>
        <v>200000</v>
      </c>
      <c r="I116" s="74">
        <f t="shared" si="23"/>
        <v>200000</v>
      </c>
      <c r="J116" s="1"/>
    </row>
    <row r="117" spans="1:16" ht="30.75" customHeight="1">
      <c r="A117" s="16" t="s">
        <v>156</v>
      </c>
      <c r="B117" s="14">
        <v>793</v>
      </c>
      <c r="C117" s="15" t="s">
        <v>70</v>
      </c>
      <c r="D117" s="15" t="s">
        <v>71</v>
      </c>
      <c r="E117" s="15" t="s">
        <v>542</v>
      </c>
      <c r="F117" s="15" t="s">
        <v>157</v>
      </c>
      <c r="G117" s="74">
        <f>'прил 5'!G1137</f>
        <v>3737309.81</v>
      </c>
      <c r="H117" s="74">
        <f>'прил 5'!H1137</f>
        <v>200000</v>
      </c>
      <c r="I117" s="74">
        <f>'прил 5'!I1137</f>
        <v>200000</v>
      </c>
      <c r="J117" s="1"/>
    </row>
    <row r="118" spans="1:16" ht="60" hidden="1" customHeight="1">
      <c r="A118" s="50" t="s">
        <v>282</v>
      </c>
      <c r="B118" s="14">
        <v>793</v>
      </c>
      <c r="C118" s="15" t="s">
        <v>70</v>
      </c>
      <c r="D118" s="15" t="s">
        <v>71</v>
      </c>
      <c r="E118" s="15" t="s">
        <v>281</v>
      </c>
      <c r="F118" s="15"/>
      <c r="G118" s="74">
        <f>G119</f>
        <v>0</v>
      </c>
      <c r="H118" s="74">
        <f t="shared" ref="H118:I118" si="24">H119</f>
        <v>0</v>
      </c>
      <c r="I118" s="74">
        <f t="shared" si="24"/>
        <v>0</v>
      </c>
      <c r="J118" s="1"/>
    </row>
    <row r="119" spans="1:16" ht="21" hidden="1" customHeight="1">
      <c r="A119" s="16" t="s">
        <v>154</v>
      </c>
      <c r="B119" s="14">
        <v>793</v>
      </c>
      <c r="C119" s="15" t="s">
        <v>70</v>
      </c>
      <c r="D119" s="15" t="s">
        <v>71</v>
      </c>
      <c r="E119" s="15" t="s">
        <v>281</v>
      </c>
      <c r="F119" s="15" t="s">
        <v>155</v>
      </c>
      <c r="G119" s="74">
        <f>G120</f>
        <v>0</v>
      </c>
      <c r="H119" s="74">
        <f t="shared" ref="H119:I119" si="25">H120</f>
        <v>0</v>
      </c>
      <c r="I119" s="74">
        <f t="shared" si="25"/>
        <v>0</v>
      </c>
      <c r="J119" s="1"/>
    </row>
    <row r="120" spans="1:16" ht="30.75" hidden="1" customHeight="1">
      <c r="A120" s="16" t="s">
        <v>156</v>
      </c>
      <c r="B120" s="14">
        <v>793</v>
      </c>
      <c r="C120" s="15" t="s">
        <v>70</v>
      </c>
      <c r="D120" s="15" t="s">
        <v>71</v>
      </c>
      <c r="E120" s="15" t="s">
        <v>281</v>
      </c>
      <c r="F120" s="15" t="s">
        <v>157</v>
      </c>
      <c r="G120" s="74">
        <f>'прил 5'!G1141</f>
        <v>0</v>
      </c>
      <c r="H120" s="74">
        <f>'прил 5'!H1141</f>
        <v>0</v>
      </c>
      <c r="I120" s="74">
        <f>'прил 5'!I1141</f>
        <v>0</v>
      </c>
      <c r="J120" s="1"/>
    </row>
    <row r="121" spans="1:16" ht="30.75" hidden="1" customHeight="1">
      <c r="A121" s="16" t="s">
        <v>469</v>
      </c>
      <c r="B121" s="14">
        <v>793</v>
      </c>
      <c r="C121" s="15" t="s">
        <v>70</v>
      </c>
      <c r="D121" s="15" t="s">
        <v>71</v>
      </c>
      <c r="E121" s="15" t="s">
        <v>468</v>
      </c>
      <c r="F121" s="15"/>
      <c r="G121" s="74">
        <f t="shared" ref="G121:I122" si="26">G122</f>
        <v>0</v>
      </c>
      <c r="H121" s="8">
        <f t="shared" si="26"/>
        <v>0</v>
      </c>
      <c r="I121" s="8">
        <f t="shared" si="26"/>
        <v>0</v>
      </c>
    </row>
    <row r="122" spans="1:16" ht="30.75" hidden="1" customHeight="1">
      <c r="A122" s="16" t="s">
        <v>64</v>
      </c>
      <c r="B122" s="14">
        <v>793</v>
      </c>
      <c r="C122" s="15" t="s">
        <v>70</v>
      </c>
      <c r="D122" s="15" t="s">
        <v>71</v>
      </c>
      <c r="E122" s="15" t="s">
        <v>468</v>
      </c>
      <c r="F122" s="15" t="s">
        <v>65</v>
      </c>
      <c r="G122" s="74">
        <f t="shared" si="26"/>
        <v>0</v>
      </c>
      <c r="H122" s="8">
        <f t="shared" si="26"/>
        <v>0</v>
      </c>
      <c r="I122" s="8">
        <f t="shared" si="26"/>
        <v>0</v>
      </c>
    </row>
    <row r="123" spans="1:16" ht="30.75" hidden="1" customHeight="1">
      <c r="A123" s="16" t="s">
        <v>187</v>
      </c>
      <c r="B123" s="14">
        <v>793</v>
      </c>
      <c r="C123" s="15" t="s">
        <v>70</v>
      </c>
      <c r="D123" s="15" t="s">
        <v>71</v>
      </c>
      <c r="E123" s="15" t="s">
        <v>468</v>
      </c>
      <c r="F123" s="15" t="s">
        <v>188</v>
      </c>
      <c r="G123" s="74">
        <f>'прил 5'!G1144</f>
        <v>0</v>
      </c>
      <c r="H123" s="8">
        <f>'прил 5'!H1144</f>
        <v>0</v>
      </c>
      <c r="I123" s="8">
        <f>'прил 5'!I1144</f>
        <v>0</v>
      </c>
    </row>
    <row r="124" spans="1:16" s="136" customFormat="1" ht="43.5" customHeight="1">
      <c r="A124" s="135" t="s">
        <v>740</v>
      </c>
      <c r="B124" s="127">
        <v>793</v>
      </c>
      <c r="C124" s="128" t="s">
        <v>19</v>
      </c>
      <c r="D124" s="128" t="s">
        <v>55</v>
      </c>
      <c r="E124" s="127" t="s">
        <v>250</v>
      </c>
      <c r="F124" s="127"/>
      <c r="G124" s="129">
        <f>G125+G130+G129+G143+G136+G133</f>
        <v>1499975</v>
      </c>
      <c r="H124" s="129">
        <f>H125+H130+H129+H143+H136</f>
        <v>770800</v>
      </c>
      <c r="I124" s="129">
        <f>I125+I130+I129+I143+I136</f>
        <v>765400</v>
      </c>
      <c r="J124" s="157">
        <v>25000</v>
      </c>
      <c r="P124" s="157"/>
    </row>
    <row r="125" spans="1:16" ht="25.5">
      <c r="A125" s="16" t="s">
        <v>333</v>
      </c>
      <c r="B125" s="14">
        <v>793</v>
      </c>
      <c r="C125" s="15" t="s">
        <v>19</v>
      </c>
      <c r="D125" s="15" t="s">
        <v>55</v>
      </c>
      <c r="E125" s="15" t="s">
        <v>251</v>
      </c>
      <c r="F125" s="15"/>
      <c r="G125" s="74">
        <f t="shared" ref="G125:I126" si="27">G126</f>
        <v>35000</v>
      </c>
      <c r="H125" s="102">
        <f t="shared" si="27"/>
        <v>35000</v>
      </c>
      <c r="I125" s="102">
        <f t="shared" si="27"/>
        <v>35000</v>
      </c>
      <c r="J125" s="2">
        <v>190700</v>
      </c>
    </row>
    <row r="126" spans="1:16">
      <c r="A126" s="16" t="s">
        <v>334</v>
      </c>
      <c r="B126" s="14">
        <v>793</v>
      </c>
      <c r="C126" s="15" t="s">
        <v>19</v>
      </c>
      <c r="D126" s="15" t="s">
        <v>55</v>
      </c>
      <c r="E126" s="15" t="s">
        <v>251</v>
      </c>
      <c r="F126" s="15" t="s">
        <v>37</v>
      </c>
      <c r="G126" s="74">
        <f t="shared" si="27"/>
        <v>35000</v>
      </c>
      <c r="H126" s="102">
        <f t="shared" si="27"/>
        <v>35000</v>
      </c>
      <c r="I126" s="102">
        <f t="shared" si="27"/>
        <v>35000</v>
      </c>
      <c r="J126" s="2">
        <v>400000</v>
      </c>
    </row>
    <row r="127" spans="1:16" ht="25.5">
      <c r="A127" s="16" t="s">
        <v>38</v>
      </c>
      <c r="B127" s="14">
        <v>793</v>
      </c>
      <c r="C127" s="15" t="s">
        <v>19</v>
      </c>
      <c r="D127" s="15" t="s">
        <v>55</v>
      </c>
      <c r="E127" s="15" t="s">
        <v>251</v>
      </c>
      <c r="F127" s="15" t="s">
        <v>39</v>
      </c>
      <c r="G127" s="74">
        <f>'прил 5'!G837</f>
        <v>35000</v>
      </c>
      <c r="H127" s="102">
        <f>'прил 5'!H837</f>
        <v>35000</v>
      </c>
      <c r="I127" s="102">
        <f>'прил 5'!I837</f>
        <v>35000</v>
      </c>
      <c r="J127" s="2">
        <f>SUM(J124:J126)</f>
        <v>615700</v>
      </c>
    </row>
    <row r="128" spans="1:16" ht="30.75" customHeight="1">
      <c r="A128" s="16" t="s">
        <v>355</v>
      </c>
      <c r="B128" s="14">
        <v>793</v>
      </c>
      <c r="C128" s="15" t="s">
        <v>55</v>
      </c>
      <c r="D128" s="15" t="s">
        <v>90</v>
      </c>
      <c r="E128" s="14" t="s">
        <v>407</v>
      </c>
      <c r="F128" s="14"/>
      <c r="G128" s="74">
        <f>G129</f>
        <v>874975</v>
      </c>
      <c r="H128" s="102">
        <f>H129</f>
        <v>335800</v>
      </c>
      <c r="I128" s="102">
        <f>I129</f>
        <v>330400</v>
      </c>
    </row>
    <row r="129" spans="1:10" ht="45.75" customHeight="1">
      <c r="A129" s="16" t="s">
        <v>351</v>
      </c>
      <c r="B129" s="14">
        <v>793</v>
      </c>
      <c r="C129" s="15" t="s">
        <v>55</v>
      </c>
      <c r="D129" s="15" t="s">
        <v>90</v>
      </c>
      <c r="E129" s="14" t="s">
        <v>407</v>
      </c>
      <c r="F129" s="14">
        <v>810</v>
      </c>
      <c r="G129" s="74">
        <f>'прил 5'!G1081</f>
        <v>874975</v>
      </c>
      <c r="H129" s="102">
        <f>'прил 5'!H1081</f>
        <v>335800</v>
      </c>
      <c r="I129" s="102">
        <f>'прил 5'!I1081</f>
        <v>330400</v>
      </c>
    </row>
    <row r="130" spans="1:10" ht="47.25" customHeight="1">
      <c r="A130" s="16" t="s">
        <v>115</v>
      </c>
      <c r="B130" s="14">
        <v>793</v>
      </c>
      <c r="C130" s="15" t="s">
        <v>55</v>
      </c>
      <c r="D130" s="15" t="s">
        <v>90</v>
      </c>
      <c r="E130" s="14" t="s">
        <v>266</v>
      </c>
      <c r="F130" s="14"/>
      <c r="G130" s="74">
        <f t="shared" ref="G130:I131" si="28">G131</f>
        <v>590000</v>
      </c>
      <c r="H130" s="102">
        <f t="shared" si="28"/>
        <v>400000</v>
      </c>
      <c r="I130" s="102">
        <f t="shared" si="28"/>
        <v>400000</v>
      </c>
    </row>
    <row r="131" spans="1:10">
      <c r="A131" s="16" t="s">
        <v>64</v>
      </c>
      <c r="B131" s="14">
        <v>793</v>
      </c>
      <c r="C131" s="15" t="s">
        <v>55</v>
      </c>
      <c r="D131" s="15" t="s">
        <v>90</v>
      </c>
      <c r="E131" s="14" t="s">
        <v>266</v>
      </c>
      <c r="F131" s="14">
        <v>800</v>
      </c>
      <c r="G131" s="74">
        <f t="shared" si="28"/>
        <v>590000</v>
      </c>
      <c r="H131" s="102">
        <f t="shared" si="28"/>
        <v>400000</v>
      </c>
      <c r="I131" s="102">
        <f t="shared" si="28"/>
        <v>400000</v>
      </c>
    </row>
    <row r="132" spans="1:10" ht="51" customHeight="1">
      <c r="A132" s="16" t="s">
        <v>351</v>
      </c>
      <c r="B132" s="14">
        <v>793</v>
      </c>
      <c r="C132" s="15" t="s">
        <v>55</v>
      </c>
      <c r="D132" s="15" t="s">
        <v>90</v>
      </c>
      <c r="E132" s="14" t="s">
        <v>266</v>
      </c>
      <c r="F132" s="14">
        <v>810</v>
      </c>
      <c r="G132" s="74">
        <f>'прил 5'!G1084</f>
        <v>590000</v>
      </c>
      <c r="H132" s="102">
        <f>'прил 5'!H1084</f>
        <v>400000</v>
      </c>
      <c r="I132" s="102">
        <f>'прил 5'!I1084</f>
        <v>400000</v>
      </c>
    </row>
    <row r="133" spans="1:10" ht="40.5" hidden="1" customHeight="1">
      <c r="A133" s="16" t="s">
        <v>827</v>
      </c>
      <c r="B133" s="14">
        <v>793</v>
      </c>
      <c r="C133" s="15" t="s">
        <v>55</v>
      </c>
      <c r="D133" s="15" t="s">
        <v>180</v>
      </c>
      <c r="E133" s="14" t="s">
        <v>663</v>
      </c>
      <c r="F133" s="14"/>
      <c r="G133" s="74">
        <f>G134</f>
        <v>0</v>
      </c>
      <c r="H133" s="74">
        <f>H135</f>
        <v>0</v>
      </c>
      <c r="I133" s="74">
        <f>I135</f>
        <v>0</v>
      </c>
      <c r="J133" s="1"/>
    </row>
    <row r="134" spans="1:10" hidden="1">
      <c r="A134" s="16" t="s">
        <v>64</v>
      </c>
      <c r="B134" s="14">
        <v>793</v>
      </c>
      <c r="C134" s="15" t="s">
        <v>55</v>
      </c>
      <c r="D134" s="15" t="s">
        <v>180</v>
      </c>
      <c r="E134" s="14" t="s">
        <v>663</v>
      </c>
      <c r="F134" s="14">
        <v>800</v>
      </c>
      <c r="G134" s="74">
        <f t="shared" ref="G134:I134" si="29">G135</f>
        <v>0</v>
      </c>
      <c r="H134" s="74">
        <f t="shared" si="29"/>
        <v>0</v>
      </c>
      <c r="I134" s="74">
        <f t="shared" si="29"/>
        <v>0</v>
      </c>
      <c r="J134" s="1"/>
    </row>
    <row r="135" spans="1:10" ht="31.5" hidden="1" customHeight="1">
      <c r="A135" s="16" t="s">
        <v>447</v>
      </c>
      <c r="B135" s="14">
        <v>793</v>
      </c>
      <c r="C135" s="15" t="s">
        <v>55</v>
      </c>
      <c r="D135" s="15" t="s">
        <v>180</v>
      </c>
      <c r="E135" s="14" t="s">
        <v>663</v>
      </c>
      <c r="F135" s="14">
        <v>810</v>
      </c>
      <c r="G135" s="74"/>
      <c r="H135" s="8">
        <v>0</v>
      </c>
      <c r="I135" s="8">
        <v>0</v>
      </c>
      <c r="J135" s="1"/>
    </row>
    <row r="136" spans="1:10" ht="47.25" hidden="1" customHeight="1">
      <c r="A136" s="16" t="s">
        <v>768</v>
      </c>
      <c r="B136" s="14">
        <v>793</v>
      </c>
      <c r="C136" s="15" t="s">
        <v>55</v>
      </c>
      <c r="D136" s="15" t="s">
        <v>90</v>
      </c>
      <c r="E136" s="14" t="s">
        <v>767</v>
      </c>
      <c r="F136" s="14"/>
      <c r="G136" s="74">
        <f>G137+G139+G141</f>
        <v>0</v>
      </c>
      <c r="H136" s="74">
        <f>H137</f>
        <v>0</v>
      </c>
      <c r="I136" s="74">
        <f>I137</f>
        <v>0</v>
      </c>
      <c r="J136" s="1"/>
    </row>
    <row r="137" spans="1:10" ht="30.75" hidden="1" customHeight="1">
      <c r="A137" s="16" t="s">
        <v>334</v>
      </c>
      <c r="B137" s="14">
        <v>793</v>
      </c>
      <c r="C137" s="15" t="s">
        <v>55</v>
      </c>
      <c r="D137" s="15" t="s">
        <v>90</v>
      </c>
      <c r="E137" s="14" t="s">
        <v>767</v>
      </c>
      <c r="F137" s="14">
        <v>200</v>
      </c>
      <c r="G137" s="74">
        <f t="shared" ref="G137:I137" si="30">G138</f>
        <v>0</v>
      </c>
      <c r="H137" s="74">
        <f t="shared" si="30"/>
        <v>0</v>
      </c>
      <c r="I137" s="74">
        <f t="shared" si="30"/>
        <v>0</v>
      </c>
      <c r="J137" s="1"/>
    </row>
    <row r="138" spans="1:10" ht="33.75" hidden="1" customHeight="1">
      <c r="A138" s="16" t="s">
        <v>38</v>
      </c>
      <c r="B138" s="14">
        <v>793</v>
      </c>
      <c r="C138" s="15" t="s">
        <v>55</v>
      </c>
      <c r="D138" s="15" t="s">
        <v>90</v>
      </c>
      <c r="E138" s="14" t="s">
        <v>767</v>
      </c>
      <c r="F138" s="14">
        <v>240</v>
      </c>
      <c r="G138" s="74">
        <f>'прил 5'!G1087</f>
        <v>0</v>
      </c>
      <c r="H138" s="74">
        <v>0</v>
      </c>
      <c r="I138" s="74">
        <v>0</v>
      </c>
      <c r="J138" s="1"/>
    </row>
    <row r="139" spans="1:10" ht="20.25" hidden="1" customHeight="1">
      <c r="A139" s="16" t="s">
        <v>163</v>
      </c>
      <c r="B139" s="14"/>
      <c r="C139" s="15"/>
      <c r="D139" s="15"/>
      <c r="E139" s="14" t="s">
        <v>663</v>
      </c>
      <c r="F139" s="14">
        <v>500</v>
      </c>
      <c r="G139" s="74">
        <f>G140</f>
        <v>0</v>
      </c>
      <c r="H139" s="74"/>
      <c r="I139" s="74"/>
      <c r="J139" s="1"/>
    </row>
    <row r="140" spans="1:10" ht="20.25" hidden="1" customHeight="1">
      <c r="A140" s="16" t="s">
        <v>177</v>
      </c>
      <c r="B140" s="14"/>
      <c r="C140" s="15"/>
      <c r="D140" s="15"/>
      <c r="E140" s="14" t="s">
        <v>663</v>
      </c>
      <c r="F140" s="14">
        <v>520</v>
      </c>
      <c r="G140" s="74">
        <f>'прил 5'!G1089</f>
        <v>0</v>
      </c>
      <c r="H140" s="74"/>
      <c r="I140" s="74"/>
      <c r="J140" s="1"/>
    </row>
    <row r="141" spans="1:10" ht="21" hidden="1" customHeight="1">
      <c r="A141" s="16" t="s">
        <v>64</v>
      </c>
      <c r="B141" s="14">
        <v>793</v>
      </c>
      <c r="C141" s="15" t="s">
        <v>55</v>
      </c>
      <c r="D141" s="15" t="s">
        <v>90</v>
      </c>
      <c r="E141" s="14" t="s">
        <v>663</v>
      </c>
      <c r="F141" s="14">
        <v>800</v>
      </c>
      <c r="G141" s="194">
        <f>G142</f>
        <v>0</v>
      </c>
      <c r="H141" s="8"/>
      <c r="I141" s="8"/>
      <c r="J141" s="1"/>
    </row>
    <row r="142" spans="1:10" ht="20.25" hidden="1" customHeight="1">
      <c r="A142" s="16" t="s">
        <v>187</v>
      </c>
      <c r="B142" s="14">
        <v>793</v>
      </c>
      <c r="C142" s="15" t="s">
        <v>55</v>
      </c>
      <c r="D142" s="15" t="s">
        <v>90</v>
      </c>
      <c r="E142" s="14" t="s">
        <v>663</v>
      </c>
      <c r="F142" s="14">
        <v>870</v>
      </c>
      <c r="G142" s="194">
        <f>'прил 5'!G1091</f>
        <v>0</v>
      </c>
      <c r="H142" s="8"/>
      <c r="I142" s="8"/>
      <c r="J142" s="1"/>
    </row>
    <row r="143" spans="1:10" ht="57" hidden="1" customHeight="1">
      <c r="A143" s="16" t="s">
        <v>471</v>
      </c>
      <c r="B143" s="14">
        <v>793</v>
      </c>
      <c r="C143" s="15" t="s">
        <v>55</v>
      </c>
      <c r="D143" s="15" t="s">
        <v>90</v>
      </c>
      <c r="E143" s="14" t="s">
        <v>470</v>
      </c>
      <c r="F143" s="14"/>
      <c r="G143" s="74">
        <f t="shared" ref="G143:I144" si="31">G144</f>
        <v>0</v>
      </c>
      <c r="H143" s="8">
        <f t="shared" si="31"/>
        <v>0</v>
      </c>
      <c r="I143" s="8">
        <f t="shared" si="31"/>
        <v>0</v>
      </c>
    </row>
    <row r="144" spans="1:10" ht="34.5" hidden="1" customHeight="1">
      <c r="A144" s="16" t="s">
        <v>64</v>
      </c>
      <c r="B144" s="14">
        <v>793</v>
      </c>
      <c r="C144" s="15" t="s">
        <v>55</v>
      </c>
      <c r="D144" s="15" t="s">
        <v>90</v>
      </c>
      <c r="E144" s="14" t="s">
        <v>470</v>
      </c>
      <c r="F144" s="14">
        <v>800</v>
      </c>
      <c r="G144" s="74">
        <f t="shared" si="31"/>
        <v>0</v>
      </c>
      <c r="H144" s="8">
        <f t="shared" si="31"/>
        <v>0</v>
      </c>
      <c r="I144" s="8">
        <f t="shared" si="31"/>
        <v>0</v>
      </c>
    </row>
    <row r="145" spans="1:16" ht="42" hidden="1" customHeight="1">
      <c r="A145" s="16" t="s">
        <v>351</v>
      </c>
      <c r="B145" s="14">
        <v>793</v>
      </c>
      <c r="C145" s="15" t="s">
        <v>55</v>
      </c>
      <c r="D145" s="15" t="s">
        <v>90</v>
      </c>
      <c r="E145" s="14" t="s">
        <v>470</v>
      </c>
      <c r="F145" s="14">
        <v>810</v>
      </c>
      <c r="G145" s="74"/>
      <c r="H145" s="8">
        <f>'прил 5'!H1094</f>
        <v>0</v>
      </c>
      <c r="I145" s="8">
        <f>'прил 5'!I1094</f>
        <v>0</v>
      </c>
    </row>
    <row r="146" spans="1:16" s="132" customFormat="1" ht="28.5" customHeight="1">
      <c r="A146" s="131" t="s">
        <v>508</v>
      </c>
      <c r="B146" s="127">
        <v>792</v>
      </c>
      <c r="C146" s="128" t="s">
        <v>55</v>
      </c>
      <c r="D146" s="128" t="s">
        <v>127</v>
      </c>
      <c r="E146" s="128" t="s">
        <v>242</v>
      </c>
      <c r="F146" s="128"/>
      <c r="G146" s="129">
        <f>G147+G165+G195+G228+G222</f>
        <v>40240912.789999999</v>
      </c>
      <c r="H146" s="129">
        <f>H147+H165+H195+H228</f>
        <v>35767956</v>
      </c>
      <c r="I146" s="129">
        <f>I147+I165+I195+I228</f>
        <v>37625280</v>
      </c>
      <c r="J146" s="158">
        <v>1500000</v>
      </c>
      <c r="P146" s="158"/>
    </row>
    <row r="147" spans="1:16" s="46" customFormat="1" ht="18" customHeight="1">
      <c r="A147" s="16" t="s">
        <v>354</v>
      </c>
      <c r="B147" s="14">
        <v>793</v>
      </c>
      <c r="C147" s="15" t="s">
        <v>55</v>
      </c>
      <c r="D147" s="15" t="s">
        <v>45</v>
      </c>
      <c r="E147" s="15" t="s">
        <v>100</v>
      </c>
      <c r="F147" s="15"/>
      <c r="G147" s="102">
        <f>G148+G151+G154</f>
        <v>2272430.84</v>
      </c>
      <c r="H147" s="102">
        <f t="shared" ref="H147:I147" si="32">H148</f>
        <v>1954453</v>
      </c>
      <c r="I147" s="102">
        <f t="shared" si="32"/>
        <v>1954453</v>
      </c>
      <c r="J147" s="151">
        <v>2835500</v>
      </c>
    </row>
    <row r="148" spans="1:16" s="46" customFormat="1" ht="44.25" customHeight="1">
      <c r="A148" s="16" t="s">
        <v>349</v>
      </c>
      <c r="B148" s="14">
        <v>793</v>
      </c>
      <c r="C148" s="15" t="s">
        <v>55</v>
      </c>
      <c r="D148" s="15" t="s">
        <v>45</v>
      </c>
      <c r="E148" s="15" t="s">
        <v>348</v>
      </c>
      <c r="F148" s="15"/>
      <c r="G148" s="102">
        <f t="shared" ref="G148:I149" si="33">G149</f>
        <v>2022093</v>
      </c>
      <c r="H148" s="102">
        <f t="shared" si="33"/>
        <v>1954453</v>
      </c>
      <c r="I148" s="102">
        <f t="shared" si="33"/>
        <v>1954453</v>
      </c>
      <c r="J148" s="151">
        <v>10491350</v>
      </c>
    </row>
    <row r="149" spans="1:16" s="46" customFormat="1" ht="15.75" customHeight="1">
      <c r="A149" s="16" t="s">
        <v>334</v>
      </c>
      <c r="B149" s="14">
        <v>793</v>
      </c>
      <c r="C149" s="15" t="s">
        <v>55</v>
      </c>
      <c r="D149" s="15" t="s">
        <v>45</v>
      </c>
      <c r="E149" s="15" t="s">
        <v>348</v>
      </c>
      <c r="F149" s="15" t="s">
        <v>37</v>
      </c>
      <c r="G149" s="102">
        <f t="shared" si="33"/>
        <v>2022093</v>
      </c>
      <c r="H149" s="102">
        <f t="shared" si="33"/>
        <v>1954453</v>
      </c>
      <c r="I149" s="102">
        <f t="shared" si="33"/>
        <v>1954453</v>
      </c>
      <c r="J149" s="151">
        <v>15028150</v>
      </c>
    </row>
    <row r="150" spans="1:16" s="46" customFormat="1" ht="44.25" customHeight="1">
      <c r="A150" s="16" t="s">
        <v>38</v>
      </c>
      <c r="B150" s="14">
        <v>793</v>
      </c>
      <c r="C150" s="15" t="s">
        <v>55</v>
      </c>
      <c r="D150" s="15" t="s">
        <v>45</v>
      </c>
      <c r="E150" s="15" t="s">
        <v>348</v>
      </c>
      <c r="F150" s="15" t="s">
        <v>39</v>
      </c>
      <c r="G150" s="74">
        <f>'прил 5'!G1037</f>
        <v>2022093</v>
      </c>
      <c r="H150" s="74">
        <f>'прил 5'!H1037</f>
        <v>1954453</v>
      </c>
      <c r="I150" s="74">
        <f>'прил 5'!I1037</f>
        <v>1954453</v>
      </c>
      <c r="J150" s="151">
        <v>5548000</v>
      </c>
      <c r="P150" s="151"/>
    </row>
    <row r="151" spans="1:16" s="46" customFormat="1" ht="75" customHeight="1">
      <c r="A151" s="86" t="s">
        <v>734</v>
      </c>
      <c r="B151" s="14">
        <v>793</v>
      </c>
      <c r="C151" s="15" t="s">
        <v>55</v>
      </c>
      <c r="D151" s="15" t="s">
        <v>45</v>
      </c>
      <c r="E151" s="15" t="s">
        <v>733</v>
      </c>
      <c r="F151" s="15"/>
      <c r="G151" s="74">
        <f t="shared" ref="G151:I152" si="34">G152</f>
        <v>226337.84</v>
      </c>
      <c r="H151" s="74">
        <f t="shared" si="34"/>
        <v>0</v>
      </c>
      <c r="I151" s="74">
        <f t="shared" si="34"/>
        <v>0</v>
      </c>
    </row>
    <row r="152" spans="1:16" s="46" customFormat="1" ht="27.75" customHeight="1">
      <c r="A152" s="86" t="s">
        <v>473</v>
      </c>
      <c r="B152" s="14">
        <v>793</v>
      </c>
      <c r="C152" s="15" t="s">
        <v>55</v>
      </c>
      <c r="D152" s="15" t="s">
        <v>45</v>
      </c>
      <c r="E152" s="15" t="s">
        <v>733</v>
      </c>
      <c r="F152" s="15" t="s">
        <v>65</v>
      </c>
      <c r="G152" s="74">
        <f t="shared" si="34"/>
        <v>226337.84</v>
      </c>
      <c r="H152" s="74">
        <f t="shared" si="34"/>
        <v>0</v>
      </c>
      <c r="I152" s="74">
        <f t="shared" si="34"/>
        <v>0</v>
      </c>
    </row>
    <row r="153" spans="1:16" s="46" customFormat="1" ht="31.5" customHeight="1">
      <c r="A153" s="86" t="s">
        <v>38</v>
      </c>
      <c r="B153" s="14">
        <v>793</v>
      </c>
      <c r="C153" s="15" t="s">
        <v>55</v>
      </c>
      <c r="D153" s="15" t="s">
        <v>45</v>
      </c>
      <c r="E153" s="15" t="s">
        <v>733</v>
      </c>
      <c r="F153" s="15" t="s">
        <v>352</v>
      </c>
      <c r="G153" s="74">
        <v>226337.84</v>
      </c>
      <c r="H153" s="74">
        <v>0</v>
      </c>
      <c r="I153" s="74">
        <v>0</v>
      </c>
    </row>
    <row r="154" spans="1:16" s="46" customFormat="1" ht="75" customHeight="1">
      <c r="A154" s="86" t="s">
        <v>821</v>
      </c>
      <c r="B154" s="14">
        <v>793</v>
      </c>
      <c r="C154" s="15" t="s">
        <v>55</v>
      </c>
      <c r="D154" s="15" t="s">
        <v>45</v>
      </c>
      <c r="E154" s="15" t="s">
        <v>820</v>
      </c>
      <c r="F154" s="15"/>
      <c r="G154" s="74">
        <f t="shared" ref="G154:I155" si="35">G155</f>
        <v>24000</v>
      </c>
      <c r="H154" s="74">
        <f t="shared" si="35"/>
        <v>0</v>
      </c>
      <c r="I154" s="74">
        <f t="shared" si="35"/>
        <v>0</v>
      </c>
    </row>
    <row r="155" spans="1:16" s="46" customFormat="1" ht="27.75" customHeight="1">
      <c r="A155" s="86" t="s">
        <v>473</v>
      </c>
      <c r="B155" s="14">
        <v>793</v>
      </c>
      <c r="C155" s="15" t="s">
        <v>55</v>
      </c>
      <c r="D155" s="15" t="s">
        <v>45</v>
      </c>
      <c r="E155" s="15" t="s">
        <v>820</v>
      </c>
      <c r="F155" s="15" t="s">
        <v>37</v>
      </c>
      <c r="G155" s="74">
        <f t="shared" si="35"/>
        <v>24000</v>
      </c>
      <c r="H155" s="74">
        <f t="shared" si="35"/>
        <v>0</v>
      </c>
      <c r="I155" s="74">
        <f t="shared" si="35"/>
        <v>0</v>
      </c>
    </row>
    <row r="156" spans="1:16" s="46" customFormat="1" ht="31.5" customHeight="1">
      <c r="A156" s="86" t="s">
        <v>38</v>
      </c>
      <c r="B156" s="14">
        <v>793</v>
      </c>
      <c r="C156" s="15" t="s">
        <v>55</v>
      </c>
      <c r="D156" s="15" t="s">
        <v>45</v>
      </c>
      <c r="E156" s="15" t="s">
        <v>820</v>
      </c>
      <c r="F156" s="15" t="s">
        <v>39</v>
      </c>
      <c r="G156" s="74">
        <v>24000</v>
      </c>
      <c r="H156" s="74">
        <v>0</v>
      </c>
      <c r="I156" s="74">
        <v>0</v>
      </c>
    </row>
    <row r="157" spans="1:16" s="3" customFormat="1" ht="20.25" customHeight="1">
      <c r="A157" s="81" t="s">
        <v>179</v>
      </c>
      <c r="B157" s="49">
        <v>795</v>
      </c>
      <c r="C157" s="15" t="s">
        <v>55</v>
      </c>
      <c r="D157" s="15" t="s">
        <v>127</v>
      </c>
      <c r="E157" s="15"/>
      <c r="F157" s="15"/>
      <c r="G157" s="197">
        <f>G146-G147</f>
        <v>37968481.950000003</v>
      </c>
      <c r="H157" s="197">
        <f t="shared" ref="H157:I157" si="36">H146-H147</f>
        <v>33813503</v>
      </c>
      <c r="I157" s="197">
        <f t="shared" si="36"/>
        <v>35670827</v>
      </c>
      <c r="J157" s="152">
        <f>SUM(J146:J150)</f>
        <v>35403000</v>
      </c>
      <c r="P157" s="152"/>
    </row>
    <row r="158" spans="1:16" s="18" customFormat="1" ht="27" hidden="1" customHeight="1">
      <c r="A158" s="16" t="s">
        <v>508</v>
      </c>
      <c r="B158" s="49">
        <v>795</v>
      </c>
      <c r="C158" s="15" t="s">
        <v>55</v>
      </c>
      <c r="D158" s="15" t="s">
        <v>127</v>
      </c>
      <c r="E158" s="15" t="s">
        <v>242</v>
      </c>
      <c r="F158" s="15"/>
      <c r="G158" s="102" t="e">
        <f>G165+G195+#REF!+#REF!+#REF!+#REF!+#REF!+G159+#REF!+#REF!+#REF!</f>
        <v>#REF!</v>
      </c>
      <c r="H158" s="102" t="e">
        <f>H165+H195+#REF!+#REF!+#REF!+#REF!+#REF!+H159+#REF!+#REF!</f>
        <v>#REF!</v>
      </c>
      <c r="I158" s="102" t="e">
        <f>I165+I195+#REF!+#REF!+#REF!+#REF!+#REF!+I159+#REF!+#REF!</f>
        <v>#REF!</v>
      </c>
      <c r="J158" s="17"/>
    </row>
    <row r="159" spans="1:16" s="18" customFormat="1" ht="39.75" hidden="1" customHeight="1">
      <c r="A159" s="16" t="s">
        <v>412</v>
      </c>
      <c r="B159" s="49">
        <v>795</v>
      </c>
      <c r="C159" s="15" t="s">
        <v>55</v>
      </c>
      <c r="D159" s="15" t="s">
        <v>127</v>
      </c>
      <c r="E159" s="15" t="s">
        <v>411</v>
      </c>
      <c r="F159" s="15"/>
      <c r="G159" s="102">
        <f t="shared" ref="G159:I160" si="37">G160</f>
        <v>0</v>
      </c>
      <c r="H159" s="102">
        <f t="shared" si="37"/>
        <v>0</v>
      </c>
      <c r="I159" s="102">
        <f t="shared" si="37"/>
        <v>0</v>
      </c>
      <c r="J159" s="17"/>
    </row>
    <row r="160" spans="1:16" s="18" customFormat="1" ht="27" hidden="1" customHeight="1">
      <c r="A160" s="16" t="s">
        <v>163</v>
      </c>
      <c r="B160" s="49">
        <v>795</v>
      </c>
      <c r="C160" s="15" t="s">
        <v>55</v>
      </c>
      <c r="D160" s="15" t="s">
        <v>127</v>
      </c>
      <c r="E160" s="15" t="s">
        <v>411</v>
      </c>
      <c r="F160" s="15" t="s">
        <v>164</v>
      </c>
      <c r="G160" s="102">
        <f t="shared" si="37"/>
        <v>0</v>
      </c>
      <c r="H160" s="102">
        <f t="shared" si="37"/>
        <v>0</v>
      </c>
      <c r="I160" s="102">
        <f t="shared" si="37"/>
        <v>0</v>
      </c>
      <c r="J160" s="17"/>
    </row>
    <row r="161" spans="1:16" s="18" customFormat="1" ht="27" hidden="1" customHeight="1">
      <c r="A161" s="16" t="s">
        <v>177</v>
      </c>
      <c r="B161" s="49">
        <v>795</v>
      </c>
      <c r="C161" s="15" t="s">
        <v>55</v>
      </c>
      <c r="D161" s="15" t="s">
        <v>127</v>
      </c>
      <c r="E161" s="15" t="s">
        <v>411</v>
      </c>
      <c r="F161" s="15" t="s">
        <v>178</v>
      </c>
      <c r="G161" s="102"/>
      <c r="H161" s="102"/>
      <c r="I161" s="102"/>
      <c r="J161" s="17"/>
    </row>
    <row r="162" spans="1:16" s="18" customFormat="1" ht="27" hidden="1" customHeight="1">
      <c r="A162" s="16"/>
      <c r="B162" s="49"/>
      <c r="C162" s="15"/>
      <c r="D162" s="15"/>
      <c r="E162" s="15"/>
      <c r="F162" s="15"/>
      <c r="G162" s="102"/>
      <c r="H162" s="102"/>
      <c r="I162" s="102"/>
      <c r="J162" s="17"/>
    </row>
    <row r="163" spans="1:16" s="18" customFormat="1" ht="27" hidden="1" customHeight="1">
      <c r="A163" s="16"/>
      <c r="B163" s="49"/>
      <c r="C163" s="15"/>
      <c r="D163" s="15"/>
      <c r="E163" s="15"/>
      <c r="F163" s="15"/>
      <c r="G163" s="102"/>
      <c r="H163" s="102"/>
      <c r="I163" s="102"/>
      <c r="J163" s="17"/>
    </row>
    <row r="164" spans="1:16" s="18" customFormat="1" ht="27" hidden="1" customHeight="1">
      <c r="A164" s="16"/>
      <c r="B164" s="49"/>
      <c r="C164" s="15"/>
      <c r="D164" s="15"/>
      <c r="E164" s="15"/>
      <c r="F164" s="15"/>
      <c r="G164" s="102"/>
      <c r="H164" s="102"/>
      <c r="I164" s="102"/>
      <c r="J164" s="17"/>
    </row>
    <row r="165" spans="1:16" s="18" customFormat="1" ht="66" customHeight="1">
      <c r="A165" s="50" t="s">
        <v>107</v>
      </c>
      <c r="B165" s="14">
        <v>793</v>
      </c>
      <c r="C165" s="15" t="s">
        <v>55</v>
      </c>
      <c r="D165" s="15" t="s">
        <v>127</v>
      </c>
      <c r="E165" s="15" t="s">
        <v>105</v>
      </c>
      <c r="F165" s="15"/>
      <c r="G165" s="74">
        <f>G169+G172+G185+G180+G177+G192+G166</f>
        <v>13754024.530000001</v>
      </c>
      <c r="H165" s="74">
        <f t="shared" ref="H165:I165" si="38">H169+H172+H185+H180+H177+H192+H166</f>
        <v>14255603</v>
      </c>
      <c r="I165" s="74">
        <f t="shared" si="38"/>
        <v>15205091</v>
      </c>
      <c r="J165" s="17"/>
      <c r="L165" s="17">
        <f>G176+G191+G202+G209+G215</f>
        <v>16427177.139999999</v>
      </c>
      <c r="P165" s="17"/>
    </row>
    <row r="166" spans="1:16" s="18" customFormat="1" ht="76.5" customHeight="1">
      <c r="A166" s="50" t="s">
        <v>693</v>
      </c>
      <c r="B166" s="49">
        <v>795</v>
      </c>
      <c r="C166" s="15" t="s">
        <v>55</v>
      </c>
      <c r="D166" s="15" t="s">
        <v>127</v>
      </c>
      <c r="E166" s="15" t="s">
        <v>692</v>
      </c>
      <c r="F166" s="15"/>
      <c r="G166" s="74">
        <f t="shared" ref="G166:I167" si="39">G167</f>
        <v>360809</v>
      </c>
      <c r="H166" s="74">
        <f t="shared" si="39"/>
        <v>5294722</v>
      </c>
      <c r="I166" s="74">
        <f t="shared" si="39"/>
        <v>5658986</v>
      </c>
    </row>
    <row r="167" spans="1:16" s="18" customFormat="1" ht="15" customHeight="1">
      <c r="A167" s="16" t="s">
        <v>334</v>
      </c>
      <c r="B167" s="49">
        <v>795</v>
      </c>
      <c r="C167" s="15" t="s">
        <v>55</v>
      </c>
      <c r="D167" s="15" t="s">
        <v>127</v>
      </c>
      <c r="E167" s="15" t="s">
        <v>692</v>
      </c>
      <c r="F167" s="15" t="s">
        <v>37</v>
      </c>
      <c r="G167" s="74">
        <f t="shared" si="39"/>
        <v>360809</v>
      </c>
      <c r="H167" s="74">
        <f t="shared" si="39"/>
        <v>5294722</v>
      </c>
      <c r="I167" s="74">
        <f t="shared" si="39"/>
        <v>5658986</v>
      </c>
    </row>
    <row r="168" spans="1:16" s="18" customFormat="1" ht="32.25" customHeight="1">
      <c r="A168" s="16" t="s">
        <v>38</v>
      </c>
      <c r="B168" s="49">
        <v>795</v>
      </c>
      <c r="C168" s="15" t="s">
        <v>55</v>
      </c>
      <c r="D168" s="15" t="s">
        <v>127</v>
      </c>
      <c r="E168" s="15" t="s">
        <v>692</v>
      </c>
      <c r="F168" s="15" t="s">
        <v>39</v>
      </c>
      <c r="G168" s="74">
        <f>'прил 5'!G1233+'прил 5'!G1056</f>
        <v>360809</v>
      </c>
      <c r="H168" s="74">
        <f>'прил 5'!H1233+'прил 5'!H1056</f>
        <v>5294722</v>
      </c>
      <c r="I168" s="74">
        <f>'прил 5'!I1233+'прил 5'!I1056</f>
        <v>5658986</v>
      </c>
      <c r="J168" s="18" t="s">
        <v>482</v>
      </c>
      <c r="L168" s="18">
        <v>26808448</v>
      </c>
    </row>
    <row r="169" spans="1:16" s="18" customFormat="1" ht="53.25" customHeight="1">
      <c r="A169" s="50" t="s">
        <v>108</v>
      </c>
      <c r="B169" s="49">
        <v>795</v>
      </c>
      <c r="C169" s="15" t="s">
        <v>55</v>
      </c>
      <c r="D169" s="15" t="s">
        <v>127</v>
      </c>
      <c r="E169" s="15" t="s">
        <v>106</v>
      </c>
      <c r="F169" s="15"/>
      <c r="G169" s="102">
        <f t="shared" ref="G169:I170" si="40">G170</f>
        <v>3793628.7199999997</v>
      </c>
      <c r="H169" s="102">
        <f t="shared" si="40"/>
        <v>8960881</v>
      </c>
      <c r="I169" s="102">
        <f t="shared" si="40"/>
        <v>9546105</v>
      </c>
      <c r="J169" s="17"/>
    </row>
    <row r="170" spans="1:16" s="18" customFormat="1" ht="18" customHeight="1">
      <c r="A170" s="16" t="s">
        <v>334</v>
      </c>
      <c r="B170" s="49">
        <v>795</v>
      </c>
      <c r="C170" s="15" t="s">
        <v>55</v>
      </c>
      <c r="D170" s="15" t="s">
        <v>127</v>
      </c>
      <c r="E170" s="15" t="s">
        <v>106</v>
      </c>
      <c r="F170" s="15" t="s">
        <v>37</v>
      </c>
      <c r="G170" s="102">
        <f t="shared" si="40"/>
        <v>3793628.7199999997</v>
      </c>
      <c r="H170" s="102">
        <f t="shared" si="40"/>
        <v>8960881</v>
      </c>
      <c r="I170" s="102">
        <f t="shared" si="40"/>
        <v>9546105</v>
      </c>
      <c r="J170" s="17"/>
    </row>
    <row r="171" spans="1:16" s="18" customFormat="1" ht="57.75" customHeight="1">
      <c r="A171" s="16" t="s">
        <v>38</v>
      </c>
      <c r="B171" s="49">
        <v>795</v>
      </c>
      <c r="C171" s="15" t="s">
        <v>55</v>
      </c>
      <c r="D171" s="15" t="s">
        <v>127</v>
      </c>
      <c r="E171" s="15" t="s">
        <v>106</v>
      </c>
      <c r="F171" s="15" t="s">
        <v>39</v>
      </c>
      <c r="G171" s="74">
        <f>'прил 5'!G1236+'прил 5'!G1053</f>
        <v>3793628.7199999997</v>
      </c>
      <c r="H171" s="74">
        <f>'прил 5'!H1236+'прил 5'!H1053</f>
        <v>8960881</v>
      </c>
      <c r="I171" s="74">
        <f>'прил 5'!I1236+'прил 5'!I1053</f>
        <v>9546105</v>
      </c>
      <c r="J171" s="17"/>
    </row>
    <row r="172" spans="1:16" ht="80.25" customHeight="1">
      <c r="A172" s="50" t="s">
        <v>107</v>
      </c>
      <c r="B172" s="49">
        <v>795</v>
      </c>
      <c r="C172" s="15" t="s">
        <v>55</v>
      </c>
      <c r="D172" s="15" t="s">
        <v>127</v>
      </c>
      <c r="E172" s="15" t="s">
        <v>137</v>
      </c>
      <c r="F172" s="15"/>
      <c r="G172" s="74">
        <f>G175</f>
        <v>4672076.08</v>
      </c>
      <c r="H172" s="74">
        <f t="shared" ref="H172:I172" si="41">H175</f>
        <v>0</v>
      </c>
      <c r="I172" s="74">
        <f t="shared" si="41"/>
        <v>0</v>
      </c>
    </row>
    <row r="173" spans="1:16" s="18" customFormat="1" ht="15.75" hidden="1" customHeight="1">
      <c r="A173" s="16" t="s">
        <v>64</v>
      </c>
      <c r="B173" s="49">
        <v>795</v>
      </c>
      <c r="C173" s="15" t="s">
        <v>55</v>
      </c>
      <c r="D173" s="15" t="s">
        <v>127</v>
      </c>
      <c r="E173" s="15" t="s">
        <v>135</v>
      </c>
      <c r="F173" s="15" t="s">
        <v>65</v>
      </c>
      <c r="G173" s="74" t="e">
        <f>G174</f>
        <v>#REF!</v>
      </c>
      <c r="H173" s="74" t="e">
        <f>H174</f>
        <v>#REF!</v>
      </c>
      <c r="I173" s="74" t="e">
        <f>I174</f>
        <v>#REF!</v>
      </c>
      <c r="J173" s="17"/>
    </row>
    <row r="174" spans="1:16" s="18" customFormat="1" ht="15.75" hidden="1" customHeight="1">
      <c r="A174" s="16" t="s">
        <v>187</v>
      </c>
      <c r="B174" s="49">
        <v>795</v>
      </c>
      <c r="C174" s="15" t="s">
        <v>55</v>
      </c>
      <c r="D174" s="15" t="s">
        <v>127</v>
      </c>
      <c r="E174" s="15" t="s">
        <v>135</v>
      </c>
      <c r="F174" s="15" t="s">
        <v>188</v>
      </c>
      <c r="G174" s="74" t="e">
        <f>'прил 5'!#REF!</f>
        <v>#REF!</v>
      </c>
      <c r="H174" s="74" t="e">
        <f>'прил 5'!#REF!</f>
        <v>#REF!</v>
      </c>
      <c r="I174" s="74" t="e">
        <f>'прил 5'!#REF!</f>
        <v>#REF!</v>
      </c>
      <c r="J174" s="17"/>
    </row>
    <row r="175" spans="1:16" ht="15" customHeight="1">
      <c r="A175" s="16" t="s">
        <v>163</v>
      </c>
      <c r="B175" s="49">
        <v>795</v>
      </c>
      <c r="C175" s="15" t="s">
        <v>55</v>
      </c>
      <c r="D175" s="15" t="s">
        <v>127</v>
      </c>
      <c r="E175" s="15" t="s">
        <v>135</v>
      </c>
      <c r="F175" s="15" t="s">
        <v>164</v>
      </c>
      <c r="G175" s="74">
        <f>G176</f>
        <v>4672076.08</v>
      </c>
      <c r="H175" s="74">
        <f>H176</f>
        <v>0</v>
      </c>
      <c r="I175" s="74">
        <f>I176</f>
        <v>0</v>
      </c>
    </row>
    <row r="176" spans="1:16" ht="15" customHeight="1">
      <c r="A176" s="16" t="s">
        <v>185</v>
      </c>
      <c r="B176" s="49">
        <v>795</v>
      </c>
      <c r="C176" s="15" t="s">
        <v>55</v>
      </c>
      <c r="D176" s="15" t="s">
        <v>127</v>
      </c>
      <c r="E176" s="15" t="s">
        <v>135</v>
      </c>
      <c r="F176" s="15" t="s">
        <v>186</v>
      </c>
      <c r="G176" s="74">
        <f>'прил 5'!G1239</f>
        <v>4672076.08</v>
      </c>
      <c r="H176" s="74">
        <f>'прил 5'!H1239</f>
        <v>0</v>
      </c>
      <c r="I176" s="74">
        <f>'прил 5'!I1239</f>
        <v>0</v>
      </c>
    </row>
    <row r="177" spans="1:10" s="18" customFormat="1" ht="83.25" hidden="1" customHeight="1">
      <c r="A177" s="50" t="s">
        <v>435</v>
      </c>
      <c r="B177" s="49"/>
      <c r="C177" s="15"/>
      <c r="D177" s="15"/>
      <c r="E177" s="15" t="s">
        <v>138</v>
      </c>
      <c r="F177" s="15"/>
      <c r="G177" s="74">
        <f>G178</f>
        <v>0</v>
      </c>
      <c r="H177" s="74">
        <v>0</v>
      </c>
      <c r="I177" s="74">
        <v>0</v>
      </c>
      <c r="J177" s="17"/>
    </row>
    <row r="178" spans="1:10" s="18" customFormat="1" ht="26.25" hidden="1" customHeight="1">
      <c r="A178" s="16" t="s">
        <v>334</v>
      </c>
      <c r="B178" s="49"/>
      <c r="C178" s="15"/>
      <c r="D178" s="15"/>
      <c r="E178" s="15" t="s">
        <v>136</v>
      </c>
      <c r="F178" s="15" t="s">
        <v>37</v>
      </c>
      <c r="G178" s="74">
        <f>G179</f>
        <v>0</v>
      </c>
      <c r="H178" s="74">
        <v>0</v>
      </c>
      <c r="I178" s="74">
        <v>0</v>
      </c>
      <c r="J178" s="17"/>
    </row>
    <row r="179" spans="1:10" s="18" customFormat="1" ht="47.25" hidden="1" customHeight="1">
      <c r="A179" s="16" t="s">
        <v>38</v>
      </c>
      <c r="B179" s="49"/>
      <c r="C179" s="15"/>
      <c r="D179" s="15"/>
      <c r="E179" s="15" t="s">
        <v>136</v>
      </c>
      <c r="F179" s="15" t="s">
        <v>39</v>
      </c>
      <c r="G179" s="74">
        <f>'прил 5'!G1242</f>
        <v>0</v>
      </c>
      <c r="H179" s="74">
        <v>0</v>
      </c>
      <c r="I179" s="74">
        <v>0</v>
      </c>
      <c r="J179" s="17"/>
    </row>
    <row r="180" spans="1:10" ht="78" customHeight="1">
      <c r="A180" s="50" t="s">
        <v>551</v>
      </c>
      <c r="B180" s="49">
        <v>795</v>
      </c>
      <c r="C180" s="15" t="s">
        <v>55</v>
      </c>
      <c r="D180" s="15" t="s">
        <v>127</v>
      </c>
      <c r="E180" s="15" t="s">
        <v>550</v>
      </c>
      <c r="F180" s="15"/>
      <c r="G180" s="74">
        <f>G181+G183</f>
        <v>4563626.29</v>
      </c>
      <c r="H180" s="74">
        <v>0</v>
      </c>
      <c r="I180" s="74">
        <v>0</v>
      </c>
      <c r="J180" s="1"/>
    </row>
    <row r="181" spans="1:10" ht="18" hidden="1" customHeight="1">
      <c r="A181" s="16" t="s">
        <v>334</v>
      </c>
      <c r="B181" s="49">
        <v>795</v>
      </c>
      <c r="C181" s="15" t="s">
        <v>55</v>
      </c>
      <c r="D181" s="15" t="s">
        <v>127</v>
      </c>
      <c r="E181" s="15" t="s">
        <v>549</v>
      </c>
      <c r="F181" s="15" t="s">
        <v>37</v>
      </c>
      <c r="G181" s="74">
        <f>G182</f>
        <v>0</v>
      </c>
      <c r="H181" s="74">
        <v>0</v>
      </c>
      <c r="I181" s="74">
        <v>0</v>
      </c>
      <c r="J181" s="1"/>
    </row>
    <row r="182" spans="1:10" ht="15" hidden="1" customHeight="1">
      <c r="A182" s="16" t="s">
        <v>38</v>
      </c>
      <c r="B182" s="49">
        <v>795</v>
      </c>
      <c r="C182" s="15" t="s">
        <v>55</v>
      </c>
      <c r="D182" s="15" t="s">
        <v>127</v>
      </c>
      <c r="E182" s="15" t="s">
        <v>549</v>
      </c>
      <c r="F182" s="15" t="s">
        <v>39</v>
      </c>
      <c r="G182" s="74"/>
      <c r="H182" s="74">
        <v>0</v>
      </c>
      <c r="I182" s="74">
        <v>0</v>
      </c>
      <c r="J182" s="1"/>
    </row>
    <row r="183" spans="1:10" ht="36.75" customHeight="1">
      <c r="A183" s="16" t="s">
        <v>99</v>
      </c>
      <c r="B183" s="49">
        <v>795</v>
      </c>
      <c r="C183" s="15" t="s">
        <v>55</v>
      </c>
      <c r="D183" s="15" t="s">
        <v>127</v>
      </c>
      <c r="E183" s="15" t="s">
        <v>549</v>
      </c>
      <c r="F183" s="15" t="s">
        <v>359</v>
      </c>
      <c r="G183" s="74">
        <f>G184</f>
        <v>4563626.29</v>
      </c>
      <c r="H183" s="74">
        <v>0</v>
      </c>
      <c r="I183" s="74">
        <v>0</v>
      </c>
      <c r="J183" s="1"/>
    </row>
    <row r="184" spans="1:10" ht="27.75" customHeight="1">
      <c r="A184" s="16" t="s">
        <v>360</v>
      </c>
      <c r="B184" s="49">
        <v>795</v>
      </c>
      <c r="C184" s="15" t="s">
        <v>55</v>
      </c>
      <c r="D184" s="15" t="s">
        <v>127</v>
      </c>
      <c r="E184" s="15" t="s">
        <v>549</v>
      </c>
      <c r="F184" s="15" t="s">
        <v>361</v>
      </c>
      <c r="G184" s="74">
        <v>4563626.29</v>
      </c>
      <c r="H184" s="74">
        <v>0</v>
      </c>
      <c r="I184" s="74">
        <v>0</v>
      </c>
      <c r="J184" s="1"/>
    </row>
    <row r="185" spans="1:10" s="18" customFormat="1" ht="62.25" customHeight="1">
      <c r="A185" s="16" t="s">
        <v>548</v>
      </c>
      <c r="B185" s="49">
        <v>795</v>
      </c>
      <c r="C185" s="15" t="s">
        <v>55</v>
      </c>
      <c r="D185" s="15" t="s">
        <v>127</v>
      </c>
      <c r="E185" s="15" t="s">
        <v>194</v>
      </c>
      <c r="F185" s="15"/>
      <c r="G185" s="74">
        <f>G186+G190+G188</f>
        <v>363884.44</v>
      </c>
      <c r="H185" s="74">
        <v>0</v>
      </c>
      <c r="I185" s="74">
        <v>0</v>
      </c>
    </row>
    <row r="186" spans="1:10" s="18" customFormat="1" ht="32.25" hidden="1" customHeight="1">
      <c r="A186" s="16" t="s">
        <v>334</v>
      </c>
      <c r="B186" s="49">
        <v>795</v>
      </c>
      <c r="C186" s="15" t="s">
        <v>55</v>
      </c>
      <c r="D186" s="15" t="s">
        <v>127</v>
      </c>
      <c r="E186" s="15" t="s">
        <v>194</v>
      </c>
      <c r="F186" s="15" t="s">
        <v>37</v>
      </c>
      <c r="G186" s="74">
        <f>G187</f>
        <v>0</v>
      </c>
      <c r="H186" s="74">
        <v>0</v>
      </c>
      <c r="I186" s="74">
        <v>0</v>
      </c>
    </row>
    <row r="187" spans="1:10" s="18" customFormat="1" ht="32.25" hidden="1" customHeight="1">
      <c r="A187" s="16" t="s">
        <v>38</v>
      </c>
      <c r="B187" s="49">
        <v>795</v>
      </c>
      <c r="C187" s="15" t="s">
        <v>55</v>
      </c>
      <c r="D187" s="15" t="s">
        <v>127</v>
      </c>
      <c r="E187" s="15" t="s">
        <v>194</v>
      </c>
      <c r="F187" s="15" t="s">
        <v>39</v>
      </c>
      <c r="G187" s="74"/>
      <c r="H187" s="74">
        <v>0</v>
      </c>
      <c r="I187" s="74">
        <v>0</v>
      </c>
    </row>
    <row r="188" spans="1:10" ht="18" customHeight="1">
      <c r="A188" s="16" t="s">
        <v>334</v>
      </c>
      <c r="B188" s="49">
        <v>795</v>
      </c>
      <c r="C188" s="15" t="s">
        <v>55</v>
      </c>
      <c r="D188" s="15" t="s">
        <v>127</v>
      </c>
      <c r="E188" s="15" t="s">
        <v>194</v>
      </c>
      <c r="F188" s="15" t="s">
        <v>37</v>
      </c>
      <c r="G188" s="74">
        <f>G189</f>
        <v>164748</v>
      </c>
      <c r="H188" s="74">
        <v>0</v>
      </c>
      <c r="I188" s="74">
        <v>0</v>
      </c>
      <c r="J188" s="1"/>
    </row>
    <row r="189" spans="1:10" ht="29.25" customHeight="1">
      <c r="A189" s="16" t="s">
        <v>38</v>
      </c>
      <c r="B189" s="49">
        <v>795</v>
      </c>
      <c r="C189" s="15" t="s">
        <v>55</v>
      </c>
      <c r="D189" s="15" t="s">
        <v>127</v>
      </c>
      <c r="E189" s="15" t="s">
        <v>194</v>
      </c>
      <c r="F189" s="15" t="s">
        <v>39</v>
      </c>
      <c r="G189" s="74">
        <v>164748</v>
      </c>
      <c r="H189" s="74">
        <v>0</v>
      </c>
      <c r="I189" s="74">
        <v>0</v>
      </c>
      <c r="J189" s="1"/>
    </row>
    <row r="190" spans="1:10" ht="18" customHeight="1">
      <c r="A190" s="16" t="s">
        <v>163</v>
      </c>
      <c r="B190" s="49">
        <v>795</v>
      </c>
      <c r="C190" s="15" t="s">
        <v>55</v>
      </c>
      <c r="D190" s="15" t="s">
        <v>127</v>
      </c>
      <c r="E190" s="15" t="s">
        <v>194</v>
      </c>
      <c r="F190" s="15" t="s">
        <v>164</v>
      </c>
      <c r="G190" s="74">
        <f>G191</f>
        <v>199136.44</v>
      </c>
      <c r="H190" s="74">
        <v>0</v>
      </c>
      <c r="I190" s="74">
        <v>0</v>
      </c>
      <c r="J190" s="1"/>
    </row>
    <row r="191" spans="1:10" ht="15" customHeight="1">
      <c r="A191" s="16" t="s">
        <v>185</v>
      </c>
      <c r="B191" s="49">
        <v>795</v>
      </c>
      <c r="C191" s="15" t="s">
        <v>55</v>
      </c>
      <c r="D191" s="15" t="s">
        <v>127</v>
      </c>
      <c r="E191" s="15" t="s">
        <v>194</v>
      </c>
      <c r="F191" s="15" t="s">
        <v>186</v>
      </c>
      <c r="G191" s="74">
        <f>'прил 5'!G1254</f>
        <v>199136.44</v>
      </c>
      <c r="H191" s="74">
        <v>0</v>
      </c>
      <c r="I191" s="74">
        <v>0</v>
      </c>
      <c r="J191" s="1"/>
    </row>
    <row r="192" spans="1:10" ht="78" hidden="1" customHeight="1">
      <c r="A192" s="50" t="s">
        <v>679</v>
      </c>
      <c r="B192" s="49">
        <v>795</v>
      </c>
      <c r="C192" s="15" t="s">
        <v>55</v>
      </c>
      <c r="D192" s="15" t="s">
        <v>127</v>
      </c>
      <c r="E192" s="15" t="s">
        <v>681</v>
      </c>
      <c r="F192" s="15"/>
      <c r="G192" s="74">
        <f>G193</f>
        <v>0</v>
      </c>
      <c r="H192" s="74">
        <v>0</v>
      </c>
      <c r="I192" s="74">
        <v>0</v>
      </c>
      <c r="J192" s="1"/>
    </row>
    <row r="193" spans="1:10" ht="18" hidden="1" customHeight="1">
      <c r="A193" s="16" t="s">
        <v>163</v>
      </c>
      <c r="B193" s="49">
        <v>795</v>
      </c>
      <c r="C193" s="15" t="s">
        <v>55</v>
      </c>
      <c r="D193" s="15" t="s">
        <v>127</v>
      </c>
      <c r="E193" s="15" t="s">
        <v>681</v>
      </c>
      <c r="F193" s="15" t="s">
        <v>164</v>
      </c>
      <c r="G193" s="74">
        <f>G194</f>
        <v>0</v>
      </c>
      <c r="H193" s="74">
        <v>0</v>
      </c>
      <c r="I193" s="74">
        <v>0</v>
      </c>
      <c r="J193" s="1"/>
    </row>
    <row r="194" spans="1:10" ht="27.75" hidden="1" customHeight="1">
      <c r="A194" s="16" t="s">
        <v>185</v>
      </c>
      <c r="B194" s="49">
        <v>795</v>
      </c>
      <c r="C194" s="15" t="s">
        <v>55</v>
      </c>
      <c r="D194" s="15" t="s">
        <v>127</v>
      </c>
      <c r="E194" s="15" t="s">
        <v>681</v>
      </c>
      <c r="F194" s="15" t="s">
        <v>186</v>
      </c>
      <c r="G194" s="74">
        <f>'прил 5'!G1257</f>
        <v>0</v>
      </c>
      <c r="H194" s="74">
        <v>0</v>
      </c>
      <c r="I194" s="74">
        <v>0</v>
      </c>
      <c r="J194" s="1"/>
    </row>
    <row r="195" spans="1:10" ht="78.75" customHeight="1">
      <c r="A195" s="16" t="s">
        <v>111</v>
      </c>
      <c r="B195" s="49">
        <v>795</v>
      </c>
      <c r="C195" s="15" t="s">
        <v>55</v>
      </c>
      <c r="D195" s="15" t="s">
        <v>127</v>
      </c>
      <c r="E195" s="15" t="s">
        <v>109</v>
      </c>
      <c r="F195" s="15"/>
      <c r="G195" s="74">
        <f>G196+G203+G213+G197+G216+G219+G225+G210</f>
        <v>18124193.419999998</v>
      </c>
      <c r="H195" s="74">
        <f>H196+H203+H213+H197+H216+H219</f>
        <v>13441321</v>
      </c>
      <c r="I195" s="74">
        <f>I196+I203+I213+I197+I216+I219</f>
        <v>14319157</v>
      </c>
    </row>
    <row r="196" spans="1:10" ht="47.25" customHeight="1">
      <c r="A196" s="16" t="s">
        <v>112</v>
      </c>
      <c r="B196" s="49">
        <v>795</v>
      </c>
      <c r="C196" s="15" t="s">
        <v>55</v>
      </c>
      <c r="D196" s="15" t="s">
        <v>127</v>
      </c>
      <c r="E196" s="15" t="s">
        <v>110</v>
      </c>
      <c r="F196" s="15"/>
      <c r="G196" s="74">
        <f>G201+G199</f>
        <v>16602436.199999999</v>
      </c>
      <c r="H196" s="74">
        <f>H201+H199</f>
        <v>13441321</v>
      </c>
      <c r="I196" s="74">
        <f>I201+I199</f>
        <v>14319157</v>
      </c>
    </row>
    <row r="197" spans="1:10" s="18" customFormat="1" ht="15.75" hidden="1" customHeight="1">
      <c r="A197" s="16" t="s">
        <v>64</v>
      </c>
      <c r="B197" s="49">
        <v>795</v>
      </c>
      <c r="C197" s="15" t="s">
        <v>55</v>
      </c>
      <c r="D197" s="15" t="s">
        <v>127</v>
      </c>
      <c r="E197" s="15" t="s">
        <v>110</v>
      </c>
      <c r="F197" s="15" t="s">
        <v>65</v>
      </c>
      <c r="G197" s="74">
        <f>G198</f>
        <v>0</v>
      </c>
      <c r="H197" s="74">
        <v>0</v>
      </c>
      <c r="I197" s="74">
        <v>0</v>
      </c>
      <c r="J197" s="164"/>
    </row>
    <row r="198" spans="1:10" s="18" customFormat="1" ht="15.75" hidden="1" customHeight="1">
      <c r="A198" s="16" t="s">
        <v>187</v>
      </c>
      <c r="B198" s="49">
        <v>795</v>
      </c>
      <c r="C198" s="15" t="s">
        <v>55</v>
      </c>
      <c r="D198" s="15" t="s">
        <v>127</v>
      </c>
      <c r="E198" s="15" t="s">
        <v>110</v>
      </c>
      <c r="F198" s="15" t="s">
        <v>188</v>
      </c>
      <c r="G198" s="74">
        <f>'прил 5'!G1261</f>
        <v>0</v>
      </c>
      <c r="H198" s="74">
        <v>0</v>
      </c>
      <c r="I198" s="74">
        <v>0</v>
      </c>
      <c r="J198" s="164"/>
    </row>
    <row r="199" spans="1:10" ht="22.5" customHeight="1">
      <c r="A199" s="16" t="s">
        <v>334</v>
      </c>
      <c r="B199" s="49">
        <v>795</v>
      </c>
      <c r="C199" s="15" t="s">
        <v>55</v>
      </c>
      <c r="D199" s="15" t="s">
        <v>127</v>
      </c>
      <c r="E199" s="15" t="s">
        <v>110</v>
      </c>
      <c r="F199" s="15" t="s">
        <v>37</v>
      </c>
      <c r="G199" s="74">
        <f>G200</f>
        <v>5440454.54</v>
      </c>
      <c r="H199" s="74">
        <f>H200</f>
        <v>13441321</v>
      </c>
      <c r="I199" s="74">
        <f>I200</f>
        <v>14319157</v>
      </c>
      <c r="J199" s="1"/>
    </row>
    <row r="200" spans="1:10" ht="32.25" customHeight="1">
      <c r="A200" s="16" t="s">
        <v>38</v>
      </c>
      <c r="B200" s="49">
        <v>795</v>
      </c>
      <c r="C200" s="15" t="s">
        <v>55</v>
      </c>
      <c r="D200" s="15" t="s">
        <v>127</v>
      </c>
      <c r="E200" s="15" t="s">
        <v>110</v>
      </c>
      <c r="F200" s="15" t="s">
        <v>39</v>
      </c>
      <c r="G200" s="74">
        <f>'прил 5'!G1265+'прил 5'!G1064</f>
        <v>5440454.54</v>
      </c>
      <c r="H200" s="74">
        <f>'прил 5'!H1265+'прил 5'!H1064</f>
        <v>13441321</v>
      </c>
      <c r="I200" s="74">
        <f>'прил 5'!I1265+'прил 5'!I1064</f>
        <v>14319157</v>
      </c>
      <c r="J200" s="1"/>
    </row>
    <row r="201" spans="1:10" ht="16.5" customHeight="1">
      <c r="A201" s="16" t="s">
        <v>163</v>
      </c>
      <c r="B201" s="49">
        <v>795</v>
      </c>
      <c r="C201" s="15" t="s">
        <v>55</v>
      </c>
      <c r="D201" s="15" t="s">
        <v>127</v>
      </c>
      <c r="E201" s="15" t="s">
        <v>110</v>
      </c>
      <c r="F201" s="15" t="s">
        <v>164</v>
      </c>
      <c r="G201" s="74">
        <f>G202</f>
        <v>11161981.66</v>
      </c>
      <c r="H201" s="74">
        <f>H202</f>
        <v>0</v>
      </c>
      <c r="I201" s="74">
        <f>I202</f>
        <v>0</v>
      </c>
    </row>
    <row r="202" spans="1:10" ht="19.5" customHeight="1">
      <c r="A202" s="16" t="s">
        <v>185</v>
      </c>
      <c r="B202" s="49">
        <v>795</v>
      </c>
      <c r="C202" s="15" t="s">
        <v>55</v>
      </c>
      <c r="D202" s="15" t="s">
        <v>127</v>
      </c>
      <c r="E202" s="15" t="s">
        <v>110</v>
      </c>
      <c r="F202" s="15" t="s">
        <v>186</v>
      </c>
      <c r="G202" s="74">
        <f>'прил 5'!G1263</f>
        <v>11161981.66</v>
      </c>
      <c r="H202" s="74">
        <f>'прил 5'!H1263</f>
        <v>0</v>
      </c>
      <c r="I202" s="74">
        <f>'прил 5'!I1263</f>
        <v>0</v>
      </c>
    </row>
    <row r="203" spans="1:10" s="18" customFormat="1" ht="65.25" customHeight="1">
      <c r="A203" s="16" t="s">
        <v>547</v>
      </c>
      <c r="B203" s="49">
        <v>795</v>
      </c>
      <c r="C203" s="15" t="s">
        <v>55</v>
      </c>
      <c r="D203" s="15" t="s">
        <v>127</v>
      </c>
      <c r="E203" s="15" t="s">
        <v>47</v>
      </c>
      <c r="F203" s="15"/>
      <c r="G203" s="74">
        <f>G204+G208+G206</f>
        <v>222763.46999999997</v>
      </c>
      <c r="H203" s="27">
        <v>0</v>
      </c>
      <c r="I203" s="27">
        <v>0</v>
      </c>
      <c r="J203" s="164"/>
    </row>
    <row r="204" spans="1:10" s="18" customFormat="1" ht="15.75" hidden="1" customHeight="1">
      <c r="A204" s="16" t="s">
        <v>334</v>
      </c>
      <c r="B204" s="49">
        <v>795</v>
      </c>
      <c r="C204" s="15" t="s">
        <v>55</v>
      </c>
      <c r="D204" s="15" t="s">
        <v>127</v>
      </c>
      <c r="E204" s="15" t="s">
        <v>47</v>
      </c>
      <c r="F204" s="15" t="s">
        <v>37</v>
      </c>
      <c r="G204" s="74">
        <f>G205</f>
        <v>0</v>
      </c>
      <c r="H204" s="27">
        <v>0</v>
      </c>
      <c r="I204" s="27">
        <v>0</v>
      </c>
      <c r="J204" s="164"/>
    </row>
    <row r="205" spans="1:10" s="18" customFormat="1" ht="15.75" hidden="1" customHeight="1">
      <c r="A205" s="16" t="s">
        <v>38</v>
      </c>
      <c r="B205" s="49">
        <v>795</v>
      </c>
      <c r="C205" s="15" t="s">
        <v>55</v>
      </c>
      <c r="D205" s="15" t="s">
        <v>127</v>
      </c>
      <c r="E205" s="15" t="s">
        <v>47</v>
      </c>
      <c r="F205" s="15" t="s">
        <v>39</v>
      </c>
      <c r="G205" s="74">
        <f>'прил 5'!G1268</f>
        <v>0</v>
      </c>
      <c r="H205" s="27">
        <v>0</v>
      </c>
      <c r="I205" s="27">
        <v>0</v>
      </c>
      <c r="J205" s="164"/>
    </row>
    <row r="206" spans="1:10" ht="22.5" customHeight="1">
      <c r="A206" s="16" t="s">
        <v>334</v>
      </c>
      <c r="B206" s="49">
        <v>795</v>
      </c>
      <c r="C206" s="15" t="s">
        <v>55</v>
      </c>
      <c r="D206" s="15" t="s">
        <v>127</v>
      </c>
      <c r="E206" s="15" t="s">
        <v>47</v>
      </c>
      <c r="F206" s="15" t="s">
        <v>37</v>
      </c>
      <c r="G206" s="74">
        <f>G207</f>
        <v>137543.60999999999</v>
      </c>
      <c r="H206" s="74">
        <v>0</v>
      </c>
      <c r="I206" s="74">
        <v>0</v>
      </c>
      <c r="J206" s="1"/>
    </row>
    <row r="207" spans="1:10" ht="16.5" customHeight="1">
      <c r="A207" s="16" t="s">
        <v>38</v>
      </c>
      <c r="B207" s="49">
        <v>795</v>
      </c>
      <c r="C207" s="15" t="s">
        <v>55</v>
      </c>
      <c r="D207" s="15" t="s">
        <v>127</v>
      </c>
      <c r="E207" s="15" t="s">
        <v>47</v>
      </c>
      <c r="F207" s="15" t="s">
        <v>39</v>
      </c>
      <c r="G207" s="74">
        <v>137543.60999999999</v>
      </c>
      <c r="H207" s="74">
        <v>0</v>
      </c>
      <c r="I207" s="74">
        <v>0</v>
      </c>
      <c r="J207" s="1"/>
    </row>
    <row r="208" spans="1:10" ht="22.5" customHeight="1">
      <c r="A208" s="16" t="s">
        <v>163</v>
      </c>
      <c r="B208" s="49">
        <v>795</v>
      </c>
      <c r="C208" s="15" t="s">
        <v>55</v>
      </c>
      <c r="D208" s="15" t="s">
        <v>127</v>
      </c>
      <c r="E208" s="15" t="s">
        <v>47</v>
      </c>
      <c r="F208" s="15" t="s">
        <v>164</v>
      </c>
      <c r="G208" s="74">
        <f>G209</f>
        <v>85219.86</v>
      </c>
      <c r="H208" s="27">
        <v>0</v>
      </c>
      <c r="I208" s="27">
        <v>0</v>
      </c>
      <c r="J208" s="1"/>
    </row>
    <row r="209" spans="1:12" ht="16.5" customHeight="1">
      <c r="A209" s="16" t="s">
        <v>185</v>
      </c>
      <c r="B209" s="49">
        <v>795</v>
      </c>
      <c r="C209" s="15" t="s">
        <v>55</v>
      </c>
      <c r="D209" s="15" t="s">
        <v>127</v>
      </c>
      <c r="E209" s="15" t="s">
        <v>47</v>
      </c>
      <c r="F209" s="15" t="s">
        <v>186</v>
      </c>
      <c r="G209" s="74">
        <f>'прил 5'!G1272</f>
        <v>85219.86</v>
      </c>
      <c r="H209" s="27">
        <v>0</v>
      </c>
      <c r="I209" s="27">
        <v>0</v>
      </c>
      <c r="J209" s="1"/>
    </row>
    <row r="210" spans="1:12" ht="62.25" customHeight="1">
      <c r="A210" s="16" t="s">
        <v>739</v>
      </c>
      <c r="B210" s="49">
        <v>795</v>
      </c>
      <c r="C210" s="15" t="s">
        <v>55</v>
      </c>
      <c r="D210" s="15" t="s">
        <v>127</v>
      </c>
      <c r="E210" s="15" t="s">
        <v>738</v>
      </c>
      <c r="F210" s="15"/>
      <c r="G210" s="74">
        <f>G211</f>
        <v>990230.65</v>
      </c>
      <c r="H210" s="74">
        <f t="shared" ref="H210:I210" si="42">H211+H213+H215</f>
        <v>0</v>
      </c>
      <c r="I210" s="74">
        <f t="shared" si="42"/>
        <v>0</v>
      </c>
      <c r="J210" s="1"/>
      <c r="L210" s="2">
        <f>I185+I190+I214</f>
        <v>0</v>
      </c>
    </row>
    <row r="211" spans="1:12" s="18" customFormat="1" ht="15.75" customHeight="1">
      <c r="A211" s="16" t="s">
        <v>334</v>
      </c>
      <c r="B211" s="49">
        <v>795</v>
      </c>
      <c r="C211" s="15" t="s">
        <v>55</v>
      </c>
      <c r="D211" s="15" t="s">
        <v>127</v>
      </c>
      <c r="E211" s="15" t="s">
        <v>738</v>
      </c>
      <c r="F211" s="15" t="s">
        <v>37</v>
      </c>
      <c r="G211" s="74">
        <f>G212</f>
        <v>990230.65</v>
      </c>
      <c r="H211" s="168">
        <v>0</v>
      </c>
      <c r="I211" s="168">
        <v>0</v>
      </c>
      <c r="J211" s="164"/>
    </row>
    <row r="212" spans="1:12" s="18" customFormat="1" ht="35.25" customHeight="1">
      <c r="A212" s="16" t="s">
        <v>38</v>
      </c>
      <c r="B212" s="49">
        <v>795</v>
      </c>
      <c r="C212" s="15" t="s">
        <v>55</v>
      </c>
      <c r="D212" s="15" t="s">
        <v>127</v>
      </c>
      <c r="E212" s="15" t="s">
        <v>738</v>
      </c>
      <c r="F212" s="15" t="s">
        <v>39</v>
      </c>
      <c r="G212" s="74">
        <v>990230.65</v>
      </c>
      <c r="H212" s="168">
        <v>0</v>
      </c>
      <c r="I212" s="168">
        <v>0</v>
      </c>
      <c r="J212" s="164"/>
    </row>
    <row r="213" spans="1:12" ht="68.25" customHeight="1">
      <c r="A213" s="16" t="s">
        <v>436</v>
      </c>
      <c r="B213" s="49">
        <v>795</v>
      </c>
      <c r="C213" s="15" t="s">
        <v>55</v>
      </c>
      <c r="D213" s="15" t="s">
        <v>127</v>
      </c>
      <c r="E213" s="15" t="s">
        <v>10</v>
      </c>
      <c r="F213" s="15"/>
      <c r="G213" s="74">
        <f>G214</f>
        <v>308763.09999999998</v>
      </c>
      <c r="H213" s="27">
        <v>0</v>
      </c>
      <c r="I213" s="27">
        <v>0</v>
      </c>
      <c r="J213" s="1"/>
    </row>
    <row r="214" spans="1:12" ht="22.5" customHeight="1">
      <c r="A214" s="16" t="s">
        <v>163</v>
      </c>
      <c r="B214" s="49">
        <v>795</v>
      </c>
      <c r="C214" s="15" t="s">
        <v>55</v>
      </c>
      <c r="D214" s="15" t="s">
        <v>127</v>
      </c>
      <c r="E214" s="15" t="s">
        <v>10</v>
      </c>
      <c r="F214" s="15" t="s">
        <v>164</v>
      </c>
      <c r="G214" s="74">
        <f>G215</f>
        <v>308763.09999999998</v>
      </c>
      <c r="H214" s="27">
        <v>0</v>
      </c>
      <c r="I214" s="27">
        <v>0</v>
      </c>
      <c r="J214" s="1"/>
    </row>
    <row r="215" spans="1:12" ht="16.5" customHeight="1">
      <c r="A215" s="16" t="s">
        <v>185</v>
      </c>
      <c r="B215" s="49">
        <v>795</v>
      </c>
      <c r="C215" s="15" t="s">
        <v>55</v>
      </c>
      <c r="D215" s="15" t="s">
        <v>127</v>
      </c>
      <c r="E215" s="15" t="s">
        <v>10</v>
      </c>
      <c r="F215" s="15" t="s">
        <v>186</v>
      </c>
      <c r="G215" s="74">
        <f>'прил 5'!G1278</f>
        <v>308763.09999999998</v>
      </c>
      <c r="H215" s="27">
        <v>0</v>
      </c>
      <c r="I215" s="27">
        <v>0</v>
      </c>
      <c r="J215" s="1"/>
    </row>
    <row r="216" spans="1:12" ht="77.25" hidden="1" customHeight="1">
      <c r="A216" s="16" t="s">
        <v>612</v>
      </c>
      <c r="B216" s="49">
        <v>795</v>
      </c>
      <c r="C216" s="15" t="s">
        <v>55</v>
      </c>
      <c r="D216" s="15" t="s">
        <v>127</v>
      </c>
      <c r="E216" s="15" t="s">
        <v>611</v>
      </c>
      <c r="F216" s="15"/>
      <c r="G216" s="74">
        <f>G217</f>
        <v>0</v>
      </c>
      <c r="H216" s="27">
        <v>0</v>
      </c>
      <c r="I216" s="27">
        <v>0</v>
      </c>
      <c r="J216" s="1"/>
    </row>
    <row r="217" spans="1:12" ht="22.5" hidden="1" customHeight="1">
      <c r="A217" s="16" t="s">
        <v>163</v>
      </c>
      <c r="B217" s="49">
        <v>795</v>
      </c>
      <c r="C217" s="15" t="s">
        <v>55</v>
      </c>
      <c r="D217" s="15" t="s">
        <v>127</v>
      </c>
      <c r="E217" s="15" t="s">
        <v>611</v>
      </c>
      <c r="F217" s="15" t="s">
        <v>164</v>
      </c>
      <c r="G217" s="74">
        <f>G218</f>
        <v>0</v>
      </c>
      <c r="H217" s="27">
        <v>0</v>
      </c>
      <c r="I217" s="27">
        <v>0</v>
      </c>
      <c r="J217" s="1"/>
    </row>
    <row r="218" spans="1:12" ht="16.5" hidden="1" customHeight="1">
      <c r="A218" s="16" t="s">
        <v>177</v>
      </c>
      <c r="B218" s="49">
        <v>795</v>
      </c>
      <c r="C218" s="15" t="s">
        <v>55</v>
      </c>
      <c r="D218" s="15" t="s">
        <v>127</v>
      </c>
      <c r="E218" s="15" t="s">
        <v>611</v>
      </c>
      <c r="F218" s="15" t="s">
        <v>178</v>
      </c>
      <c r="G218" s="74"/>
      <c r="H218" s="27">
        <v>0</v>
      </c>
      <c r="I218" s="27">
        <v>0</v>
      </c>
      <c r="J218" s="1"/>
    </row>
    <row r="219" spans="1:12" ht="48" hidden="1" customHeight="1">
      <c r="A219" s="16" t="s">
        <v>627</v>
      </c>
      <c r="B219" s="49">
        <v>795</v>
      </c>
      <c r="C219" s="15" t="s">
        <v>55</v>
      </c>
      <c r="D219" s="15" t="s">
        <v>127</v>
      </c>
      <c r="E219" s="88" t="s">
        <v>626</v>
      </c>
      <c r="F219" s="15"/>
      <c r="G219" s="74">
        <f>G220</f>
        <v>0</v>
      </c>
      <c r="H219" s="74">
        <v>0</v>
      </c>
      <c r="I219" s="74">
        <v>0</v>
      </c>
      <c r="J219" s="1"/>
    </row>
    <row r="220" spans="1:12" ht="22.5" hidden="1" customHeight="1">
      <c r="A220" s="16" t="s">
        <v>163</v>
      </c>
      <c r="B220" s="49">
        <v>795</v>
      </c>
      <c r="C220" s="15" t="s">
        <v>55</v>
      </c>
      <c r="D220" s="15" t="s">
        <v>127</v>
      </c>
      <c r="E220" s="15" t="s">
        <v>626</v>
      </c>
      <c r="F220" s="15" t="s">
        <v>164</v>
      </c>
      <c r="G220" s="74">
        <f>G221</f>
        <v>0</v>
      </c>
      <c r="H220" s="74">
        <v>0</v>
      </c>
      <c r="I220" s="74">
        <v>0</v>
      </c>
      <c r="J220" s="1"/>
    </row>
    <row r="221" spans="1:12" ht="16.5" hidden="1" customHeight="1">
      <c r="A221" s="16" t="s">
        <v>177</v>
      </c>
      <c r="B221" s="49">
        <v>795</v>
      </c>
      <c r="C221" s="15" t="s">
        <v>55</v>
      </c>
      <c r="D221" s="15" t="s">
        <v>127</v>
      </c>
      <c r="E221" s="15" t="s">
        <v>626</v>
      </c>
      <c r="F221" s="15" t="s">
        <v>178</v>
      </c>
      <c r="G221" s="74"/>
      <c r="H221" s="74">
        <v>0</v>
      </c>
      <c r="I221" s="74">
        <v>0</v>
      </c>
      <c r="J221" s="1"/>
    </row>
    <row r="222" spans="1:12" ht="63" hidden="1" customHeight="1">
      <c r="A222" s="16" t="s">
        <v>680</v>
      </c>
      <c r="B222" s="49">
        <v>795</v>
      </c>
      <c r="C222" s="15" t="s">
        <v>55</v>
      </c>
      <c r="D222" s="15" t="s">
        <v>127</v>
      </c>
      <c r="E222" s="15" t="s">
        <v>309</v>
      </c>
      <c r="F222" s="15"/>
      <c r="G222" s="74">
        <f>G223</f>
        <v>0</v>
      </c>
      <c r="H222" s="74"/>
      <c r="I222" s="74"/>
      <c r="J222" s="1"/>
    </row>
    <row r="223" spans="1:12" ht="16.5" hidden="1" customHeight="1">
      <c r="A223" s="16" t="s">
        <v>334</v>
      </c>
      <c r="B223" s="49">
        <v>795</v>
      </c>
      <c r="C223" s="15" t="s">
        <v>55</v>
      </c>
      <c r="D223" s="15" t="s">
        <v>127</v>
      </c>
      <c r="E223" s="15" t="s">
        <v>309</v>
      </c>
      <c r="F223" s="15" t="s">
        <v>37</v>
      </c>
      <c r="G223" s="74">
        <f>G224</f>
        <v>0</v>
      </c>
      <c r="H223" s="74"/>
      <c r="I223" s="74"/>
      <c r="J223" s="1"/>
    </row>
    <row r="224" spans="1:12" ht="28.5" hidden="1" customHeight="1">
      <c r="A224" s="16" t="s">
        <v>38</v>
      </c>
      <c r="B224" s="49">
        <v>795</v>
      </c>
      <c r="C224" s="15" t="s">
        <v>55</v>
      </c>
      <c r="D224" s="15" t="s">
        <v>127</v>
      </c>
      <c r="E224" s="15" t="s">
        <v>309</v>
      </c>
      <c r="F224" s="15" t="s">
        <v>39</v>
      </c>
      <c r="G224" s="74">
        <f>'прил 5'!G1281</f>
        <v>0</v>
      </c>
      <c r="H224" s="74"/>
      <c r="I224" s="74"/>
      <c r="J224" s="1"/>
    </row>
    <row r="225" spans="1:12" s="18" customFormat="1" ht="76.5" hidden="1" customHeight="1">
      <c r="A225" s="50" t="s">
        <v>693</v>
      </c>
      <c r="B225" s="49">
        <v>795</v>
      </c>
      <c r="C225" s="15" t="s">
        <v>55</v>
      </c>
      <c r="D225" s="15" t="s">
        <v>127</v>
      </c>
      <c r="E225" s="15" t="s">
        <v>729</v>
      </c>
      <c r="F225" s="15"/>
      <c r="G225" s="74">
        <f t="shared" ref="G225:I226" si="43">G226</f>
        <v>0</v>
      </c>
      <c r="H225" s="74">
        <f t="shared" si="43"/>
        <v>0</v>
      </c>
      <c r="I225" s="74">
        <f t="shared" si="43"/>
        <v>0</v>
      </c>
    </row>
    <row r="226" spans="1:12" s="18" customFormat="1" ht="15" hidden="1" customHeight="1">
      <c r="A226" s="16" t="s">
        <v>334</v>
      </c>
      <c r="B226" s="49">
        <v>795</v>
      </c>
      <c r="C226" s="15" t="s">
        <v>55</v>
      </c>
      <c r="D226" s="15" t="s">
        <v>127</v>
      </c>
      <c r="E226" s="15" t="s">
        <v>729</v>
      </c>
      <c r="F226" s="15" t="s">
        <v>37</v>
      </c>
      <c r="G226" s="74">
        <f t="shared" si="43"/>
        <v>0</v>
      </c>
      <c r="H226" s="74">
        <f t="shared" si="43"/>
        <v>0</v>
      </c>
      <c r="I226" s="74">
        <f t="shared" si="43"/>
        <v>0</v>
      </c>
    </row>
    <row r="227" spans="1:12" s="18" customFormat="1" ht="32.25" hidden="1" customHeight="1">
      <c r="A227" s="16" t="s">
        <v>38</v>
      </c>
      <c r="B227" s="49">
        <v>795</v>
      </c>
      <c r="C227" s="15" t="s">
        <v>55</v>
      </c>
      <c r="D227" s="15" t="s">
        <v>127</v>
      </c>
      <c r="E227" s="15" t="s">
        <v>729</v>
      </c>
      <c r="F227" s="15" t="s">
        <v>39</v>
      </c>
      <c r="G227" s="74">
        <f>'прил 5'!G1284</f>
        <v>0</v>
      </c>
      <c r="H227" s="74">
        <f>'прил 5'!H1284</f>
        <v>0</v>
      </c>
      <c r="I227" s="74">
        <f>'прил 5'!I1284</f>
        <v>0</v>
      </c>
      <c r="J227" s="18" t="s">
        <v>482</v>
      </c>
      <c r="L227" s="18">
        <v>26808448</v>
      </c>
    </row>
    <row r="228" spans="1:12" ht="87" customHeight="1">
      <c r="A228" s="16" t="s">
        <v>698</v>
      </c>
      <c r="B228" s="49">
        <v>795</v>
      </c>
      <c r="C228" s="15" t="s">
        <v>55</v>
      </c>
      <c r="D228" s="15" t="s">
        <v>127</v>
      </c>
      <c r="E228" s="15" t="s">
        <v>11</v>
      </c>
      <c r="F228" s="15"/>
      <c r="G228" s="74">
        <f>G229+G232+G235</f>
        <v>6090264</v>
      </c>
      <c r="H228" s="74">
        <f t="shared" ref="H228:I228" si="44">H229+H232+H235</f>
        <v>6116579</v>
      </c>
      <c r="I228" s="74">
        <f t="shared" si="44"/>
        <v>6146579</v>
      </c>
      <c r="J228" s="1"/>
    </row>
    <row r="229" spans="1:12" ht="91.5" hidden="1" customHeight="1">
      <c r="A229" s="16" t="s">
        <v>643</v>
      </c>
      <c r="B229" s="49">
        <v>795</v>
      </c>
      <c r="C229" s="15" t="s">
        <v>55</v>
      </c>
      <c r="D229" s="15" t="s">
        <v>127</v>
      </c>
      <c r="E229" s="15" t="s">
        <v>642</v>
      </c>
      <c r="F229" s="15"/>
      <c r="G229" s="74">
        <f>G230</f>
        <v>0</v>
      </c>
      <c r="H229" s="74">
        <v>0</v>
      </c>
      <c r="I229" s="74">
        <v>0</v>
      </c>
      <c r="J229" s="1"/>
    </row>
    <row r="230" spans="1:12" ht="22.5" hidden="1" customHeight="1">
      <c r="A230" s="16" t="s">
        <v>163</v>
      </c>
      <c r="B230" s="49">
        <v>795</v>
      </c>
      <c r="C230" s="15" t="s">
        <v>55</v>
      </c>
      <c r="D230" s="15" t="s">
        <v>127</v>
      </c>
      <c r="E230" s="15" t="s">
        <v>642</v>
      </c>
      <c r="F230" s="15" t="s">
        <v>164</v>
      </c>
      <c r="G230" s="74">
        <f>G231</f>
        <v>0</v>
      </c>
      <c r="H230" s="74">
        <v>0</v>
      </c>
      <c r="I230" s="74">
        <v>0</v>
      </c>
      <c r="J230" s="1"/>
    </row>
    <row r="231" spans="1:12" ht="16.5" hidden="1" customHeight="1">
      <c r="A231" s="16" t="s">
        <v>177</v>
      </c>
      <c r="B231" s="49">
        <v>795</v>
      </c>
      <c r="C231" s="15" t="s">
        <v>55</v>
      </c>
      <c r="D231" s="15" t="s">
        <v>127</v>
      </c>
      <c r="E231" s="15" t="s">
        <v>642</v>
      </c>
      <c r="F231" s="15" t="s">
        <v>178</v>
      </c>
      <c r="G231" s="74"/>
      <c r="H231" s="74">
        <v>0</v>
      </c>
      <c r="I231" s="74">
        <v>0</v>
      </c>
      <c r="J231" s="1"/>
    </row>
    <row r="232" spans="1:12" ht="48" hidden="1" customHeight="1">
      <c r="A232" s="16" t="s">
        <v>627</v>
      </c>
      <c r="B232" s="49">
        <v>795</v>
      </c>
      <c r="C232" s="15" t="s">
        <v>55</v>
      </c>
      <c r="D232" s="15" t="s">
        <v>127</v>
      </c>
      <c r="E232" s="15" t="s">
        <v>420</v>
      </c>
      <c r="F232" s="15"/>
      <c r="G232" s="74">
        <f>G233</f>
        <v>0</v>
      </c>
      <c r="H232" s="74">
        <v>0</v>
      </c>
      <c r="I232" s="74">
        <v>0</v>
      </c>
      <c r="J232" s="1"/>
    </row>
    <row r="233" spans="1:12" ht="22.5" hidden="1" customHeight="1">
      <c r="A233" s="16" t="s">
        <v>163</v>
      </c>
      <c r="B233" s="49">
        <v>795</v>
      </c>
      <c r="C233" s="15" t="s">
        <v>55</v>
      </c>
      <c r="D233" s="15" t="s">
        <v>127</v>
      </c>
      <c r="E233" s="15" t="s">
        <v>420</v>
      </c>
      <c r="F233" s="15" t="s">
        <v>164</v>
      </c>
      <c r="G233" s="74">
        <f>G234</f>
        <v>0</v>
      </c>
      <c r="H233" s="74">
        <v>0</v>
      </c>
      <c r="I233" s="74">
        <v>0</v>
      </c>
      <c r="J233" s="1"/>
    </row>
    <row r="234" spans="1:12" ht="16.5" hidden="1" customHeight="1">
      <c r="A234" s="16" t="s">
        <v>177</v>
      </c>
      <c r="B234" s="49">
        <v>795</v>
      </c>
      <c r="C234" s="15" t="s">
        <v>55</v>
      </c>
      <c r="D234" s="15" t="s">
        <v>127</v>
      </c>
      <c r="E234" s="15" t="s">
        <v>420</v>
      </c>
      <c r="F234" s="15" t="s">
        <v>178</v>
      </c>
      <c r="G234" s="74"/>
      <c r="H234" s="74">
        <v>0</v>
      </c>
      <c r="I234" s="74">
        <v>0</v>
      </c>
      <c r="J234" s="1"/>
    </row>
    <row r="235" spans="1:12" s="18" customFormat="1" ht="96" customHeight="1">
      <c r="A235" s="84" t="s">
        <v>699</v>
      </c>
      <c r="B235" s="49">
        <v>795</v>
      </c>
      <c r="C235" s="15" t="s">
        <v>55</v>
      </c>
      <c r="D235" s="15" t="s">
        <v>127</v>
      </c>
      <c r="E235" s="15" t="s">
        <v>644</v>
      </c>
      <c r="F235" s="15"/>
      <c r="G235" s="74">
        <f>G236+G238</f>
        <v>6090264</v>
      </c>
      <c r="H235" s="74">
        <f>H238+H236</f>
        <v>6116579</v>
      </c>
      <c r="I235" s="74">
        <f>I238+I236</f>
        <v>6146579</v>
      </c>
    </row>
    <row r="236" spans="1:12" s="18" customFormat="1" ht="24.75" hidden="1" customHeight="1">
      <c r="A236" s="16" t="s">
        <v>334</v>
      </c>
      <c r="B236" s="49">
        <v>795</v>
      </c>
      <c r="C236" s="15" t="s">
        <v>55</v>
      </c>
      <c r="D236" s="15" t="s">
        <v>127</v>
      </c>
      <c r="E236" s="15" t="s">
        <v>644</v>
      </c>
      <c r="F236" s="15" t="s">
        <v>37</v>
      </c>
      <c r="G236" s="74">
        <f t="shared" ref="G236:I236" si="45">G237</f>
        <v>0</v>
      </c>
      <c r="H236" s="74">
        <f t="shared" si="45"/>
        <v>0</v>
      </c>
      <c r="I236" s="74">
        <f t="shared" si="45"/>
        <v>0</v>
      </c>
    </row>
    <row r="237" spans="1:12" s="18" customFormat="1" ht="30.75" hidden="1" customHeight="1">
      <c r="A237" s="16" t="s">
        <v>38</v>
      </c>
      <c r="B237" s="49">
        <v>795</v>
      </c>
      <c r="C237" s="15" t="s">
        <v>55</v>
      </c>
      <c r="D237" s="15" t="s">
        <v>127</v>
      </c>
      <c r="E237" s="15" t="s">
        <v>644</v>
      </c>
      <c r="F237" s="15" t="s">
        <v>39</v>
      </c>
      <c r="G237" s="74">
        <f>5365800-50+268287.5-5634037.5</f>
        <v>0</v>
      </c>
      <c r="H237" s="74"/>
      <c r="I237" s="74">
        <f>'прил 5'!I1294</f>
        <v>0</v>
      </c>
    </row>
    <row r="238" spans="1:12" s="105" customFormat="1" ht="22.5" customHeight="1">
      <c r="A238" s="86" t="s">
        <v>163</v>
      </c>
      <c r="B238" s="87">
        <v>795</v>
      </c>
      <c r="C238" s="88" t="s">
        <v>55</v>
      </c>
      <c r="D238" s="88" t="s">
        <v>127</v>
      </c>
      <c r="E238" s="88" t="s">
        <v>644</v>
      </c>
      <c r="F238" s="88" t="s">
        <v>164</v>
      </c>
      <c r="G238" s="102">
        <f>G239</f>
        <v>6090264</v>
      </c>
      <c r="H238" s="102">
        <f t="shared" ref="H238:I238" si="46">H239</f>
        <v>6116579</v>
      </c>
      <c r="I238" s="102">
        <f t="shared" si="46"/>
        <v>6146579</v>
      </c>
    </row>
    <row r="239" spans="1:12" s="105" customFormat="1" ht="16.5" customHeight="1">
      <c r="A239" s="86" t="s">
        <v>185</v>
      </c>
      <c r="B239" s="87">
        <v>795</v>
      </c>
      <c r="C239" s="88" t="s">
        <v>55</v>
      </c>
      <c r="D239" s="88" t="s">
        <v>127</v>
      </c>
      <c r="E239" s="88" t="s">
        <v>644</v>
      </c>
      <c r="F239" s="88" t="s">
        <v>186</v>
      </c>
      <c r="G239" s="102">
        <f>'прил 5'!G1296+'прил 5'!G1076</f>
        <v>6090264</v>
      </c>
      <c r="H239" s="102">
        <f>'прил 5'!H1296+'прил 5'!H1076</f>
        <v>6116579</v>
      </c>
      <c r="I239" s="102">
        <f>'прил 5'!I1296+'прил 5'!I1076</f>
        <v>6146579</v>
      </c>
    </row>
    <row r="240" spans="1:12" s="132" customFormat="1" ht="63.75">
      <c r="A240" s="131" t="s">
        <v>533</v>
      </c>
      <c r="B240" s="128" t="s">
        <v>97</v>
      </c>
      <c r="C240" s="128" t="s">
        <v>26</v>
      </c>
      <c r="D240" s="128" t="s">
        <v>28</v>
      </c>
      <c r="E240" s="128" t="s">
        <v>221</v>
      </c>
      <c r="F240" s="128"/>
      <c r="G240" s="129">
        <f>G244+G247+G250+G253+G259+G256</f>
        <v>2279060.33</v>
      </c>
      <c r="H240" s="129">
        <f>H244+H247+H250+H253+H259+H256</f>
        <v>718270.21</v>
      </c>
      <c r="I240" s="129">
        <f>I244+I247+I250+I253+I259+I256</f>
        <v>464948426.54000002</v>
      </c>
    </row>
    <row r="241" spans="1:16" s="18" customFormat="1" ht="38.25" hidden="1">
      <c r="A241" s="16" t="s">
        <v>624</v>
      </c>
      <c r="B241" s="14">
        <v>757</v>
      </c>
      <c r="C241" s="15" t="s">
        <v>26</v>
      </c>
      <c r="D241" s="15" t="s">
        <v>71</v>
      </c>
      <c r="E241" s="15" t="s">
        <v>605</v>
      </c>
      <c r="F241" s="15"/>
      <c r="G241" s="74">
        <f>G242</f>
        <v>0</v>
      </c>
      <c r="H241" s="74">
        <f t="shared" ref="H241:I242" si="47">H242</f>
        <v>0</v>
      </c>
      <c r="I241" s="74">
        <f t="shared" si="47"/>
        <v>0</v>
      </c>
    </row>
    <row r="242" spans="1:16" s="18" customFormat="1" ht="36" hidden="1" customHeight="1">
      <c r="A242" s="16" t="s">
        <v>99</v>
      </c>
      <c r="B242" s="14">
        <v>757</v>
      </c>
      <c r="C242" s="15" t="s">
        <v>26</v>
      </c>
      <c r="D242" s="15" t="s">
        <v>71</v>
      </c>
      <c r="E242" s="15" t="s">
        <v>605</v>
      </c>
      <c r="F242" s="15" t="s">
        <v>359</v>
      </c>
      <c r="G242" s="74">
        <f>G243</f>
        <v>0</v>
      </c>
      <c r="H242" s="74">
        <f t="shared" si="47"/>
        <v>0</v>
      </c>
      <c r="I242" s="74">
        <f t="shared" si="47"/>
        <v>0</v>
      </c>
    </row>
    <row r="243" spans="1:16" s="18" customFormat="1" ht="99" hidden="1" customHeight="1">
      <c r="A243" s="50" t="s">
        <v>434</v>
      </c>
      <c r="B243" s="14">
        <v>757</v>
      </c>
      <c r="C243" s="15" t="s">
        <v>26</v>
      </c>
      <c r="D243" s="15" t="s">
        <v>71</v>
      </c>
      <c r="E243" s="15" t="s">
        <v>605</v>
      </c>
      <c r="F243" s="15" t="s">
        <v>433</v>
      </c>
      <c r="G243" s="74">
        <v>0</v>
      </c>
      <c r="H243" s="74"/>
      <c r="I243" s="74">
        <v>0</v>
      </c>
    </row>
    <row r="244" spans="1:16" s="18" customFormat="1" ht="25.5" hidden="1">
      <c r="A244" s="16" t="s">
        <v>525</v>
      </c>
      <c r="B244" s="15" t="s">
        <v>97</v>
      </c>
      <c r="C244" s="15" t="s">
        <v>26</v>
      </c>
      <c r="D244" s="15" t="s">
        <v>28</v>
      </c>
      <c r="E244" s="15" t="s">
        <v>524</v>
      </c>
      <c r="F244" s="15"/>
      <c r="G244" s="74">
        <f>G245</f>
        <v>0</v>
      </c>
      <c r="H244" s="74">
        <f t="shared" ref="H244:I245" si="48">H245</f>
        <v>0</v>
      </c>
      <c r="I244" s="74">
        <f t="shared" si="48"/>
        <v>0</v>
      </c>
    </row>
    <row r="245" spans="1:16" s="18" customFormat="1" ht="36" hidden="1" customHeight="1">
      <c r="A245" s="16" t="s">
        <v>99</v>
      </c>
      <c r="B245" s="15" t="s">
        <v>97</v>
      </c>
      <c r="C245" s="15" t="s">
        <v>26</v>
      </c>
      <c r="D245" s="15" t="s">
        <v>28</v>
      </c>
      <c r="E245" s="15" t="s">
        <v>524</v>
      </c>
      <c r="F245" s="15" t="s">
        <v>359</v>
      </c>
      <c r="G245" s="74">
        <f>G246</f>
        <v>0</v>
      </c>
      <c r="H245" s="74">
        <f t="shared" si="48"/>
        <v>0</v>
      </c>
      <c r="I245" s="74">
        <f t="shared" si="48"/>
        <v>0</v>
      </c>
    </row>
    <row r="246" spans="1:16" s="18" customFormat="1" ht="99" hidden="1" customHeight="1">
      <c r="A246" s="50" t="s">
        <v>434</v>
      </c>
      <c r="B246" s="15" t="s">
        <v>97</v>
      </c>
      <c r="C246" s="15" t="s">
        <v>26</v>
      </c>
      <c r="D246" s="15" t="s">
        <v>28</v>
      </c>
      <c r="E246" s="15" t="s">
        <v>524</v>
      </c>
      <c r="F246" s="15" t="s">
        <v>433</v>
      </c>
      <c r="G246" s="74">
        <v>0</v>
      </c>
      <c r="H246" s="74"/>
      <c r="I246" s="74">
        <v>0</v>
      </c>
    </row>
    <row r="247" spans="1:16" s="18" customFormat="1" ht="25.5" hidden="1">
      <c r="A247" s="16" t="s">
        <v>527</v>
      </c>
      <c r="B247" s="15" t="s">
        <v>97</v>
      </c>
      <c r="C247" s="15" t="s">
        <v>26</v>
      </c>
      <c r="D247" s="15" t="s">
        <v>28</v>
      </c>
      <c r="E247" s="15" t="s">
        <v>526</v>
      </c>
      <c r="F247" s="15"/>
      <c r="G247" s="74">
        <f>G248</f>
        <v>0</v>
      </c>
      <c r="H247" s="74">
        <f t="shared" ref="H247:I248" si="49">H248</f>
        <v>0</v>
      </c>
      <c r="I247" s="74">
        <f t="shared" si="49"/>
        <v>0</v>
      </c>
    </row>
    <row r="248" spans="1:16" s="18" customFormat="1" ht="36" hidden="1" customHeight="1">
      <c r="A248" s="16" t="s">
        <v>99</v>
      </c>
      <c r="B248" s="15" t="s">
        <v>97</v>
      </c>
      <c r="C248" s="15" t="s">
        <v>26</v>
      </c>
      <c r="D248" s="15" t="s">
        <v>28</v>
      </c>
      <c r="E248" s="15" t="s">
        <v>526</v>
      </c>
      <c r="F248" s="15" t="s">
        <v>359</v>
      </c>
      <c r="G248" s="74">
        <f>G249</f>
        <v>0</v>
      </c>
      <c r="H248" s="74">
        <f t="shared" si="49"/>
        <v>0</v>
      </c>
      <c r="I248" s="74">
        <f t="shared" si="49"/>
        <v>0</v>
      </c>
    </row>
    <row r="249" spans="1:16" s="18" customFormat="1" ht="99" hidden="1" customHeight="1">
      <c r="A249" s="50" t="s">
        <v>434</v>
      </c>
      <c r="B249" s="15" t="s">
        <v>97</v>
      </c>
      <c r="C249" s="15" t="s">
        <v>26</v>
      </c>
      <c r="D249" s="15" t="s">
        <v>28</v>
      </c>
      <c r="E249" s="15" t="s">
        <v>526</v>
      </c>
      <c r="F249" s="15" t="s">
        <v>433</v>
      </c>
      <c r="G249" s="74">
        <v>0</v>
      </c>
      <c r="H249" s="74"/>
      <c r="I249" s="74">
        <v>0</v>
      </c>
    </row>
    <row r="250" spans="1:16" s="18" customFormat="1" ht="89.25">
      <c r="A250" s="16" t="s">
        <v>454</v>
      </c>
      <c r="B250" s="49">
        <v>795</v>
      </c>
      <c r="C250" s="10" t="s">
        <v>180</v>
      </c>
      <c r="D250" s="10" t="s">
        <v>19</v>
      </c>
      <c r="E250" s="15" t="s">
        <v>545</v>
      </c>
      <c r="F250" s="15"/>
      <c r="G250" s="74">
        <f>G251</f>
        <v>1120140</v>
      </c>
      <c r="H250" s="74">
        <f t="shared" ref="H250:I251" si="50">H251</f>
        <v>0</v>
      </c>
      <c r="I250" s="74">
        <f t="shared" si="50"/>
        <v>454214220.66000003</v>
      </c>
    </row>
    <row r="251" spans="1:16" s="18" customFormat="1" ht="20.25" customHeight="1">
      <c r="A251" s="16" t="s">
        <v>64</v>
      </c>
      <c r="B251" s="49">
        <v>795</v>
      </c>
      <c r="C251" s="10" t="s">
        <v>180</v>
      </c>
      <c r="D251" s="10" t="s">
        <v>19</v>
      </c>
      <c r="E251" s="15" t="s">
        <v>545</v>
      </c>
      <c r="F251" s="15" t="s">
        <v>65</v>
      </c>
      <c r="G251" s="74">
        <f>G252</f>
        <v>1120140</v>
      </c>
      <c r="H251" s="74">
        <f t="shared" si="50"/>
        <v>0</v>
      </c>
      <c r="I251" s="74">
        <f t="shared" si="50"/>
        <v>454214220.66000003</v>
      </c>
    </row>
    <row r="252" spans="1:16" s="18" customFormat="1" ht="23.25" customHeight="1">
      <c r="A252" s="50" t="s">
        <v>150</v>
      </c>
      <c r="B252" s="49">
        <v>795</v>
      </c>
      <c r="C252" s="10" t="s">
        <v>180</v>
      </c>
      <c r="D252" s="10" t="s">
        <v>19</v>
      </c>
      <c r="E252" s="15" t="s">
        <v>545</v>
      </c>
      <c r="F252" s="15" t="s">
        <v>68</v>
      </c>
      <c r="G252" s="74">
        <f>'прил 5'!G1340</f>
        <v>1120140</v>
      </c>
      <c r="H252" s="74">
        <f>'прил 5'!H1340</f>
        <v>0</v>
      </c>
      <c r="I252" s="74">
        <f>'прил 5'!I1340</f>
        <v>454214220.66000003</v>
      </c>
      <c r="P252" s="17"/>
    </row>
    <row r="253" spans="1:16" s="18" customFormat="1" ht="76.5">
      <c r="A253" s="16" t="s">
        <v>455</v>
      </c>
      <c r="B253" s="49">
        <v>795</v>
      </c>
      <c r="C253" s="10" t="s">
        <v>180</v>
      </c>
      <c r="D253" s="10" t="s">
        <v>19</v>
      </c>
      <c r="E253" s="15" t="s">
        <v>546</v>
      </c>
      <c r="F253" s="15"/>
      <c r="G253" s="74">
        <f>G254</f>
        <v>21717</v>
      </c>
      <c r="H253" s="74">
        <f t="shared" ref="H253:I254" si="51">H254</f>
        <v>0</v>
      </c>
      <c r="I253" s="74">
        <f t="shared" si="51"/>
        <v>8797217.3200000003</v>
      </c>
    </row>
    <row r="254" spans="1:16" s="18" customFormat="1" ht="21.75" customHeight="1">
      <c r="A254" s="16" t="s">
        <v>64</v>
      </c>
      <c r="B254" s="49">
        <v>795</v>
      </c>
      <c r="C254" s="10" t="s">
        <v>180</v>
      </c>
      <c r="D254" s="10" t="s">
        <v>19</v>
      </c>
      <c r="E254" s="15" t="s">
        <v>546</v>
      </c>
      <c r="F254" s="15" t="s">
        <v>65</v>
      </c>
      <c r="G254" s="74">
        <f>G255</f>
        <v>21717</v>
      </c>
      <c r="H254" s="74">
        <f t="shared" si="51"/>
        <v>0</v>
      </c>
      <c r="I254" s="74">
        <f t="shared" si="51"/>
        <v>8797217.3200000003</v>
      </c>
    </row>
    <row r="255" spans="1:16" s="18" customFormat="1" ht="23.25" customHeight="1">
      <c r="A255" s="50" t="s">
        <v>150</v>
      </c>
      <c r="B255" s="49">
        <v>795</v>
      </c>
      <c r="C255" s="10" t="s">
        <v>180</v>
      </c>
      <c r="D255" s="10" t="s">
        <v>19</v>
      </c>
      <c r="E255" s="15" t="s">
        <v>546</v>
      </c>
      <c r="F255" s="15" t="s">
        <v>68</v>
      </c>
      <c r="G255" s="74">
        <f>'прил 5'!G1343</f>
        <v>21717</v>
      </c>
      <c r="H255" s="74">
        <f>'прил 5'!H1343</f>
        <v>0</v>
      </c>
      <c r="I255" s="74">
        <f>'прил 5'!I1343</f>
        <v>8797217.3200000003</v>
      </c>
    </row>
    <row r="256" spans="1:16" s="18" customFormat="1" ht="63" customHeight="1">
      <c r="A256" s="86" t="s">
        <v>910</v>
      </c>
      <c r="B256" s="49">
        <v>795</v>
      </c>
      <c r="C256" s="10" t="s">
        <v>180</v>
      </c>
      <c r="D256" s="10" t="s">
        <v>19</v>
      </c>
      <c r="E256" s="15" t="s">
        <v>546</v>
      </c>
      <c r="F256" s="15"/>
      <c r="G256" s="74">
        <f t="shared" ref="G256:I257" si="52">G257</f>
        <v>1143</v>
      </c>
      <c r="H256" s="74">
        <f t="shared" si="52"/>
        <v>0</v>
      </c>
      <c r="I256" s="74">
        <f t="shared" si="52"/>
        <v>0</v>
      </c>
    </row>
    <row r="257" spans="1:15" s="18" customFormat="1" ht="23.25" customHeight="1">
      <c r="A257" s="16" t="s">
        <v>64</v>
      </c>
      <c r="B257" s="49">
        <v>795</v>
      </c>
      <c r="C257" s="10" t="s">
        <v>180</v>
      </c>
      <c r="D257" s="10" t="s">
        <v>19</v>
      </c>
      <c r="E257" s="15" t="s">
        <v>546</v>
      </c>
      <c r="F257" s="15" t="s">
        <v>65</v>
      </c>
      <c r="G257" s="74">
        <f t="shared" si="52"/>
        <v>1143</v>
      </c>
      <c r="H257" s="74">
        <f t="shared" si="52"/>
        <v>0</v>
      </c>
      <c r="I257" s="74">
        <f t="shared" si="52"/>
        <v>0</v>
      </c>
    </row>
    <row r="258" spans="1:15" s="18" customFormat="1" ht="23.25" customHeight="1">
      <c r="A258" s="50" t="s">
        <v>150</v>
      </c>
      <c r="B258" s="49">
        <v>795</v>
      </c>
      <c r="C258" s="10" t="s">
        <v>180</v>
      </c>
      <c r="D258" s="10" t="s">
        <v>19</v>
      </c>
      <c r="E258" s="15" t="s">
        <v>546</v>
      </c>
      <c r="F258" s="15" t="s">
        <v>68</v>
      </c>
      <c r="G258" s="74">
        <v>1143</v>
      </c>
      <c r="H258" s="74"/>
      <c r="I258" s="74"/>
    </row>
    <row r="259" spans="1:15" s="46" customFormat="1" ht="48.75" customHeight="1">
      <c r="A259" s="16" t="s">
        <v>437</v>
      </c>
      <c r="B259" s="49">
        <v>795</v>
      </c>
      <c r="C259" s="10" t="s">
        <v>180</v>
      </c>
      <c r="D259" s="10" t="s">
        <v>19</v>
      </c>
      <c r="E259" s="15" t="s">
        <v>389</v>
      </c>
      <c r="F259" s="15"/>
      <c r="G259" s="74">
        <f>G260+G262</f>
        <v>1136060.33</v>
      </c>
      <c r="H259" s="74">
        <f t="shared" ref="G259:I260" si="53">H260</f>
        <v>718270.21</v>
      </c>
      <c r="I259" s="74">
        <f t="shared" si="53"/>
        <v>1936988.56</v>
      </c>
    </row>
    <row r="260" spans="1:15" s="46" customFormat="1" ht="28.5" customHeight="1">
      <c r="A260" s="16" t="s">
        <v>334</v>
      </c>
      <c r="B260" s="49">
        <v>795</v>
      </c>
      <c r="C260" s="10" t="s">
        <v>180</v>
      </c>
      <c r="D260" s="10" t="s">
        <v>19</v>
      </c>
      <c r="E260" s="15" t="s">
        <v>389</v>
      </c>
      <c r="F260" s="15" t="s">
        <v>37</v>
      </c>
      <c r="G260" s="74">
        <f t="shared" si="53"/>
        <v>736060.33000000007</v>
      </c>
      <c r="H260" s="74">
        <f t="shared" si="53"/>
        <v>718270.21</v>
      </c>
      <c r="I260" s="74">
        <f t="shared" si="53"/>
        <v>1936988.56</v>
      </c>
    </row>
    <row r="261" spans="1:15" s="46" customFormat="1" ht="28.5" customHeight="1">
      <c r="A261" s="16" t="s">
        <v>38</v>
      </c>
      <c r="B261" s="49">
        <v>795</v>
      </c>
      <c r="C261" s="10" t="s">
        <v>180</v>
      </c>
      <c r="D261" s="10" t="s">
        <v>19</v>
      </c>
      <c r="E261" s="15" t="s">
        <v>389</v>
      </c>
      <c r="F261" s="15" t="s">
        <v>39</v>
      </c>
      <c r="G261" s="74">
        <f>'прил 5'!G1349</f>
        <v>736060.33000000007</v>
      </c>
      <c r="H261" s="74">
        <f>'прил 5'!H1349</f>
        <v>718270.21</v>
      </c>
      <c r="I261" s="74">
        <f>'прил 5'!I1349</f>
        <v>1936988.56</v>
      </c>
    </row>
    <row r="262" spans="1:15">
      <c r="A262" s="86" t="s">
        <v>163</v>
      </c>
      <c r="B262" s="49">
        <v>795</v>
      </c>
      <c r="C262" s="15" t="s">
        <v>180</v>
      </c>
      <c r="D262" s="15" t="s">
        <v>28</v>
      </c>
      <c r="E262" s="15" t="s">
        <v>389</v>
      </c>
      <c r="F262" s="15" t="s">
        <v>164</v>
      </c>
      <c r="G262" s="74">
        <f>G263</f>
        <v>400000</v>
      </c>
      <c r="H262" s="74">
        <f>H263</f>
        <v>0</v>
      </c>
      <c r="I262" s="74">
        <f>I263</f>
        <v>0</v>
      </c>
      <c r="J262" s="1"/>
    </row>
    <row r="263" spans="1:15">
      <c r="A263" s="86" t="s">
        <v>185</v>
      </c>
      <c r="B263" s="49">
        <v>795</v>
      </c>
      <c r="C263" s="15" t="s">
        <v>180</v>
      </c>
      <c r="D263" s="15" t="s">
        <v>28</v>
      </c>
      <c r="E263" s="15" t="s">
        <v>389</v>
      </c>
      <c r="F263" s="15" t="s">
        <v>186</v>
      </c>
      <c r="G263" s="74">
        <v>400000</v>
      </c>
      <c r="H263" s="74">
        <v>0</v>
      </c>
      <c r="I263" s="74">
        <v>0</v>
      </c>
      <c r="J263" s="1"/>
    </row>
    <row r="264" spans="1:15" s="132" customFormat="1" ht="31.5" customHeight="1">
      <c r="A264" s="131" t="s">
        <v>496</v>
      </c>
      <c r="B264" s="127">
        <v>774</v>
      </c>
      <c r="C264" s="128" t="s">
        <v>26</v>
      </c>
      <c r="D264" s="128" t="s">
        <v>19</v>
      </c>
      <c r="E264" s="128" t="s">
        <v>196</v>
      </c>
      <c r="F264" s="128"/>
      <c r="G264" s="129">
        <f t="shared" ref="G264:O264" si="54">G265+G390+G435+G480+G484+G350</f>
        <v>1056072268.36</v>
      </c>
      <c r="H264" s="129">
        <f t="shared" si="54"/>
        <v>970400705.86999989</v>
      </c>
      <c r="I264" s="129">
        <f t="shared" si="54"/>
        <v>990797340.43999994</v>
      </c>
      <c r="J264" s="129">
        <f t="shared" si="54"/>
        <v>18738720</v>
      </c>
      <c r="K264" s="129">
        <f t="shared" si="54"/>
        <v>0</v>
      </c>
      <c r="L264" s="129">
        <f t="shared" si="54"/>
        <v>0</v>
      </c>
      <c r="M264" s="129">
        <f t="shared" si="54"/>
        <v>0</v>
      </c>
      <c r="N264" s="129">
        <f t="shared" si="54"/>
        <v>0</v>
      </c>
      <c r="O264" s="129">
        <f t="shared" si="54"/>
        <v>0</v>
      </c>
    </row>
    <row r="265" spans="1:15" s="18" customFormat="1" ht="29.25" customHeight="1">
      <c r="A265" s="16" t="s">
        <v>93</v>
      </c>
      <c r="B265" s="14">
        <v>774</v>
      </c>
      <c r="C265" s="15" t="s">
        <v>26</v>
      </c>
      <c r="D265" s="15" t="s">
        <v>19</v>
      </c>
      <c r="E265" s="15" t="s">
        <v>222</v>
      </c>
      <c r="F265" s="15"/>
      <c r="G265" s="74">
        <f>G271+G277+G280+G283+G293+G294+G302+G324+G339+G346+G325+G330+G344+G377+G349+G359+G290+G266+G372+G378+G331+G335+G389+G383+G368+G369+G313+G316+G384+G353+G297+G308+G303+G338+G272+G356+G319</f>
        <v>1008345607.5600001</v>
      </c>
      <c r="H265" s="74">
        <f>H271+H277+H280+H283+H293+H296+H302+H324+H339+H346+H325+H330+H344+H377+H349+H359+H290+H266+H372+H378+H331+H335+H389+H383+H313</f>
        <v>943108666.8499999</v>
      </c>
      <c r="I265" s="74">
        <f>I271+I277+I280+I283+I293+I296+I302+I324+I339+I346+I325+I330+I344+I377+I349+I359+I290+I266+I372+I378+I331+I335+I389+I383+I313</f>
        <v>963360259.96999991</v>
      </c>
      <c r="J265" s="17">
        <v>18738720</v>
      </c>
    </row>
    <row r="266" spans="1:15" ht="50.25" hidden="1" customHeight="1">
      <c r="A266" s="16" t="s">
        <v>669</v>
      </c>
      <c r="B266" s="15" t="s">
        <v>97</v>
      </c>
      <c r="C266" s="15" t="s">
        <v>26</v>
      </c>
      <c r="D266" s="15" t="s">
        <v>28</v>
      </c>
      <c r="E266" s="15" t="s">
        <v>668</v>
      </c>
      <c r="F266" s="15"/>
      <c r="G266" s="74">
        <f t="shared" ref="G266:I267" si="55">G267</f>
        <v>0</v>
      </c>
      <c r="H266" s="74">
        <f t="shared" si="55"/>
        <v>0</v>
      </c>
      <c r="I266" s="74">
        <f t="shared" si="55"/>
        <v>0</v>
      </c>
      <c r="J266" s="1"/>
    </row>
    <row r="267" spans="1:15" s="18" customFormat="1" ht="25.5" hidden="1">
      <c r="A267" s="16" t="s">
        <v>30</v>
      </c>
      <c r="B267" s="15" t="s">
        <v>97</v>
      </c>
      <c r="C267" s="15" t="s">
        <v>26</v>
      </c>
      <c r="D267" s="15" t="s">
        <v>28</v>
      </c>
      <c r="E267" s="15" t="s">
        <v>668</v>
      </c>
      <c r="F267" s="15" t="s">
        <v>31</v>
      </c>
      <c r="G267" s="74">
        <f t="shared" si="55"/>
        <v>0</v>
      </c>
      <c r="H267" s="74">
        <f t="shared" si="55"/>
        <v>0</v>
      </c>
      <c r="I267" s="74">
        <f t="shared" si="55"/>
        <v>0</v>
      </c>
      <c r="L267" s="17" t="e">
        <f>#REF!+#REF!</f>
        <v>#REF!</v>
      </c>
      <c r="M267" s="17" t="e">
        <f>#REF!-L267</f>
        <v>#REF!</v>
      </c>
    </row>
    <row r="268" spans="1:15" s="18" customFormat="1" hidden="1">
      <c r="A268" s="16" t="s">
        <v>32</v>
      </c>
      <c r="B268" s="15" t="s">
        <v>97</v>
      </c>
      <c r="C268" s="15" t="s">
        <v>26</v>
      </c>
      <c r="D268" s="15" t="s">
        <v>28</v>
      </c>
      <c r="E268" s="15" t="s">
        <v>668</v>
      </c>
      <c r="F268" s="15" t="s">
        <v>33</v>
      </c>
      <c r="G268" s="74">
        <f>'прил 5'!G444</f>
        <v>0</v>
      </c>
      <c r="H268" s="74">
        <f>'прил 5'!H443</f>
        <v>0</v>
      </c>
      <c r="I268" s="74">
        <f>'прил 5'!I443</f>
        <v>0</v>
      </c>
    </row>
    <row r="269" spans="1:15" s="18" customFormat="1" ht="56.25" customHeight="1">
      <c r="A269" s="84" t="s">
        <v>66</v>
      </c>
      <c r="B269" s="15" t="s">
        <v>97</v>
      </c>
      <c r="C269" s="15" t="s">
        <v>26</v>
      </c>
      <c r="D269" s="15" t="s">
        <v>28</v>
      </c>
      <c r="E269" s="15" t="s">
        <v>452</v>
      </c>
      <c r="F269" s="15"/>
      <c r="G269" s="102">
        <f t="shared" ref="G269:I270" si="56">G270</f>
        <v>664140</v>
      </c>
      <c r="H269" s="102">
        <f t="shared" si="56"/>
        <v>653140</v>
      </c>
      <c r="I269" s="102">
        <f t="shared" si="56"/>
        <v>653140</v>
      </c>
      <c r="J269" s="17">
        <v>188298123</v>
      </c>
    </row>
    <row r="270" spans="1:15" s="18" customFormat="1" ht="25.5">
      <c r="A270" s="16" t="s">
        <v>30</v>
      </c>
      <c r="B270" s="15" t="s">
        <v>97</v>
      </c>
      <c r="C270" s="15" t="s">
        <v>26</v>
      </c>
      <c r="D270" s="15" t="s">
        <v>28</v>
      </c>
      <c r="E270" s="15" t="s">
        <v>452</v>
      </c>
      <c r="F270" s="15" t="s">
        <v>31</v>
      </c>
      <c r="G270" s="102">
        <f t="shared" si="56"/>
        <v>664140</v>
      </c>
      <c r="H270" s="102">
        <f t="shared" si="56"/>
        <v>653140</v>
      </c>
      <c r="I270" s="102">
        <f t="shared" si="56"/>
        <v>653140</v>
      </c>
      <c r="J270" s="17">
        <v>100473040</v>
      </c>
    </row>
    <row r="271" spans="1:15" s="18" customFormat="1">
      <c r="A271" s="16" t="s">
        <v>32</v>
      </c>
      <c r="B271" s="15" t="s">
        <v>97</v>
      </c>
      <c r="C271" s="15" t="s">
        <v>26</v>
      </c>
      <c r="D271" s="15" t="s">
        <v>28</v>
      </c>
      <c r="E271" s="15" t="s">
        <v>452</v>
      </c>
      <c r="F271" s="15" t="s">
        <v>33</v>
      </c>
      <c r="G271" s="74">
        <f>'прил 5'!G742</f>
        <v>664140</v>
      </c>
      <c r="H271" s="74">
        <f>'прил 5'!H742</f>
        <v>653140</v>
      </c>
      <c r="I271" s="74">
        <f>'прил 5'!I742</f>
        <v>653140</v>
      </c>
      <c r="J271" s="17">
        <v>1481975</v>
      </c>
    </row>
    <row r="272" spans="1:15" s="18" customFormat="1" ht="76.5">
      <c r="A272" s="84" t="s">
        <v>817</v>
      </c>
      <c r="B272" s="15" t="s">
        <v>97</v>
      </c>
      <c r="C272" s="15" t="s">
        <v>26</v>
      </c>
      <c r="D272" s="15" t="s">
        <v>28</v>
      </c>
      <c r="E272" s="15" t="s">
        <v>816</v>
      </c>
      <c r="F272" s="15"/>
      <c r="G272" s="74">
        <f t="shared" ref="G272:I273" si="57">G273</f>
        <v>1803468</v>
      </c>
      <c r="H272" s="74">
        <f t="shared" si="57"/>
        <v>0</v>
      </c>
      <c r="I272" s="74">
        <f t="shared" si="57"/>
        <v>0</v>
      </c>
    </row>
    <row r="273" spans="1:10" s="18" customFormat="1" ht="25.5">
      <c r="A273" s="16" t="s">
        <v>30</v>
      </c>
      <c r="B273" s="15" t="s">
        <v>97</v>
      </c>
      <c r="C273" s="15" t="s">
        <v>26</v>
      </c>
      <c r="D273" s="15" t="s">
        <v>28</v>
      </c>
      <c r="E273" s="15" t="s">
        <v>816</v>
      </c>
      <c r="F273" s="15" t="s">
        <v>31</v>
      </c>
      <c r="G273" s="74">
        <f t="shared" si="57"/>
        <v>1803468</v>
      </c>
      <c r="H273" s="74">
        <f t="shared" si="57"/>
        <v>0</v>
      </c>
      <c r="I273" s="74">
        <f t="shared" si="57"/>
        <v>0</v>
      </c>
    </row>
    <row r="274" spans="1:10" s="18" customFormat="1">
      <c r="A274" s="16" t="s">
        <v>32</v>
      </c>
      <c r="B274" s="15" t="s">
        <v>97</v>
      </c>
      <c r="C274" s="15" t="s">
        <v>26</v>
      </c>
      <c r="D274" s="15" t="s">
        <v>28</v>
      </c>
      <c r="E274" s="15" t="s">
        <v>816</v>
      </c>
      <c r="F274" s="15" t="s">
        <v>33</v>
      </c>
      <c r="G274" s="74">
        <v>1803468</v>
      </c>
      <c r="H274" s="74"/>
      <c r="I274" s="74"/>
    </row>
    <row r="275" spans="1:10" s="18" customFormat="1" ht="60" customHeight="1">
      <c r="A275" s="16" t="s">
        <v>3</v>
      </c>
      <c r="B275" s="15"/>
      <c r="C275" s="15"/>
      <c r="D275" s="15"/>
      <c r="E275" s="15" t="s">
        <v>140</v>
      </c>
      <c r="F275" s="15"/>
      <c r="G275" s="74">
        <f t="shared" ref="G275:I276" si="58">G276</f>
        <v>59382449.999999993</v>
      </c>
      <c r="H275" s="74">
        <f t="shared" si="58"/>
        <v>55320000</v>
      </c>
      <c r="I275" s="74">
        <f t="shared" si="58"/>
        <v>57532800</v>
      </c>
      <c r="J275" s="17">
        <v>1277362</v>
      </c>
    </row>
    <row r="276" spans="1:10" s="18" customFormat="1" ht="25.5">
      <c r="A276" s="16" t="s">
        <v>30</v>
      </c>
      <c r="B276" s="15" t="s">
        <v>97</v>
      </c>
      <c r="C276" s="15" t="s">
        <v>26</v>
      </c>
      <c r="D276" s="15" t="s">
        <v>28</v>
      </c>
      <c r="E276" s="15" t="s">
        <v>140</v>
      </c>
      <c r="F276" s="15" t="s">
        <v>31</v>
      </c>
      <c r="G276" s="74">
        <f t="shared" si="58"/>
        <v>59382449.999999993</v>
      </c>
      <c r="H276" s="102">
        <f t="shared" si="58"/>
        <v>55320000</v>
      </c>
      <c r="I276" s="102">
        <f t="shared" si="58"/>
        <v>57532800</v>
      </c>
      <c r="J276" s="17">
        <v>442381</v>
      </c>
    </row>
    <row r="277" spans="1:10" s="18" customFormat="1">
      <c r="A277" s="16" t="s">
        <v>32</v>
      </c>
      <c r="B277" s="15" t="s">
        <v>97</v>
      </c>
      <c r="C277" s="15" t="s">
        <v>26</v>
      </c>
      <c r="D277" s="15" t="s">
        <v>28</v>
      </c>
      <c r="E277" s="15" t="s">
        <v>140</v>
      </c>
      <c r="F277" s="15" t="s">
        <v>33</v>
      </c>
      <c r="G277" s="74">
        <f>'прил 5'!G447+'прил 5'!G379+'прил 5'!G606+'прил 5'!G90</f>
        <v>59382449.999999993</v>
      </c>
      <c r="H277" s="74">
        <f>'прил 5'!H447+'прил 5'!H379+'прил 5'!H606+'прил 5'!H90</f>
        <v>55320000</v>
      </c>
      <c r="I277" s="74">
        <f>'прил 5'!I447+'прил 5'!I379+'прил 5'!I606+'прил 5'!I90</f>
        <v>57532800</v>
      </c>
      <c r="J277" s="17">
        <v>100000</v>
      </c>
    </row>
    <row r="278" spans="1:10" s="18" customFormat="1">
      <c r="A278" s="16" t="s">
        <v>94</v>
      </c>
      <c r="B278" s="15" t="s">
        <v>97</v>
      </c>
      <c r="C278" s="15" t="s">
        <v>26</v>
      </c>
      <c r="D278" s="15" t="s">
        <v>28</v>
      </c>
      <c r="E278" s="15" t="s">
        <v>139</v>
      </c>
      <c r="F278" s="15"/>
      <c r="G278" s="74">
        <f>G279+G281</f>
        <v>609852768.29999995</v>
      </c>
      <c r="H278" s="74">
        <f t="shared" ref="H278:I278" si="59">H279+H281</f>
        <v>593846708.29999995</v>
      </c>
      <c r="I278" s="74">
        <f t="shared" si="59"/>
        <v>608317632.29999995</v>
      </c>
      <c r="J278" s="17">
        <v>1000000</v>
      </c>
    </row>
    <row r="279" spans="1:10" s="18" customFormat="1" hidden="1">
      <c r="A279" s="16" t="s">
        <v>64</v>
      </c>
      <c r="B279" s="15" t="s">
        <v>97</v>
      </c>
      <c r="C279" s="15" t="s">
        <v>26</v>
      </c>
      <c r="D279" s="15" t="s">
        <v>28</v>
      </c>
      <c r="E279" s="15" t="s">
        <v>139</v>
      </c>
      <c r="F279" s="15" t="s">
        <v>65</v>
      </c>
      <c r="G279" s="74">
        <f t="shared" ref="G279:I279" si="60">G280</f>
        <v>0</v>
      </c>
      <c r="H279" s="102">
        <f t="shared" si="60"/>
        <v>0</v>
      </c>
      <c r="I279" s="102">
        <f t="shared" si="60"/>
        <v>0</v>
      </c>
      <c r="J279" s="17">
        <v>28108080</v>
      </c>
    </row>
    <row r="280" spans="1:10" s="18" customFormat="1" hidden="1">
      <c r="A280" s="16" t="s">
        <v>187</v>
      </c>
      <c r="B280" s="15" t="s">
        <v>97</v>
      </c>
      <c r="C280" s="15" t="s">
        <v>26</v>
      </c>
      <c r="D280" s="15" t="s">
        <v>28</v>
      </c>
      <c r="E280" s="15" t="s">
        <v>139</v>
      </c>
      <c r="F280" s="15" t="s">
        <v>188</v>
      </c>
      <c r="G280" s="74">
        <f>'прил 5'!G453</f>
        <v>0</v>
      </c>
      <c r="H280" s="102">
        <f>'прил 5'!H453</f>
        <v>0</v>
      </c>
      <c r="I280" s="102">
        <f>'прил 5'!I453</f>
        <v>0</v>
      </c>
      <c r="J280" s="17">
        <v>346225581</v>
      </c>
    </row>
    <row r="281" spans="1:10" s="18" customFormat="1" ht="15" customHeight="1">
      <c r="A281" s="16" t="s">
        <v>94</v>
      </c>
      <c r="B281" s="14">
        <v>774</v>
      </c>
      <c r="C281" s="15" t="s">
        <v>26</v>
      </c>
      <c r="D281" s="15" t="s">
        <v>19</v>
      </c>
      <c r="E281" s="15" t="s">
        <v>139</v>
      </c>
      <c r="F281" s="15"/>
      <c r="G281" s="74">
        <f t="shared" ref="G281:I282" si="61">G282</f>
        <v>609852768.29999995</v>
      </c>
      <c r="H281" s="102">
        <f t="shared" si="61"/>
        <v>593846708.29999995</v>
      </c>
      <c r="I281" s="102">
        <f t="shared" si="61"/>
        <v>608317632.29999995</v>
      </c>
      <c r="J281" s="17"/>
    </row>
    <row r="282" spans="1:10" s="18" customFormat="1" ht="25.5">
      <c r="A282" s="16" t="s">
        <v>30</v>
      </c>
      <c r="B282" s="14">
        <v>774</v>
      </c>
      <c r="C282" s="15" t="s">
        <v>26</v>
      </c>
      <c r="D282" s="15" t="s">
        <v>19</v>
      </c>
      <c r="E282" s="15" t="s">
        <v>139</v>
      </c>
      <c r="F282" s="15" t="s">
        <v>31</v>
      </c>
      <c r="G282" s="74">
        <f t="shared" si="61"/>
        <v>609852768.29999995</v>
      </c>
      <c r="H282" s="102">
        <f t="shared" si="61"/>
        <v>593846708.29999995</v>
      </c>
      <c r="I282" s="102">
        <f t="shared" si="61"/>
        <v>608317632.29999995</v>
      </c>
      <c r="J282" s="17">
        <v>6074133</v>
      </c>
    </row>
    <row r="283" spans="1:10" s="18" customFormat="1">
      <c r="A283" s="16" t="s">
        <v>32</v>
      </c>
      <c r="B283" s="14">
        <v>774</v>
      </c>
      <c r="C283" s="15" t="s">
        <v>26</v>
      </c>
      <c r="D283" s="15" t="s">
        <v>19</v>
      </c>
      <c r="E283" s="15" t="s">
        <v>139</v>
      </c>
      <c r="F283" s="15" t="s">
        <v>33</v>
      </c>
      <c r="G283" s="74">
        <f>'прил 5'!G382+'прил 5'!G450+'прил 5'!G609</f>
        <v>609852768.29999995</v>
      </c>
      <c r="H283" s="74">
        <f>'прил 5'!H382+'прил 5'!H450+'прил 5'!H609</f>
        <v>593846708.29999995</v>
      </c>
      <c r="I283" s="74">
        <f>'прил 5'!I382+'прил 5'!I450+'прил 5'!I609</f>
        <v>608317632.29999995</v>
      </c>
      <c r="J283" s="17">
        <v>123332466</v>
      </c>
    </row>
    <row r="284" spans="1:10" s="18" customFormat="1" ht="15" hidden="1" customHeight="1">
      <c r="A284" s="16" t="s">
        <v>94</v>
      </c>
      <c r="B284" s="14">
        <v>774</v>
      </c>
      <c r="C284" s="15" t="s">
        <v>26</v>
      </c>
      <c r="D284" s="15" t="s">
        <v>19</v>
      </c>
      <c r="E284" s="15" t="s">
        <v>223</v>
      </c>
      <c r="F284" s="15"/>
      <c r="G284" s="74">
        <f t="shared" ref="G284:I285" si="62">G285</f>
        <v>0</v>
      </c>
      <c r="H284" s="102">
        <f t="shared" si="62"/>
        <v>0</v>
      </c>
      <c r="I284" s="102">
        <f t="shared" si="62"/>
        <v>0</v>
      </c>
      <c r="J284" s="17"/>
    </row>
    <row r="285" spans="1:10" s="18" customFormat="1" ht="25.5" hidden="1">
      <c r="A285" s="16" t="s">
        <v>30</v>
      </c>
      <c r="B285" s="14">
        <v>774</v>
      </c>
      <c r="C285" s="15" t="s">
        <v>26</v>
      </c>
      <c r="D285" s="15" t="s">
        <v>19</v>
      </c>
      <c r="E285" s="15" t="s">
        <v>223</v>
      </c>
      <c r="F285" s="15" t="s">
        <v>31</v>
      </c>
      <c r="G285" s="74">
        <f t="shared" si="62"/>
        <v>0</v>
      </c>
      <c r="H285" s="102">
        <f t="shared" si="62"/>
        <v>0</v>
      </c>
      <c r="I285" s="102">
        <f t="shared" si="62"/>
        <v>0</v>
      </c>
      <c r="J285" s="17"/>
    </row>
    <row r="286" spans="1:10" s="18" customFormat="1" hidden="1">
      <c r="A286" s="16" t="s">
        <v>32</v>
      </c>
      <c r="B286" s="14">
        <v>774</v>
      </c>
      <c r="C286" s="15" t="s">
        <v>26</v>
      </c>
      <c r="D286" s="15" t="s">
        <v>19</v>
      </c>
      <c r="E286" s="15" t="s">
        <v>223</v>
      </c>
      <c r="F286" s="15" t="s">
        <v>33</v>
      </c>
      <c r="G286" s="74"/>
      <c r="H286" s="102"/>
      <c r="I286" s="102"/>
      <c r="J286" s="17"/>
    </row>
    <row r="287" spans="1:10" s="18" customFormat="1" ht="51" hidden="1">
      <c r="A287" s="16" t="s">
        <v>34</v>
      </c>
      <c r="B287" s="14">
        <v>774</v>
      </c>
      <c r="C287" s="15" t="s">
        <v>26</v>
      </c>
      <c r="D287" s="15" t="s">
        <v>19</v>
      </c>
      <c r="E287" s="15" t="s">
        <v>223</v>
      </c>
      <c r="F287" s="15" t="s">
        <v>95</v>
      </c>
      <c r="G287" s="74"/>
      <c r="H287" s="102"/>
      <c r="I287" s="102"/>
      <c r="J287" s="17"/>
    </row>
    <row r="288" spans="1:10" s="18" customFormat="1" ht="53.25" customHeight="1">
      <c r="A288" s="16" t="s">
        <v>658</v>
      </c>
      <c r="B288" s="15" t="s">
        <v>97</v>
      </c>
      <c r="C288" s="15" t="s">
        <v>26</v>
      </c>
      <c r="D288" s="15" t="s">
        <v>71</v>
      </c>
      <c r="E288" s="15" t="s">
        <v>657</v>
      </c>
      <c r="F288" s="15"/>
      <c r="G288" s="74">
        <f t="shared" ref="G288:I289" si="63">G289</f>
        <v>11216231.699999999</v>
      </c>
      <c r="H288" s="74">
        <f t="shared" si="63"/>
        <v>11240391.699999999</v>
      </c>
      <c r="I288" s="74">
        <f t="shared" si="63"/>
        <v>11483367.699999999</v>
      </c>
    </row>
    <row r="289" spans="1:10" s="18" customFormat="1" ht="25.5">
      <c r="A289" s="16" t="s">
        <v>30</v>
      </c>
      <c r="B289" s="15" t="s">
        <v>97</v>
      </c>
      <c r="C289" s="15" t="s">
        <v>26</v>
      </c>
      <c r="D289" s="15" t="s">
        <v>71</v>
      </c>
      <c r="E289" s="15" t="s">
        <v>657</v>
      </c>
      <c r="F289" s="15" t="s">
        <v>31</v>
      </c>
      <c r="G289" s="74">
        <f t="shared" si="63"/>
        <v>11216231.699999999</v>
      </c>
      <c r="H289" s="74">
        <f t="shared" si="63"/>
        <v>11240391.699999999</v>
      </c>
      <c r="I289" s="74">
        <f t="shared" si="63"/>
        <v>11483367.699999999</v>
      </c>
    </row>
    <row r="290" spans="1:10" s="18" customFormat="1">
      <c r="A290" s="16" t="s">
        <v>32</v>
      </c>
      <c r="B290" s="15" t="s">
        <v>97</v>
      </c>
      <c r="C290" s="15" t="s">
        <v>26</v>
      </c>
      <c r="D290" s="15" t="s">
        <v>71</v>
      </c>
      <c r="E290" s="15" t="s">
        <v>657</v>
      </c>
      <c r="F290" s="15" t="s">
        <v>33</v>
      </c>
      <c r="G290" s="74">
        <f>'прил 5'!G618</f>
        <v>11216231.699999999</v>
      </c>
      <c r="H290" s="74">
        <f>'прил 5'!H618</f>
        <v>11240391.699999999</v>
      </c>
      <c r="I290" s="74">
        <f>'прил 5'!I618</f>
        <v>11483367.699999999</v>
      </c>
    </row>
    <row r="291" spans="1:10" s="18" customFormat="1" ht="25.5">
      <c r="A291" s="16" t="s">
        <v>96</v>
      </c>
      <c r="B291" s="14">
        <v>774</v>
      </c>
      <c r="C291" s="15" t="s">
        <v>26</v>
      </c>
      <c r="D291" s="15" t="s">
        <v>19</v>
      </c>
      <c r="E291" s="15" t="s">
        <v>224</v>
      </c>
      <c r="F291" s="15"/>
      <c r="G291" s="74">
        <f t="shared" ref="G291:I292" si="64">G292</f>
        <v>99727111.450000003</v>
      </c>
      <c r="H291" s="102">
        <f t="shared" si="64"/>
        <v>94660352.090000004</v>
      </c>
      <c r="I291" s="102">
        <f t="shared" si="64"/>
        <v>93877052.649999991</v>
      </c>
      <c r="J291" s="17">
        <v>100000</v>
      </c>
    </row>
    <row r="292" spans="1:10" s="18" customFormat="1" ht="25.5">
      <c r="A292" s="16" t="s">
        <v>30</v>
      </c>
      <c r="B292" s="14">
        <v>774</v>
      </c>
      <c r="C292" s="15" t="s">
        <v>26</v>
      </c>
      <c r="D292" s="15" t="s">
        <v>19</v>
      </c>
      <c r="E292" s="15" t="s">
        <v>224</v>
      </c>
      <c r="F292" s="15" t="s">
        <v>31</v>
      </c>
      <c r="G292" s="74">
        <f t="shared" si="64"/>
        <v>99727111.450000003</v>
      </c>
      <c r="H292" s="102">
        <f t="shared" si="64"/>
        <v>94660352.090000004</v>
      </c>
      <c r="I292" s="102">
        <f t="shared" si="64"/>
        <v>93877052.649999991</v>
      </c>
      <c r="J292" s="17">
        <v>1000000</v>
      </c>
    </row>
    <row r="293" spans="1:10" s="18" customFormat="1">
      <c r="A293" s="16" t="s">
        <v>32</v>
      </c>
      <c r="B293" s="14">
        <v>774</v>
      </c>
      <c r="C293" s="15" t="s">
        <v>26</v>
      </c>
      <c r="D293" s="15" t="s">
        <v>19</v>
      </c>
      <c r="E293" s="15" t="s">
        <v>224</v>
      </c>
      <c r="F293" s="15" t="s">
        <v>33</v>
      </c>
      <c r="G293" s="74">
        <f>'прил 5'!G385</f>
        <v>99727111.450000003</v>
      </c>
      <c r="H293" s="74">
        <f>'прил 5'!H385</f>
        <v>94660352.090000004</v>
      </c>
      <c r="I293" s="74">
        <f>'прил 5'!I385</f>
        <v>93877052.649999991</v>
      </c>
      <c r="J293" s="17">
        <v>3557619</v>
      </c>
    </row>
    <row r="294" spans="1:10" ht="43.5" customHeight="1">
      <c r="A294" s="16" t="s">
        <v>122</v>
      </c>
      <c r="B294" s="15" t="s">
        <v>97</v>
      </c>
      <c r="C294" s="15" t="s">
        <v>26</v>
      </c>
      <c r="D294" s="15" t="s">
        <v>28</v>
      </c>
      <c r="E294" s="15" t="s">
        <v>229</v>
      </c>
      <c r="F294" s="15"/>
      <c r="G294" s="74">
        <f>G295</f>
        <v>122175538.72999999</v>
      </c>
      <c r="H294" s="102">
        <f>H295</f>
        <v>115376473.42999999</v>
      </c>
      <c r="I294" s="102">
        <f>I295</f>
        <v>117568068.74000001</v>
      </c>
      <c r="J294" s="17">
        <v>1832238</v>
      </c>
    </row>
    <row r="295" spans="1:10" ht="25.5">
      <c r="A295" s="16" t="s">
        <v>30</v>
      </c>
      <c r="B295" s="15" t="s">
        <v>97</v>
      </c>
      <c r="C295" s="15" t="s">
        <v>26</v>
      </c>
      <c r="D295" s="15" t="s">
        <v>28</v>
      </c>
      <c r="E295" s="15" t="s">
        <v>229</v>
      </c>
      <c r="F295" s="15" t="s">
        <v>31</v>
      </c>
      <c r="G295" s="74">
        <f t="shared" ref="G295:I295" si="65">G296</f>
        <v>122175538.72999999</v>
      </c>
      <c r="H295" s="102">
        <f t="shared" si="65"/>
        <v>115376473.42999999</v>
      </c>
      <c r="I295" s="102">
        <f t="shared" si="65"/>
        <v>117568068.74000001</v>
      </c>
      <c r="J295" s="17">
        <v>275000</v>
      </c>
    </row>
    <row r="296" spans="1:10">
      <c r="A296" s="16" t="s">
        <v>32</v>
      </c>
      <c r="B296" s="15" t="s">
        <v>97</v>
      </c>
      <c r="C296" s="15" t="s">
        <v>26</v>
      </c>
      <c r="D296" s="15" t="s">
        <v>28</v>
      </c>
      <c r="E296" s="15" t="s">
        <v>229</v>
      </c>
      <c r="F296" s="15" t="s">
        <v>33</v>
      </c>
      <c r="G296" s="74">
        <f>'прил 5'!G458</f>
        <v>122175538.72999999</v>
      </c>
      <c r="H296" s="74">
        <f>'прил 5'!H458</f>
        <v>115376473.42999999</v>
      </c>
      <c r="I296" s="74">
        <f>'прил 5'!I458</f>
        <v>117568068.74000001</v>
      </c>
      <c r="J296" s="17">
        <v>2097500</v>
      </c>
    </row>
    <row r="297" spans="1:10" ht="43.5" hidden="1" customHeight="1">
      <c r="A297" s="86" t="s">
        <v>776</v>
      </c>
      <c r="B297" s="88"/>
      <c r="C297" s="88"/>
      <c r="D297" s="88"/>
      <c r="E297" s="88" t="s">
        <v>770</v>
      </c>
      <c r="F297" s="88"/>
      <c r="G297" s="102">
        <f>G298</f>
        <v>0</v>
      </c>
      <c r="H297" s="102"/>
      <c r="I297" s="102"/>
      <c r="J297" s="17"/>
    </row>
    <row r="298" spans="1:10" ht="25.5" hidden="1">
      <c r="A298" s="86" t="s">
        <v>99</v>
      </c>
      <c r="B298" s="88" t="s">
        <v>97</v>
      </c>
      <c r="C298" s="88" t="s">
        <v>26</v>
      </c>
      <c r="D298" s="88" t="s">
        <v>28</v>
      </c>
      <c r="E298" s="88" t="s">
        <v>770</v>
      </c>
      <c r="F298" s="88" t="s">
        <v>359</v>
      </c>
      <c r="G298" s="102">
        <f>G299</f>
        <v>0</v>
      </c>
      <c r="H298" s="74">
        <f>H299</f>
        <v>0</v>
      </c>
      <c r="I298" s="74">
        <f>I299</f>
        <v>0</v>
      </c>
      <c r="J298" s="1"/>
    </row>
    <row r="299" spans="1:10" s="3" customFormat="1" ht="89.25" hidden="1">
      <c r="A299" s="86" t="s">
        <v>434</v>
      </c>
      <c r="B299" s="217">
        <v>774</v>
      </c>
      <c r="C299" s="88" t="s">
        <v>26</v>
      </c>
      <c r="D299" s="88" t="s">
        <v>28</v>
      </c>
      <c r="E299" s="88" t="s">
        <v>770</v>
      </c>
      <c r="F299" s="88" t="s">
        <v>433</v>
      </c>
      <c r="G299" s="102">
        <f>'прил 5'!G461</f>
        <v>0</v>
      </c>
      <c r="H299" s="74">
        <v>0</v>
      </c>
      <c r="I299" s="74">
        <v>0</v>
      </c>
    </row>
    <row r="300" spans="1:10" ht="25.5">
      <c r="A300" s="16" t="s">
        <v>29</v>
      </c>
      <c r="B300" s="15" t="s">
        <v>97</v>
      </c>
      <c r="C300" s="15" t="s">
        <v>26</v>
      </c>
      <c r="D300" s="15" t="s">
        <v>28</v>
      </c>
      <c r="E300" s="15" t="s">
        <v>230</v>
      </c>
      <c r="F300" s="15"/>
      <c r="G300" s="102">
        <f t="shared" ref="G300:I301" si="66">G301</f>
        <v>16636865.750000002</v>
      </c>
      <c r="H300" s="102">
        <f t="shared" si="66"/>
        <v>14417808.23</v>
      </c>
      <c r="I300" s="102">
        <f t="shared" si="66"/>
        <v>14379702.379999999</v>
      </c>
      <c r="J300" s="2">
        <v>66815463</v>
      </c>
    </row>
    <row r="301" spans="1:10" ht="25.5">
      <c r="A301" s="16" t="s">
        <v>30</v>
      </c>
      <c r="B301" s="15" t="s">
        <v>97</v>
      </c>
      <c r="C301" s="15" t="s">
        <v>26</v>
      </c>
      <c r="D301" s="15" t="s">
        <v>28</v>
      </c>
      <c r="E301" s="15" t="s">
        <v>230</v>
      </c>
      <c r="F301" s="15" t="s">
        <v>31</v>
      </c>
      <c r="G301" s="102">
        <f t="shared" si="66"/>
        <v>16636865.750000002</v>
      </c>
      <c r="H301" s="102">
        <f t="shared" si="66"/>
        <v>14417808.23</v>
      </c>
      <c r="I301" s="102">
        <f t="shared" si="66"/>
        <v>14379702.379999999</v>
      </c>
      <c r="J301" s="2">
        <v>11498996</v>
      </c>
    </row>
    <row r="302" spans="1:10">
      <c r="A302" s="16" t="s">
        <v>32</v>
      </c>
      <c r="B302" s="15" t="s">
        <v>97</v>
      </c>
      <c r="C302" s="15" t="s">
        <v>26</v>
      </c>
      <c r="D302" s="15" t="s">
        <v>28</v>
      </c>
      <c r="E302" s="15" t="s">
        <v>230</v>
      </c>
      <c r="F302" s="15" t="s">
        <v>33</v>
      </c>
      <c r="G302" s="74">
        <f>'прил 5'!G612</f>
        <v>16636865.750000002</v>
      </c>
      <c r="H302" s="74">
        <f>'прил 5'!H612</f>
        <v>14417808.23</v>
      </c>
      <c r="I302" s="74">
        <f>'прил 5'!I612</f>
        <v>14379702.379999999</v>
      </c>
      <c r="J302" s="2">
        <v>90400</v>
      </c>
    </row>
    <row r="303" spans="1:10" ht="74.25" customHeight="1">
      <c r="A303" s="86" t="s">
        <v>799</v>
      </c>
      <c r="B303" s="88" t="s">
        <v>97</v>
      </c>
      <c r="C303" s="88" t="s">
        <v>26</v>
      </c>
      <c r="D303" s="88" t="s">
        <v>28</v>
      </c>
      <c r="E303" s="88" t="s">
        <v>797</v>
      </c>
      <c r="F303" s="15"/>
      <c r="G303" s="74">
        <f>G306+G304</f>
        <v>20000</v>
      </c>
      <c r="H303" s="74">
        <f t="shared" ref="H303:I303" si="67">H306</f>
        <v>0</v>
      </c>
      <c r="I303" s="74">
        <f t="shared" si="67"/>
        <v>0</v>
      </c>
      <c r="J303" s="1"/>
    </row>
    <row r="304" spans="1:10" ht="25.5" hidden="1">
      <c r="A304" s="16" t="s">
        <v>99</v>
      </c>
      <c r="B304" s="15" t="s">
        <v>97</v>
      </c>
      <c r="C304" s="15" t="s">
        <v>26</v>
      </c>
      <c r="D304" s="15" t="s">
        <v>28</v>
      </c>
      <c r="E304" s="15" t="s">
        <v>770</v>
      </c>
      <c r="F304" s="15" t="s">
        <v>359</v>
      </c>
      <c r="G304" s="74">
        <f>G305</f>
        <v>0</v>
      </c>
      <c r="H304" s="74">
        <f>H305</f>
        <v>0</v>
      </c>
      <c r="I304" s="74">
        <f>I305</f>
        <v>0</v>
      </c>
      <c r="J304" s="1"/>
    </row>
    <row r="305" spans="1:10" s="3" customFormat="1" ht="89.25" hidden="1">
      <c r="A305" s="16" t="s">
        <v>434</v>
      </c>
      <c r="B305" s="14">
        <v>774</v>
      </c>
      <c r="C305" s="15" t="s">
        <v>26</v>
      </c>
      <c r="D305" s="15" t="s">
        <v>28</v>
      </c>
      <c r="E305" s="15" t="s">
        <v>770</v>
      </c>
      <c r="F305" s="15" t="s">
        <v>433</v>
      </c>
      <c r="G305" s="237"/>
      <c r="H305" s="74">
        <v>0</v>
      </c>
      <c r="I305" s="74">
        <v>0</v>
      </c>
    </row>
    <row r="306" spans="1:10" ht="25.5">
      <c r="A306" s="16" t="s">
        <v>30</v>
      </c>
      <c r="B306" s="15" t="s">
        <v>97</v>
      </c>
      <c r="C306" s="15" t="s">
        <v>26</v>
      </c>
      <c r="D306" s="15" t="s">
        <v>28</v>
      </c>
      <c r="E306" s="15" t="s">
        <v>797</v>
      </c>
      <c r="F306" s="15" t="s">
        <v>31</v>
      </c>
      <c r="G306" s="74">
        <f>G307</f>
        <v>20000</v>
      </c>
      <c r="H306" s="74">
        <f>H307</f>
        <v>0</v>
      </c>
      <c r="I306" s="74">
        <f>I307</f>
        <v>0</v>
      </c>
      <c r="J306" s="1"/>
    </row>
    <row r="307" spans="1:10">
      <c r="A307" s="16" t="s">
        <v>32</v>
      </c>
      <c r="B307" s="15" t="s">
        <v>97</v>
      </c>
      <c r="C307" s="15" t="s">
        <v>26</v>
      </c>
      <c r="D307" s="15" t="s">
        <v>28</v>
      </c>
      <c r="E307" s="15" t="s">
        <v>797</v>
      </c>
      <c r="F307" s="15" t="s">
        <v>33</v>
      </c>
      <c r="G307" s="74">
        <f>'прил 5'!G466</f>
        <v>20000</v>
      </c>
      <c r="H307" s="74">
        <v>0</v>
      </c>
      <c r="I307" s="74">
        <v>0</v>
      </c>
      <c r="J307" s="1"/>
    </row>
    <row r="308" spans="1:10" ht="57" customHeight="1">
      <c r="A308" s="86" t="s">
        <v>796</v>
      </c>
      <c r="B308" s="88" t="s">
        <v>97</v>
      </c>
      <c r="C308" s="88" t="s">
        <v>26</v>
      </c>
      <c r="D308" s="88" t="s">
        <v>28</v>
      </c>
      <c r="E308" s="88" t="s">
        <v>795</v>
      </c>
      <c r="F308" s="15"/>
      <c r="G308" s="74">
        <f>G311+G309</f>
        <v>1074161.6499999999</v>
      </c>
      <c r="H308" s="74">
        <f t="shared" ref="H308:I308" si="68">H311</f>
        <v>0</v>
      </c>
      <c r="I308" s="74">
        <f t="shared" si="68"/>
        <v>0</v>
      </c>
      <c r="J308" s="1"/>
    </row>
    <row r="309" spans="1:10" ht="25.5" hidden="1">
      <c r="A309" s="16" t="s">
        <v>99</v>
      </c>
      <c r="B309" s="15" t="s">
        <v>97</v>
      </c>
      <c r="C309" s="15" t="s">
        <v>26</v>
      </c>
      <c r="D309" s="15" t="s">
        <v>28</v>
      </c>
      <c r="E309" s="15" t="s">
        <v>770</v>
      </c>
      <c r="F309" s="15" t="s">
        <v>359</v>
      </c>
      <c r="G309" s="74">
        <f>G310</f>
        <v>0</v>
      </c>
      <c r="H309" s="74">
        <f>H310</f>
        <v>0</v>
      </c>
      <c r="I309" s="74">
        <f>I310</f>
        <v>0</v>
      </c>
      <c r="J309" s="1"/>
    </row>
    <row r="310" spans="1:10" s="3" customFormat="1" ht="89.25" hidden="1">
      <c r="A310" s="16" t="s">
        <v>434</v>
      </c>
      <c r="B310" s="14">
        <v>774</v>
      </c>
      <c r="C310" s="15" t="s">
        <v>26</v>
      </c>
      <c r="D310" s="15" t="s">
        <v>28</v>
      </c>
      <c r="E310" s="15" t="s">
        <v>770</v>
      </c>
      <c r="F310" s="15" t="s">
        <v>433</v>
      </c>
      <c r="G310" s="237"/>
      <c r="H310" s="74">
        <v>0</v>
      </c>
      <c r="I310" s="74">
        <v>0</v>
      </c>
    </row>
    <row r="311" spans="1:10" ht="25.5">
      <c r="A311" s="16" t="s">
        <v>30</v>
      </c>
      <c r="B311" s="15" t="s">
        <v>97</v>
      </c>
      <c r="C311" s="15" t="s">
        <v>26</v>
      </c>
      <c r="D311" s="15" t="s">
        <v>28</v>
      </c>
      <c r="E311" s="15" t="s">
        <v>795</v>
      </c>
      <c r="F311" s="15" t="s">
        <v>31</v>
      </c>
      <c r="G311" s="74">
        <f>G312</f>
        <v>1074161.6499999999</v>
      </c>
      <c r="H311" s="74">
        <f>H312</f>
        <v>0</v>
      </c>
      <c r="I311" s="74">
        <f>I312</f>
        <v>0</v>
      </c>
      <c r="J311" s="1"/>
    </row>
    <row r="312" spans="1:10">
      <c r="A312" s="16" t="s">
        <v>32</v>
      </c>
      <c r="B312" s="15" t="s">
        <v>97</v>
      </c>
      <c r="C312" s="15" t="s">
        <v>26</v>
      </c>
      <c r="D312" s="15" t="s">
        <v>28</v>
      </c>
      <c r="E312" s="15" t="s">
        <v>795</v>
      </c>
      <c r="F312" s="15" t="s">
        <v>33</v>
      </c>
      <c r="G312" s="74">
        <f>'прил 5'!G471</f>
        <v>1074161.6499999999</v>
      </c>
      <c r="H312" s="74">
        <v>0</v>
      </c>
      <c r="I312" s="74">
        <v>0</v>
      </c>
      <c r="J312" s="1"/>
    </row>
    <row r="313" spans="1:10" ht="32.25" customHeight="1">
      <c r="A313" s="16" t="s">
        <v>148</v>
      </c>
      <c r="B313" s="15" t="s">
        <v>97</v>
      </c>
      <c r="C313" s="15" t="s">
        <v>26</v>
      </c>
      <c r="D313" s="15" t="s">
        <v>28</v>
      </c>
      <c r="E313" s="15" t="s">
        <v>748</v>
      </c>
      <c r="F313" s="15"/>
      <c r="G313" s="74">
        <f t="shared" ref="G313:I313" si="69">G314</f>
        <v>90000</v>
      </c>
      <c r="H313" s="74">
        <f t="shared" si="69"/>
        <v>160000</v>
      </c>
      <c r="I313" s="74">
        <f t="shared" si="69"/>
        <v>160000</v>
      </c>
      <c r="J313" s="1"/>
    </row>
    <row r="314" spans="1:10" ht="25.5">
      <c r="A314" s="16" t="s">
        <v>30</v>
      </c>
      <c r="B314" s="15" t="s">
        <v>97</v>
      </c>
      <c r="C314" s="15" t="s">
        <v>26</v>
      </c>
      <c r="D314" s="15" t="s">
        <v>28</v>
      </c>
      <c r="E314" s="15" t="s">
        <v>748</v>
      </c>
      <c r="F314" s="15" t="s">
        <v>31</v>
      </c>
      <c r="G314" s="74">
        <f>G315</f>
        <v>90000</v>
      </c>
      <c r="H314" s="74">
        <f>H315</f>
        <v>160000</v>
      </c>
      <c r="I314" s="74">
        <f>I315</f>
        <v>160000</v>
      </c>
      <c r="J314" s="1"/>
    </row>
    <row r="315" spans="1:10">
      <c r="A315" s="16" t="s">
        <v>32</v>
      </c>
      <c r="B315" s="15" t="s">
        <v>97</v>
      </c>
      <c r="C315" s="15" t="s">
        <v>26</v>
      </c>
      <c r="D315" s="15" t="s">
        <v>28</v>
      </c>
      <c r="E315" s="15" t="s">
        <v>748</v>
      </c>
      <c r="F315" s="15" t="s">
        <v>33</v>
      </c>
      <c r="G315" s="74">
        <f>'прил 5'!G474</f>
        <v>90000</v>
      </c>
      <c r="H315" s="74">
        <v>160000</v>
      </c>
      <c r="I315" s="74">
        <v>160000</v>
      </c>
      <c r="J315" s="1"/>
    </row>
    <row r="316" spans="1:10" ht="16.5" hidden="1" customHeight="1">
      <c r="A316" s="16" t="s">
        <v>1</v>
      </c>
      <c r="B316" s="15" t="s">
        <v>97</v>
      </c>
      <c r="C316" s="15" t="s">
        <v>26</v>
      </c>
      <c r="D316" s="15" t="s">
        <v>28</v>
      </c>
      <c r="E316" s="15" t="s">
        <v>571</v>
      </c>
      <c r="F316" s="15"/>
      <c r="G316" s="74">
        <f t="shared" ref="G316:I316" si="70">G317</f>
        <v>0</v>
      </c>
      <c r="H316" s="74">
        <f t="shared" si="70"/>
        <v>0</v>
      </c>
      <c r="I316" s="74">
        <f t="shared" si="70"/>
        <v>0</v>
      </c>
      <c r="J316" s="1"/>
    </row>
    <row r="317" spans="1:10" ht="24.75" hidden="1" customHeight="1">
      <c r="A317" s="16" t="s">
        <v>30</v>
      </c>
      <c r="B317" s="15" t="s">
        <v>97</v>
      </c>
      <c r="C317" s="15" t="s">
        <v>26</v>
      </c>
      <c r="D317" s="15" t="s">
        <v>28</v>
      </c>
      <c r="E317" s="15" t="s">
        <v>571</v>
      </c>
      <c r="F317" s="15" t="s">
        <v>31</v>
      </c>
      <c r="G317" s="74">
        <f>G318</f>
        <v>0</v>
      </c>
      <c r="H317" s="74">
        <f>H318</f>
        <v>0</v>
      </c>
      <c r="I317" s="74">
        <f>I318</f>
        <v>0</v>
      </c>
      <c r="J317" s="1"/>
    </row>
    <row r="318" spans="1:10" hidden="1">
      <c r="A318" s="16" t="s">
        <v>32</v>
      </c>
      <c r="B318" s="15" t="s">
        <v>97</v>
      </c>
      <c r="C318" s="15" t="s">
        <v>26</v>
      </c>
      <c r="D318" s="15" t="s">
        <v>28</v>
      </c>
      <c r="E318" s="15" t="s">
        <v>571</v>
      </c>
      <c r="F318" s="15" t="s">
        <v>33</v>
      </c>
      <c r="G318" s="74">
        <f>'прил 5'!G477</f>
        <v>0</v>
      </c>
      <c r="H318" s="74"/>
      <c r="I318" s="74"/>
      <c r="J318" s="1"/>
    </row>
    <row r="319" spans="1:10" ht="32.25" customHeight="1">
      <c r="A319" s="16" t="s">
        <v>908</v>
      </c>
      <c r="B319" s="15" t="s">
        <v>97</v>
      </c>
      <c r="C319" s="15" t="s">
        <v>26</v>
      </c>
      <c r="D319" s="15" t="s">
        <v>28</v>
      </c>
      <c r="E319" s="15" t="s">
        <v>907</v>
      </c>
      <c r="F319" s="15"/>
      <c r="G319" s="74">
        <f t="shared" ref="G319:I319" si="71">G320</f>
        <v>70000</v>
      </c>
      <c r="H319" s="74">
        <f t="shared" si="71"/>
        <v>0</v>
      </c>
      <c r="I319" s="74">
        <f t="shared" si="71"/>
        <v>0</v>
      </c>
      <c r="J319" s="1"/>
    </row>
    <row r="320" spans="1:10" ht="25.5">
      <c r="A320" s="16" t="s">
        <v>30</v>
      </c>
      <c r="B320" s="15" t="s">
        <v>97</v>
      </c>
      <c r="C320" s="15" t="s">
        <v>26</v>
      </c>
      <c r="D320" s="15" t="s">
        <v>28</v>
      </c>
      <c r="E320" s="15" t="s">
        <v>907</v>
      </c>
      <c r="F320" s="15" t="s">
        <v>31</v>
      </c>
      <c r="G320" s="74">
        <f>G321</f>
        <v>70000</v>
      </c>
      <c r="H320" s="74">
        <f>H321</f>
        <v>0</v>
      </c>
      <c r="I320" s="74">
        <f>I321</f>
        <v>0</v>
      </c>
      <c r="J320" s="1"/>
    </row>
    <row r="321" spans="1:10">
      <c r="A321" s="16" t="s">
        <v>32</v>
      </c>
      <c r="B321" s="15" t="s">
        <v>97</v>
      </c>
      <c r="C321" s="15" t="s">
        <v>26</v>
      </c>
      <c r="D321" s="15" t="s">
        <v>28</v>
      </c>
      <c r="E321" s="15" t="s">
        <v>907</v>
      </c>
      <c r="F321" s="15" t="s">
        <v>33</v>
      </c>
      <c r="G321" s="74">
        <f>'прил 5'!G483</f>
        <v>70000</v>
      </c>
      <c r="H321" s="74"/>
      <c r="I321" s="74"/>
      <c r="J321" s="1"/>
    </row>
    <row r="322" spans="1:10" s="18" customFormat="1" ht="31.5" customHeight="1">
      <c r="A322" s="42" t="s">
        <v>129</v>
      </c>
      <c r="B322" s="15" t="s">
        <v>97</v>
      </c>
      <c r="C322" s="15" t="s">
        <v>26</v>
      </c>
      <c r="D322" s="15" t="s">
        <v>127</v>
      </c>
      <c r="E322" s="15" t="s">
        <v>233</v>
      </c>
      <c r="F322" s="15"/>
      <c r="G322" s="74">
        <f t="shared" ref="G322:I323" si="72">G323</f>
        <v>653058.45000000007</v>
      </c>
      <c r="H322" s="102">
        <f t="shared" si="72"/>
        <v>1481975</v>
      </c>
      <c r="I322" s="102">
        <f t="shared" si="72"/>
        <v>1481975</v>
      </c>
      <c r="J322" s="151">
        <v>40000</v>
      </c>
    </row>
    <row r="323" spans="1:10" s="18" customFormat="1" ht="25.5">
      <c r="A323" s="16" t="s">
        <v>30</v>
      </c>
      <c r="B323" s="15" t="s">
        <v>97</v>
      </c>
      <c r="C323" s="15" t="s">
        <v>26</v>
      </c>
      <c r="D323" s="15" t="s">
        <v>127</v>
      </c>
      <c r="E323" s="15" t="s">
        <v>233</v>
      </c>
      <c r="F323" s="15" t="s">
        <v>31</v>
      </c>
      <c r="G323" s="74">
        <f t="shared" si="72"/>
        <v>653058.45000000007</v>
      </c>
      <c r="H323" s="102">
        <f t="shared" si="72"/>
        <v>1481975</v>
      </c>
      <c r="I323" s="102">
        <f t="shared" si="72"/>
        <v>1481975</v>
      </c>
      <c r="J323" s="151">
        <v>5480300</v>
      </c>
    </row>
    <row r="324" spans="1:10">
      <c r="A324" s="16" t="s">
        <v>32</v>
      </c>
      <c r="B324" s="15" t="s">
        <v>97</v>
      </c>
      <c r="C324" s="15" t="s">
        <v>26</v>
      </c>
      <c r="D324" s="15" t="s">
        <v>127</v>
      </c>
      <c r="E324" s="15" t="s">
        <v>233</v>
      </c>
      <c r="F324" s="15" t="s">
        <v>33</v>
      </c>
      <c r="G324" s="74">
        <f>'прил 5'!G388</f>
        <v>653058.45000000007</v>
      </c>
      <c r="H324" s="74">
        <f>'прил 5'!H388</f>
        <v>1481975</v>
      </c>
      <c r="I324" s="74">
        <f>'прил 5'!I388</f>
        <v>1481975</v>
      </c>
      <c r="J324" s="151">
        <v>500000</v>
      </c>
    </row>
    <row r="325" spans="1:10" s="3" customFormat="1" hidden="1">
      <c r="A325" s="16"/>
      <c r="B325" s="14">
        <v>774</v>
      </c>
      <c r="C325" s="15" t="s">
        <v>26</v>
      </c>
      <c r="D325" s="15" t="s">
        <v>28</v>
      </c>
      <c r="E325" s="88"/>
      <c r="F325" s="15"/>
      <c r="G325" s="74">
        <f t="shared" ref="G325:I326" si="73">G326</f>
        <v>0</v>
      </c>
      <c r="H325" s="74">
        <f t="shared" si="73"/>
        <v>0</v>
      </c>
      <c r="I325" s="74">
        <f t="shared" si="73"/>
        <v>0</v>
      </c>
      <c r="J325" s="152"/>
    </row>
    <row r="326" spans="1:10" s="3" customFormat="1" ht="25.5" hidden="1">
      <c r="A326" s="16" t="s">
        <v>30</v>
      </c>
      <c r="B326" s="14">
        <v>774</v>
      </c>
      <c r="C326" s="15" t="s">
        <v>26</v>
      </c>
      <c r="D326" s="15" t="s">
        <v>28</v>
      </c>
      <c r="E326" s="15" t="s">
        <v>571</v>
      </c>
      <c r="F326" s="15" t="s">
        <v>31</v>
      </c>
      <c r="G326" s="74">
        <f t="shared" si="73"/>
        <v>0</v>
      </c>
      <c r="H326" s="102">
        <f t="shared" si="73"/>
        <v>0</v>
      </c>
      <c r="I326" s="102">
        <f t="shared" si="73"/>
        <v>0</v>
      </c>
      <c r="J326" s="152"/>
    </row>
    <row r="327" spans="1:10" s="3" customFormat="1" hidden="1">
      <c r="A327" s="16" t="s">
        <v>32</v>
      </c>
      <c r="B327" s="14">
        <v>774</v>
      </c>
      <c r="C327" s="15" t="s">
        <v>26</v>
      </c>
      <c r="D327" s="15" t="s">
        <v>28</v>
      </c>
      <c r="E327" s="15" t="s">
        <v>571</v>
      </c>
      <c r="F327" s="15" t="s">
        <v>33</v>
      </c>
      <c r="G327" s="74">
        <f>'прил 5'!G498</f>
        <v>0</v>
      </c>
      <c r="H327" s="74">
        <f>'прил 5'!H498</f>
        <v>0</v>
      </c>
      <c r="I327" s="74">
        <f>'прил 5'!I498</f>
        <v>0</v>
      </c>
      <c r="J327" s="152"/>
    </row>
    <row r="328" spans="1:10" s="18" customFormat="1" ht="63.75" hidden="1">
      <c r="A328" s="16" t="s">
        <v>125</v>
      </c>
      <c r="B328" s="15" t="s">
        <v>97</v>
      </c>
      <c r="C328" s="15" t="s">
        <v>26</v>
      </c>
      <c r="D328" s="15" t="s">
        <v>28</v>
      </c>
      <c r="E328" s="15" t="s">
        <v>398</v>
      </c>
      <c r="F328" s="15"/>
      <c r="G328" s="74">
        <f t="shared" ref="G328:I329" si="74">G329</f>
        <v>0</v>
      </c>
      <c r="H328" s="102">
        <f t="shared" si="74"/>
        <v>0</v>
      </c>
      <c r="I328" s="102">
        <f t="shared" si="74"/>
        <v>0</v>
      </c>
      <c r="J328" s="17">
        <v>12965665</v>
      </c>
    </row>
    <row r="329" spans="1:10" s="18" customFormat="1" ht="25.5" hidden="1">
      <c r="A329" s="16" t="s">
        <v>30</v>
      </c>
      <c r="B329" s="15" t="s">
        <v>97</v>
      </c>
      <c r="C329" s="15" t="s">
        <v>26</v>
      </c>
      <c r="D329" s="15" t="s">
        <v>28</v>
      </c>
      <c r="E329" s="15" t="s">
        <v>398</v>
      </c>
      <c r="F329" s="15" t="s">
        <v>31</v>
      </c>
      <c r="G329" s="74">
        <f t="shared" si="74"/>
        <v>0</v>
      </c>
      <c r="H329" s="102">
        <f t="shared" si="74"/>
        <v>0</v>
      </c>
      <c r="I329" s="102">
        <f t="shared" si="74"/>
        <v>0</v>
      </c>
      <c r="J329" s="17">
        <v>685206</v>
      </c>
    </row>
    <row r="330" spans="1:10" s="18" customFormat="1" hidden="1">
      <c r="A330" s="16" t="s">
        <v>32</v>
      </c>
      <c r="B330" s="15" t="s">
        <v>97</v>
      </c>
      <c r="C330" s="15" t="s">
        <v>26</v>
      </c>
      <c r="D330" s="15" t="s">
        <v>28</v>
      </c>
      <c r="E330" s="15" t="s">
        <v>398</v>
      </c>
      <c r="F330" s="15" t="s">
        <v>33</v>
      </c>
      <c r="G330" s="74"/>
      <c r="H330" s="102"/>
      <c r="I330" s="102"/>
      <c r="J330" s="17">
        <v>649200</v>
      </c>
    </row>
    <row r="331" spans="1:10" s="3" customFormat="1" hidden="1">
      <c r="A331" s="16" t="s">
        <v>444</v>
      </c>
      <c r="B331" s="14">
        <v>774</v>
      </c>
      <c r="C331" s="15" t="s">
        <v>26</v>
      </c>
      <c r="D331" s="15" t="s">
        <v>28</v>
      </c>
      <c r="E331" s="15" t="s">
        <v>570</v>
      </c>
      <c r="F331" s="15"/>
      <c r="G331" s="74">
        <f>G332</f>
        <v>0</v>
      </c>
      <c r="H331" s="74">
        <f>H332</f>
        <v>0</v>
      </c>
      <c r="I331" s="74">
        <f>I332</f>
        <v>0</v>
      </c>
    </row>
    <row r="332" spans="1:10" s="3" customFormat="1" hidden="1">
      <c r="A332" s="16" t="s">
        <v>32</v>
      </c>
      <c r="B332" s="14">
        <v>774</v>
      </c>
      <c r="C332" s="15" t="s">
        <v>26</v>
      </c>
      <c r="D332" s="15" t="s">
        <v>28</v>
      </c>
      <c r="E332" s="15" t="s">
        <v>570</v>
      </c>
      <c r="F332" s="15" t="s">
        <v>33</v>
      </c>
      <c r="G332" s="74">
        <f>'прил 5'!G480</f>
        <v>0</v>
      </c>
      <c r="H332" s="74"/>
      <c r="I332" s="74"/>
    </row>
    <row r="333" spans="1:10" ht="54.75" customHeight="1">
      <c r="A333" s="16" t="s">
        <v>718</v>
      </c>
      <c r="B333" s="15" t="s">
        <v>97</v>
      </c>
      <c r="C333" s="15" t="s">
        <v>26</v>
      </c>
      <c r="D333" s="15" t="s">
        <v>28</v>
      </c>
      <c r="E333" s="15" t="s">
        <v>668</v>
      </c>
      <c r="F333" s="15"/>
      <c r="G333" s="74">
        <f t="shared" ref="G333:I333" si="75">G334</f>
        <v>30779350</v>
      </c>
      <c r="H333" s="74">
        <f t="shared" si="75"/>
        <v>30279350</v>
      </c>
      <c r="I333" s="74">
        <f t="shared" si="75"/>
        <v>30279350</v>
      </c>
      <c r="J333" s="1"/>
    </row>
    <row r="334" spans="1:10" ht="25.5">
      <c r="A334" s="16" t="s">
        <v>30</v>
      </c>
      <c r="B334" s="15" t="s">
        <v>97</v>
      </c>
      <c r="C334" s="15" t="s">
        <v>26</v>
      </c>
      <c r="D334" s="15" t="s">
        <v>28</v>
      </c>
      <c r="E334" s="15" t="s">
        <v>668</v>
      </c>
      <c r="F334" s="15" t="s">
        <v>31</v>
      </c>
      <c r="G334" s="74">
        <f>G335</f>
        <v>30779350</v>
      </c>
      <c r="H334" s="74">
        <f>H335</f>
        <v>30279350</v>
      </c>
      <c r="I334" s="74">
        <f>I335</f>
        <v>30279350</v>
      </c>
      <c r="J334" s="1"/>
    </row>
    <row r="335" spans="1:10">
      <c r="A335" s="16" t="s">
        <v>32</v>
      </c>
      <c r="B335" s="15" t="s">
        <v>97</v>
      </c>
      <c r="C335" s="15" t="s">
        <v>26</v>
      </c>
      <c r="D335" s="15" t="s">
        <v>28</v>
      </c>
      <c r="E335" s="15" t="s">
        <v>668</v>
      </c>
      <c r="F335" s="15" t="s">
        <v>33</v>
      </c>
      <c r="G335" s="74">
        <f>'прил 5'!G507</f>
        <v>30779350</v>
      </c>
      <c r="H335" s="74">
        <v>30279350</v>
      </c>
      <c r="I335" s="74">
        <v>30279350</v>
      </c>
      <c r="J335" s="1"/>
    </row>
    <row r="336" spans="1:10" ht="63" customHeight="1">
      <c r="A336" s="16" t="s">
        <v>428</v>
      </c>
      <c r="B336" s="15" t="s">
        <v>97</v>
      </c>
      <c r="C336" s="15" t="s">
        <v>26</v>
      </c>
      <c r="D336" s="15" t="s">
        <v>28</v>
      </c>
      <c r="E336" s="15" t="s">
        <v>815</v>
      </c>
      <c r="F336" s="15"/>
      <c r="G336" s="74">
        <f t="shared" ref="G336:I336" si="76">G337</f>
        <v>1200000</v>
      </c>
      <c r="H336" s="74">
        <f t="shared" si="76"/>
        <v>0</v>
      </c>
      <c r="I336" s="74">
        <f t="shared" si="76"/>
        <v>0</v>
      </c>
      <c r="J336" s="1"/>
    </row>
    <row r="337" spans="1:10" ht="25.5">
      <c r="A337" s="16" t="s">
        <v>30</v>
      </c>
      <c r="B337" s="15" t="s">
        <v>97</v>
      </c>
      <c r="C337" s="15" t="s">
        <v>26</v>
      </c>
      <c r="D337" s="15" t="s">
        <v>28</v>
      </c>
      <c r="E337" s="15" t="s">
        <v>815</v>
      </c>
      <c r="F337" s="15" t="s">
        <v>31</v>
      </c>
      <c r="G337" s="74">
        <f>G338</f>
        <v>1200000</v>
      </c>
      <c r="H337" s="74">
        <f>H338</f>
        <v>0</v>
      </c>
      <c r="I337" s="74">
        <f>I338</f>
        <v>0</v>
      </c>
      <c r="J337" s="1"/>
    </row>
    <row r="338" spans="1:10">
      <c r="A338" s="16" t="s">
        <v>32</v>
      </c>
      <c r="B338" s="15" t="s">
        <v>97</v>
      </c>
      <c r="C338" s="15" t="s">
        <v>26</v>
      </c>
      <c r="D338" s="15" t="s">
        <v>28</v>
      </c>
      <c r="E338" s="15" t="s">
        <v>815</v>
      </c>
      <c r="F338" s="15" t="s">
        <v>33</v>
      </c>
      <c r="G338" s="74">
        <v>1200000</v>
      </c>
      <c r="H338" s="74">
        <v>0</v>
      </c>
      <c r="I338" s="74">
        <v>0</v>
      </c>
      <c r="J338" s="1"/>
    </row>
    <row r="339" spans="1:10" s="28" customFormat="1" ht="54.75" customHeight="1">
      <c r="A339" s="13" t="s">
        <v>160</v>
      </c>
      <c r="B339" s="15" t="s">
        <v>97</v>
      </c>
      <c r="C339" s="15" t="s">
        <v>70</v>
      </c>
      <c r="D339" s="15" t="s">
        <v>55</v>
      </c>
      <c r="E339" s="15" t="s">
        <v>453</v>
      </c>
      <c r="F339" s="39"/>
      <c r="G339" s="74">
        <f t="shared" ref="G339:G340" si="77">G340</f>
        <v>9868564</v>
      </c>
      <c r="H339" s="74">
        <f t="shared" ref="H339:H340" si="78">H340</f>
        <v>6132320</v>
      </c>
      <c r="I339" s="74">
        <f t="shared" ref="I339:I340" si="79">I340</f>
        <v>7805500</v>
      </c>
      <c r="J339" s="150">
        <v>9188400</v>
      </c>
    </row>
    <row r="340" spans="1:10" s="28" customFormat="1" ht="25.5">
      <c r="A340" s="16" t="s">
        <v>30</v>
      </c>
      <c r="B340" s="15" t="s">
        <v>97</v>
      </c>
      <c r="C340" s="15" t="s">
        <v>70</v>
      </c>
      <c r="D340" s="15" t="s">
        <v>55</v>
      </c>
      <c r="E340" s="15" t="s">
        <v>453</v>
      </c>
      <c r="F340" s="15" t="s">
        <v>31</v>
      </c>
      <c r="G340" s="74">
        <f t="shared" si="77"/>
        <v>9868564</v>
      </c>
      <c r="H340" s="74">
        <f t="shared" si="78"/>
        <v>6132320</v>
      </c>
      <c r="I340" s="74">
        <f t="shared" si="79"/>
        <v>7805500</v>
      </c>
      <c r="J340" s="150">
        <f>SUM(J264:J339)</f>
        <v>951066568</v>
      </c>
    </row>
    <row r="341" spans="1:10">
      <c r="A341" s="16" t="s">
        <v>32</v>
      </c>
      <c r="B341" s="15" t="s">
        <v>97</v>
      </c>
      <c r="C341" s="15" t="s">
        <v>70</v>
      </c>
      <c r="D341" s="15" t="s">
        <v>55</v>
      </c>
      <c r="E341" s="15" t="s">
        <v>453</v>
      </c>
      <c r="F341" s="15" t="s">
        <v>33</v>
      </c>
      <c r="G341" s="74">
        <f>'прил 5'!G748</f>
        <v>9868564</v>
      </c>
      <c r="H341" s="74">
        <f>'прил 5'!H748</f>
        <v>6132320</v>
      </c>
      <c r="I341" s="74">
        <f>'прил 5'!I748</f>
        <v>7805500</v>
      </c>
    </row>
    <row r="342" spans="1:10" s="28" customFormat="1" ht="54.75" hidden="1" customHeight="1">
      <c r="A342" s="13" t="s">
        <v>610</v>
      </c>
      <c r="B342" s="15" t="s">
        <v>97</v>
      </c>
      <c r="C342" s="15" t="s">
        <v>70</v>
      </c>
      <c r="D342" s="15" t="s">
        <v>55</v>
      </c>
      <c r="E342" s="15" t="s">
        <v>609</v>
      </c>
      <c r="F342" s="39"/>
      <c r="G342" s="74">
        <f t="shared" ref="G342:I343" si="80">G343</f>
        <v>0</v>
      </c>
      <c r="H342" s="74">
        <f t="shared" si="80"/>
        <v>0</v>
      </c>
      <c r="I342" s="74">
        <f t="shared" si="80"/>
        <v>0</v>
      </c>
    </row>
    <row r="343" spans="1:10" s="28" customFormat="1" ht="33" hidden="1" customHeight="1">
      <c r="A343" s="16" t="s">
        <v>30</v>
      </c>
      <c r="B343" s="15" t="s">
        <v>97</v>
      </c>
      <c r="C343" s="15" t="s">
        <v>70</v>
      </c>
      <c r="D343" s="15" t="s">
        <v>55</v>
      </c>
      <c r="E343" s="15" t="s">
        <v>609</v>
      </c>
      <c r="F343" s="15" t="s">
        <v>31</v>
      </c>
      <c r="G343" s="74">
        <f t="shared" si="80"/>
        <v>0</v>
      </c>
      <c r="H343" s="74">
        <f t="shared" si="80"/>
        <v>0</v>
      </c>
      <c r="I343" s="74">
        <f t="shared" si="80"/>
        <v>0</v>
      </c>
    </row>
    <row r="344" spans="1:10" hidden="1">
      <c r="A344" s="16" t="s">
        <v>32</v>
      </c>
      <c r="B344" s="15" t="s">
        <v>97</v>
      </c>
      <c r="C344" s="15" t="s">
        <v>70</v>
      </c>
      <c r="D344" s="15" t="s">
        <v>55</v>
      </c>
      <c r="E344" s="15" t="s">
        <v>609</v>
      </c>
      <c r="F344" s="15" t="s">
        <v>33</v>
      </c>
      <c r="G344" s="74"/>
      <c r="H344" s="74">
        <v>0</v>
      </c>
      <c r="I344" s="74">
        <v>0</v>
      </c>
      <c r="J344" s="1"/>
    </row>
    <row r="345" spans="1:10" s="3" customFormat="1" ht="45" customHeight="1">
      <c r="A345" s="16" t="s">
        <v>775</v>
      </c>
      <c r="B345" s="14">
        <v>774</v>
      </c>
      <c r="C345" s="15" t="s">
        <v>26</v>
      </c>
      <c r="D345" s="15" t="s">
        <v>19</v>
      </c>
      <c r="E345" s="15" t="s">
        <v>759</v>
      </c>
      <c r="F345" s="15"/>
      <c r="G345" s="74">
        <f>G346</f>
        <v>500000</v>
      </c>
      <c r="H345" s="74">
        <f>H346</f>
        <v>0</v>
      </c>
      <c r="I345" s="74">
        <f>I346</f>
        <v>0</v>
      </c>
    </row>
    <row r="346" spans="1:10" s="3" customFormat="1">
      <c r="A346" s="16" t="s">
        <v>32</v>
      </c>
      <c r="B346" s="14">
        <v>774</v>
      </c>
      <c r="C346" s="15" t="s">
        <v>26</v>
      </c>
      <c r="D346" s="15" t="s">
        <v>19</v>
      </c>
      <c r="E346" s="88" t="s">
        <v>759</v>
      </c>
      <c r="F346" s="15" t="s">
        <v>33</v>
      </c>
      <c r="G346" s="74">
        <f>'прил 5'!G390</f>
        <v>500000</v>
      </c>
      <c r="H346" s="74">
        <f>'прил 5'!H390</f>
        <v>0</v>
      </c>
      <c r="I346" s="74">
        <f>'прил 5'!I390</f>
        <v>0</v>
      </c>
    </row>
    <row r="347" spans="1:10" s="18" customFormat="1" ht="45.75" customHeight="1">
      <c r="A347" s="42" t="s">
        <v>638</v>
      </c>
      <c r="B347" s="15" t="s">
        <v>97</v>
      </c>
      <c r="C347" s="15" t="s">
        <v>26</v>
      </c>
      <c r="D347" s="15" t="s">
        <v>19</v>
      </c>
      <c r="E347" s="15" t="s">
        <v>637</v>
      </c>
      <c r="F347" s="15"/>
      <c r="G347" s="74">
        <f t="shared" ref="G347:I348" si="81">G348</f>
        <v>860722.97</v>
      </c>
      <c r="H347" s="74">
        <f t="shared" si="81"/>
        <v>510000</v>
      </c>
      <c r="I347" s="74">
        <f t="shared" si="81"/>
        <v>510000</v>
      </c>
    </row>
    <row r="348" spans="1:10" s="18" customFormat="1" ht="25.5">
      <c r="A348" s="16" t="s">
        <v>30</v>
      </c>
      <c r="B348" s="15" t="s">
        <v>97</v>
      </c>
      <c r="C348" s="15" t="s">
        <v>26</v>
      </c>
      <c r="D348" s="15" t="s">
        <v>19</v>
      </c>
      <c r="E348" s="15" t="s">
        <v>637</v>
      </c>
      <c r="F348" s="15" t="s">
        <v>31</v>
      </c>
      <c r="G348" s="74">
        <f t="shared" si="81"/>
        <v>860722.97</v>
      </c>
      <c r="H348" s="74">
        <f t="shared" si="81"/>
        <v>510000</v>
      </c>
      <c r="I348" s="74">
        <f t="shared" si="81"/>
        <v>510000</v>
      </c>
    </row>
    <row r="349" spans="1:10">
      <c r="A349" s="16" t="s">
        <v>32</v>
      </c>
      <c r="B349" s="15" t="s">
        <v>97</v>
      </c>
      <c r="C349" s="15" t="s">
        <v>26</v>
      </c>
      <c r="D349" s="15" t="s">
        <v>19</v>
      </c>
      <c r="E349" s="15" t="s">
        <v>637</v>
      </c>
      <c r="F349" s="15" t="s">
        <v>33</v>
      </c>
      <c r="G349" s="74">
        <f>'прил 5'!G393</f>
        <v>860722.97</v>
      </c>
      <c r="H349" s="74">
        <f>'прил 5'!H393</f>
        <v>510000</v>
      </c>
      <c r="I349" s="74">
        <f>'прил 5'!I393</f>
        <v>510000</v>
      </c>
      <c r="J349" s="1"/>
    </row>
    <row r="350" spans="1:10" s="18" customFormat="1" ht="89.25">
      <c r="A350" s="84" t="s">
        <v>383</v>
      </c>
      <c r="B350" s="15" t="s">
        <v>97</v>
      </c>
      <c r="C350" s="15" t="s">
        <v>26</v>
      </c>
      <c r="D350" s="15" t="s">
        <v>28</v>
      </c>
      <c r="E350" s="15" t="s">
        <v>691</v>
      </c>
      <c r="F350" s="15"/>
      <c r="G350" s="74">
        <f t="shared" ref="G350:I351" si="82">G351</f>
        <v>128200</v>
      </c>
      <c r="H350" s="74">
        <f t="shared" si="82"/>
        <v>127788.68</v>
      </c>
      <c r="I350" s="74">
        <f t="shared" si="82"/>
        <v>127556.14</v>
      </c>
    </row>
    <row r="351" spans="1:10" s="18" customFormat="1" ht="25.5">
      <c r="A351" s="16" t="s">
        <v>30</v>
      </c>
      <c r="B351" s="15" t="s">
        <v>97</v>
      </c>
      <c r="C351" s="15" t="s">
        <v>26</v>
      </c>
      <c r="D351" s="15" t="s">
        <v>28</v>
      </c>
      <c r="E351" s="15" t="s">
        <v>691</v>
      </c>
      <c r="F351" s="15" t="s">
        <v>31</v>
      </c>
      <c r="G351" s="74">
        <f t="shared" si="82"/>
        <v>128200</v>
      </c>
      <c r="H351" s="74">
        <f t="shared" si="82"/>
        <v>127788.68</v>
      </c>
      <c r="I351" s="74">
        <f t="shared" si="82"/>
        <v>127556.14</v>
      </c>
    </row>
    <row r="352" spans="1:10" s="18" customFormat="1">
      <c r="A352" s="16" t="s">
        <v>32</v>
      </c>
      <c r="B352" s="15" t="s">
        <v>97</v>
      </c>
      <c r="C352" s="15" t="s">
        <v>26</v>
      </c>
      <c r="D352" s="15" t="s">
        <v>28</v>
      </c>
      <c r="E352" s="15" t="s">
        <v>691</v>
      </c>
      <c r="F352" s="15" t="s">
        <v>33</v>
      </c>
      <c r="G352" s="74">
        <f>26366.89+101833.11</f>
        <v>128200</v>
      </c>
      <c r="H352" s="74">
        <f>25955.57+101833.11</f>
        <v>127788.68</v>
      </c>
      <c r="I352" s="74">
        <f>25723.03+101833.11</f>
        <v>127556.14</v>
      </c>
    </row>
    <row r="353" spans="1:10" s="3" customFormat="1" ht="25.5">
      <c r="A353" s="16" t="s">
        <v>700</v>
      </c>
      <c r="B353" s="14">
        <v>774</v>
      </c>
      <c r="C353" s="15" t="s">
        <v>26</v>
      </c>
      <c r="D353" s="15" t="s">
        <v>71</v>
      </c>
      <c r="E353" s="88" t="s">
        <v>751</v>
      </c>
      <c r="F353" s="15"/>
      <c r="G353" s="74">
        <f t="shared" ref="G353:I354" si="83">G354</f>
        <v>676415</v>
      </c>
      <c r="H353" s="74">
        <f t="shared" si="83"/>
        <v>0</v>
      </c>
      <c r="I353" s="74">
        <f t="shared" si="83"/>
        <v>0</v>
      </c>
    </row>
    <row r="354" spans="1:10" s="3" customFormat="1" ht="25.5">
      <c r="A354" s="16" t="s">
        <v>30</v>
      </c>
      <c r="B354" s="14">
        <v>774</v>
      </c>
      <c r="C354" s="15" t="s">
        <v>26</v>
      </c>
      <c r="D354" s="15" t="s">
        <v>71</v>
      </c>
      <c r="E354" s="88" t="s">
        <v>751</v>
      </c>
      <c r="F354" s="15" t="s">
        <v>31</v>
      </c>
      <c r="G354" s="74">
        <f t="shared" si="83"/>
        <v>676415</v>
      </c>
      <c r="H354" s="74">
        <f t="shared" si="83"/>
        <v>0</v>
      </c>
      <c r="I354" s="74">
        <f t="shared" si="83"/>
        <v>0</v>
      </c>
    </row>
    <row r="355" spans="1:10" s="3" customFormat="1">
      <c r="A355" s="16" t="s">
        <v>32</v>
      </c>
      <c r="B355" s="14">
        <v>774</v>
      </c>
      <c r="C355" s="15" t="s">
        <v>26</v>
      </c>
      <c r="D355" s="15" t="s">
        <v>71</v>
      </c>
      <c r="E355" s="88" t="s">
        <v>751</v>
      </c>
      <c r="F355" s="15" t="s">
        <v>33</v>
      </c>
      <c r="G355" s="74">
        <f>'прил 5'!G615</f>
        <v>676415</v>
      </c>
      <c r="H355" s="74">
        <v>0</v>
      </c>
      <c r="I355" s="74">
        <v>0</v>
      </c>
    </row>
    <row r="356" spans="1:10" s="18" customFormat="1" ht="18.75" customHeight="1">
      <c r="A356" s="84" t="s">
        <v>906</v>
      </c>
      <c r="B356" s="15" t="s">
        <v>97</v>
      </c>
      <c r="C356" s="15" t="s">
        <v>70</v>
      </c>
      <c r="D356" s="15" t="s">
        <v>55</v>
      </c>
      <c r="E356" s="15" t="s">
        <v>905</v>
      </c>
      <c r="F356" s="15"/>
      <c r="G356" s="74">
        <f t="shared" ref="G356:I357" si="84">G357</f>
        <v>44154.28</v>
      </c>
      <c r="H356" s="74">
        <f t="shared" si="84"/>
        <v>0</v>
      </c>
      <c r="I356" s="74">
        <f t="shared" si="84"/>
        <v>0</v>
      </c>
    </row>
    <row r="357" spans="1:10" s="18" customFormat="1" ht="25.5">
      <c r="A357" s="16" t="s">
        <v>30</v>
      </c>
      <c r="B357" s="15" t="s">
        <v>97</v>
      </c>
      <c r="C357" s="15" t="s">
        <v>70</v>
      </c>
      <c r="D357" s="15" t="s">
        <v>55</v>
      </c>
      <c r="E357" s="15" t="s">
        <v>905</v>
      </c>
      <c r="F357" s="15" t="s">
        <v>31</v>
      </c>
      <c r="G357" s="74">
        <f t="shared" si="84"/>
        <v>44154.28</v>
      </c>
      <c r="H357" s="74">
        <f t="shared" si="84"/>
        <v>0</v>
      </c>
      <c r="I357" s="74">
        <f t="shared" si="84"/>
        <v>0</v>
      </c>
    </row>
    <row r="358" spans="1:10" s="18" customFormat="1">
      <c r="A358" s="16" t="s">
        <v>32</v>
      </c>
      <c r="B358" s="15" t="s">
        <v>97</v>
      </c>
      <c r="C358" s="15" t="s">
        <v>70</v>
      </c>
      <c r="D358" s="15" t="s">
        <v>55</v>
      </c>
      <c r="E358" s="15" t="s">
        <v>905</v>
      </c>
      <c r="F358" s="15" t="s">
        <v>33</v>
      </c>
      <c r="G358" s="74">
        <f>'прил 5'!G745</f>
        <v>44154.28</v>
      </c>
      <c r="H358" s="74"/>
      <c r="I358" s="74"/>
    </row>
    <row r="359" spans="1:10" ht="39.75" customHeight="1">
      <c r="A359" s="16" t="s">
        <v>656</v>
      </c>
      <c r="B359" s="14">
        <v>774</v>
      </c>
      <c r="C359" s="15" t="s">
        <v>26</v>
      </c>
      <c r="D359" s="15" t="s">
        <v>71</v>
      </c>
      <c r="E359" s="15" t="s">
        <v>671</v>
      </c>
      <c r="F359" s="15"/>
      <c r="G359" s="74">
        <f>G360+G364</f>
        <v>2419826.7400000002</v>
      </c>
      <c r="H359" s="74">
        <f t="shared" ref="H359:I359" si="85">H360+H364</f>
        <v>2724868.3000000003</v>
      </c>
      <c r="I359" s="74">
        <f t="shared" si="85"/>
        <v>2724868.3000000003</v>
      </c>
      <c r="J359" s="1"/>
    </row>
    <row r="360" spans="1:10" ht="34.5" customHeight="1">
      <c r="A360" s="16" t="s">
        <v>30</v>
      </c>
      <c r="B360" s="14">
        <v>774</v>
      </c>
      <c r="C360" s="15" t="s">
        <v>26</v>
      </c>
      <c r="D360" s="15" t="s">
        <v>71</v>
      </c>
      <c r="E360" s="15" t="s">
        <v>671</v>
      </c>
      <c r="F360" s="15" t="s">
        <v>31</v>
      </c>
      <c r="G360" s="74">
        <f>G361+G362+G363</f>
        <v>2419826.7400000002</v>
      </c>
      <c r="H360" s="74">
        <f t="shared" ref="H360:I360" si="86">H361+H362+H363</f>
        <v>2648607.8000000003</v>
      </c>
      <c r="I360" s="74">
        <f t="shared" si="86"/>
        <v>2648607.8000000003</v>
      </c>
      <c r="J360" s="1"/>
    </row>
    <row r="361" spans="1:10" ht="15" customHeight="1">
      <c r="A361" s="16" t="s">
        <v>32</v>
      </c>
      <c r="B361" s="14">
        <v>774</v>
      </c>
      <c r="C361" s="15" t="s">
        <v>26</v>
      </c>
      <c r="D361" s="15" t="s">
        <v>71</v>
      </c>
      <c r="E361" s="15" t="s">
        <v>671</v>
      </c>
      <c r="F361" s="15" t="s">
        <v>33</v>
      </c>
      <c r="G361" s="74">
        <f>'прил 5'!G627</f>
        <v>2419826.7400000002</v>
      </c>
      <c r="H361" s="74">
        <f>'прил 5'!H627</f>
        <v>2496086.8000000003</v>
      </c>
      <c r="I361" s="74">
        <f>'прил 5'!I627</f>
        <v>2496086.8000000003</v>
      </c>
      <c r="J361" s="1"/>
    </row>
    <row r="362" spans="1:10" ht="15" customHeight="1">
      <c r="A362" s="16" t="s">
        <v>655</v>
      </c>
      <c r="B362" s="14">
        <v>774</v>
      </c>
      <c r="C362" s="15" t="s">
        <v>26</v>
      </c>
      <c r="D362" s="15" t="s">
        <v>71</v>
      </c>
      <c r="E362" s="15" t="s">
        <v>671</v>
      </c>
      <c r="F362" s="15" t="s">
        <v>654</v>
      </c>
      <c r="G362" s="74">
        <f>'прил 5'!G628</f>
        <v>0</v>
      </c>
      <c r="H362" s="74">
        <f>'прил 5'!H628</f>
        <v>76260.5</v>
      </c>
      <c r="I362" s="74">
        <f>'прил 5'!I628</f>
        <v>76260.5</v>
      </c>
      <c r="J362" s="1"/>
    </row>
    <row r="363" spans="1:10" ht="36" customHeight="1">
      <c r="A363" s="16" t="s">
        <v>9</v>
      </c>
      <c r="B363" s="14">
        <v>774</v>
      </c>
      <c r="C363" s="15" t="s">
        <v>26</v>
      </c>
      <c r="D363" s="15" t="s">
        <v>71</v>
      </c>
      <c r="E363" s="15" t="s">
        <v>671</v>
      </c>
      <c r="F363" s="15" t="s">
        <v>8</v>
      </c>
      <c r="G363" s="74">
        <f>'прил 5'!G629</f>
        <v>0</v>
      </c>
      <c r="H363" s="74">
        <f>'прил 5'!H629</f>
        <v>76260.5</v>
      </c>
      <c r="I363" s="74">
        <f>'прил 5'!I629</f>
        <v>76260.5</v>
      </c>
      <c r="J363" s="1"/>
    </row>
    <row r="364" spans="1:10" ht="15" customHeight="1">
      <c r="A364" s="16" t="s">
        <v>64</v>
      </c>
      <c r="B364" s="14">
        <v>774</v>
      </c>
      <c r="C364" s="15" t="s">
        <v>26</v>
      </c>
      <c r="D364" s="15" t="s">
        <v>71</v>
      </c>
      <c r="E364" s="15" t="s">
        <v>671</v>
      </c>
      <c r="F364" s="15" t="s">
        <v>65</v>
      </c>
      <c r="G364" s="74">
        <f>G365</f>
        <v>0</v>
      </c>
      <c r="H364" s="74">
        <f t="shared" ref="H364:I364" si="87">H365</f>
        <v>76260.5</v>
      </c>
      <c r="I364" s="74">
        <f t="shared" si="87"/>
        <v>76260.5</v>
      </c>
      <c r="J364" s="1"/>
    </row>
    <row r="365" spans="1:10" ht="51.75" customHeight="1">
      <c r="A365" s="16" t="s">
        <v>447</v>
      </c>
      <c r="B365" s="14">
        <v>774</v>
      </c>
      <c r="C365" s="15" t="s">
        <v>26</v>
      </c>
      <c r="D365" s="15" t="s">
        <v>71</v>
      </c>
      <c r="E365" s="15" t="s">
        <v>671</v>
      </c>
      <c r="F365" s="15" t="s">
        <v>352</v>
      </c>
      <c r="G365" s="74">
        <f>'прил 5'!G631</f>
        <v>0</v>
      </c>
      <c r="H365" s="74">
        <f>'прил 5'!H631</f>
        <v>76260.5</v>
      </c>
      <c r="I365" s="74">
        <f>'прил 5'!I631</f>
        <v>76260.5</v>
      </c>
      <c r="J365" s="1"/>
    </row>
    <row r="366" spans="1:10" s="3" customFormat="1" ht="78.75" customHeight="1">
      <c r="A366" s="16" t="s">
        <v>772</v>
      </c>
      <c r="B366" s="14">
        <v>774</v>
      </c>
      <c r="C366" s="15" t="s">
        <v>26</v>
      </c>
      <c r="D366" s="15" t="s">
        <v>28</v>
      </c>
      <c r="E366" s="15" t="s">
        <v>735</v>
      </c>
      <c r="F366" s="15"/>
      <c r="G366" s="74">
        <f>G368</f>
        <v>351340</v>
      </c>
      <c r="H366" s="74">
        <f>H368</f>
        <v>0</v>
      </c>
      <c r="I366" s="74">
        <f>I368</f>
        <v>0</v>
      </c>
    </row>
    <row r="367" spans="1:10" ht="25.5">
      <c r="A367" s="16" t="s">
        <v>99</v>
      </c>
      <c r="B367" s="15" t="s">
        <v>97</v>
      </c>
      <c r="C367" s="15" t="s">
        <v>26</v>
      </c>
      <c r="D367" s="15" t="s">
        <v>28</v>
      </c>
      <c r="E367" s="15" t="s">
        <v>735</v>
      </c>
      <c r="F367" s="15" t="s">
        <v>359</v>
      </c>
      <c r="G367" s="74">
        <f>G368</f>
        <v>351340</v>
      </c>
      <c r="H367" s="74">
        <f>H368</f>
        <v>0</v>
      </c>
      <c r="I367" s="74">
        <f>I368</f>
        <v>0</v>
      </c>
      <c r="J367" s="1"/>
    </row>
    <row r="368" spans="1:10" s="3" customFormat="1" ht="89.25">
      <c r="A368" s="16" t="s">
        <v>434</v>
      </c>
      <c r="B368" s="14">
        <v>774</v>
      </c>
      <c r="C368" s="15" t="s">
        <v>26</v>
      </c>
      <c r="D368" s="15" t="s">
        <v>28</v>
      </c>
      <c r="E368" s="15" t="s">
        <v>735</v>
      </c>
      <c r="F368" s="15" t="s">
        <v>433</v>
      </c>
      <c r="G368" s="74">
        <v>351340</v>
      </c>
      <c r="H368" s="74">
        <v>0</v>
      </c>
      <c r="I368" s="74">
        <v>0</v>
      </c>
    </row>
    <row r="369" spans="1:10" s="3" customFormat="1" ht="25.5">
      <c r="A369" s="16" t="s">
        <v>737</v>
      </c>
      <c r="B369" s="14">
        <v>774</v>
      </c>
      <c r="C369" s="15" t="s">
        <v>26</v>
      </c>
      <c r="D369" s="15" t="s">
        <v>28</v>
      </c>
      <c r="E369" s="15" t="s">
        <v>736</v>
      </c>
      <c r="F369" s="15"/>
      <c r="G369" s="74">
        <f>G371</f>
        <v>480000</v>
      </c>
      <c r="H369" s="74">
        <f>H371</f>
        <v>0</v>
      </c>
      <c r="I369" s="74">
        <f>I371</f>
        <v>0</v>
      </c>
    </row>
    <row r="370" spans="1:10" ht="25.5">
      <c r="A370" s="16" t="s">
        <v>99</v>
      </c>
      <c r="B370" s="15" t="s">
        <v>97</v>
      </c>
      <c r="C370" s="15" t="s">
        <v>26</v>
      </c>
      <c r="D370" s="15" t="s">
        <v>28</v>
      </c>
      <c r="E370" s="15" t="s">
        <v>736</v>
      </c>
      <c r="F370" s="15" t="s">
        <v>359</v>
      </c>
      <c r="G370" s="74">
        <f>G371</f>
        <v>480000</v>
      </c>
      <c r="H370" s="74">
        <f>H371</f>
        <v>0</v>
      </c>
      <c r="I370" s="74">
        <f>I371</f>
        <v>0</v>
      </c>
      <c r="J370" s="1"/>
    </row>
    <row r="371" spans="1:10" s="3" customFormat="1" ht="89.25">
      <c r="A371" s="16" t="s">
        <v>434</v>
      </c>
      <c r="B371" s="14">
        <v>774</v>
      </c>
      <c r="C371" s="15" t="s">
        <v>26</v>
      </c>
      <c r="D371" s="15" t="s">
        <v>28</v>
      </c>
      <c r="E371" s="15" t="s">
        <v>736</v>
      </c>
      <c r="F371" s="15" t="s">
        <v>433</v>
      </c>
      <c r="G371" s="74">
        <v>480000</v>
      </c>
      <c r="H371" s="74">
        <v>0</v>
      </c>
      <c r="I371" s="74">
        <v>0</v>
      </c>
    </row>
    <row r="372" spans="1:10" s="18" customFormat="1" ht="53.25" hidden="1" customHeight="1">
      <c r="A372" s="16" t="s">
        <v>673</v>
      </c>
      <c r="B372" s="15" t="s">
        <v>97</v>
      </c>
      <c r="C372" s="15" t="s">
        <v>26</v>
      </c>
      <c r="D372" s="15" t="s">
        <v>71</v>
      </c>
      <c r="E372" s="15" t="s">
        <v>672</v>
      </c>
      <c r="F372" s="15"/>
      <c r="G372" s="74">
        <f t="shared" ref="G372:I373" si="88">G373</f>
        <v>0</v>
      </c>
      <c r="H372" s="74">
        <f t="shared" si="88"/>
        <v>0</v>
      </c>
      <c r="I372" s="74">
        <f t="shared" si="88"/>
        <v>0</v>
      </c>
    </row>
    <row r="373" spans="1:10" s="18" customFormat="1" ht="25.5" hidden="1">
      <c r="A373" s="16" t="s">
        <v>30</v>
      </c>
      <c r="B373" s="15" t="s">
        <v>97</v>
      </c>
      <c r="C373" s="15" t="s">
        <v>26</v>
      </c>
      <c r="D373" s="15" t="s">
        <v>71</v>
      </c>
      <c r="E373" s="15" t="s">
        <v>672</v>
      </c>
      <c r="F373" s="15" t="s">
        <v>31</v>
      </c>
      <c r="G373" s="74">
        <f t="shared" si="88"/>
        <v>0</v>
      </c>
      <c r="H373" s="74">
        <f t="shared" si="88"/>
        <v>0</v>
      </c>
      <c r="I373" s="74">
        <f t="shared" si="88"/>
        <v>0</v>
      </c>
    </row>
    <row r="374" spans="1:10" s="18" customFormat="1" hidden="1">
      <c r="A374" s="16" t="s">
        <v>32</v>
      </c>
      <c r="B374" s="15" t="s">
        <v>97</v>
      </c>
      <c r="C374" s="15" t="s">
        <v>26</v>
      </c>
      <c r="D374" s="15" t="s">
        <v>71</v>
      </c>
      <c r="E374" s="15" t="s">
        <v>672</v>
      </c>
      <c r="F374" s="15" t="s">
        <v>33</v>
      </c>
      <c r="G374" s="74">
        <f>'прил 5'!G624</f>
        <v>0</v>
      </c>
      <c r="H374" s="74"/>
      <c r="I374" s="74"/>
    </row>
    <row r="375" spans="1:10" s="3" customFormat="1" ht="52.5" hidden="1" customHeight="1">
      <c r="A375" s="16" t="s">
        <v>428</v>
      </c>
      <c r="B375" s="14">
        <v>774</v>
      </c>
      <c r="C375" s="15" t="s">
        <v>26</v>
      </c>
      <c r="D375" s="15" t="s">
        <v>28</v>
      </c>
      <c r="E375" s="15" t="s">
        <v>634</v>
      </c>
      <c r="F375" s="15"/>
      <c r="G375" s="74">
        <f t="shared" ref="G375:I376" si="89">G376</f>
        <v>0</v>
      </c>
      <c r="H375" s="74">
        <f t="shared" si="89"/>
        <v>0</v>
      </c>
      <c r="I375" s="74">
        <f t="shared" si="89"/>
        <v>0</v>
      </c>
    </row>
    <row r="376" spans="1:10" s="3" customFormat="1" ht="25.5" hidden="1">
      <c r="A376" s="16" t="s">
        <v>30</v>
      </c>
      <c r="B376" s="14">
        <v>774</v>
      </c>
      <c r="C376" s="15" t="s">
        <v>26</v>
      </c>
      <c r="D376" s="15" t="s">
        <v>28</v>
      </c>
      <c r="E376" s="15" t="s">
        <v>634</v>
      </c>
      <c r="F376" s="15" t="s">
        <v>31</v>
      </c>
      <c r="G376" s="74">
        <f t="shared" si="89"/>
        <v>0</v>
      </c>
      <c r="H376" s="74">
        <f t="shared" si="89"/>
        <v>0</v>
      </c>
      <c r="I376" s="74">
        <f t="shared" si="89"/>
        <v>0</v>
      </c>
    </row>
    <row r="377" spans="1:10" s="3" customFormat="1" hidden="1">
      <c r="A377" s="16" t="s">
        <v>32</v>
      </c>
      <c r="B377" s="14">
        <v>774</v>
      </c>
      <c r="C377" s="15" t="s">
        <v>26</v>
      </c>
      <c r="D377" s="15" t="s">
        <v>28</v>
      </c>
      <c r="E377" s="15" t="s">
        <v>634</v>
      </c>
      <c r="F377" s="15" t="s">
        <v>33</v>
      </c>
      <c r="G377" s="74">
        <f>'прил 5'!G501</f>
        <v>0</v>
      </c>
      <c r="H377" s="74">
        <v>0</v>
      </c>
      <c r="I377" s="74">
        <v>0</v>
      </c>
    </row>
    <row r="378" spans="1:10" s="28" customFormat="1" ht="61.5" hidden="1" customHeight="1">
      <c r="A378" s="13" t="s">
        <v>677</v>
      </c>
      <c r="B378" s="15" t="s">
        <v>97</v>
      </c>
      <c r="C378" s="15" t="s">
        <v>70</v>
      </c>
      <c r="D378" s="15" t="s">
        <v>55</v>
      </c>
      <c r="E378" s="15" t="s">
        <v>676</v>
      </c>
      <c r="F378" s="39"/>
      <c r="G378" s="74">
        <f t="shared" ref="G378:I379" si="90">G379</f>
        <v>0</v>
      </c>
      <c r="H378" s="74">
        <f t="shared" si="90"/>
        <v>0</v>
      </c>
      <c r="I378" s="74">
        <f t="shared" si="90"/>
        <v>0</v>
      </c>
    </row>
    <row r="379" spans="1:10" s="28" customFormat="1" ht="25.5" hidden="1">
      <c r="A379" s="16" t="s">
        <v>30</v>
      </c>
      <c r="B379" s="15" t="s">
        <v>97</v>
      </c>
      <c r="C379" s="15" t="s">
        <v>70</v>
      </c>
      <c r="D379" s="15" t="s">
        <v>55</v>
      </c>
      <c r="E379" s="15" t="s">
        <v>676</v>
      </c>
      <c r="F379" s="15" t="s">
        <v>31</v>
      </c>
      <c r="G379" s="74">
        <f t="shared" si="90"/>
        <v>0</v>
      </c>
      <c r="H379" s="74">
        <f t="shared" si="90"/>
        <v>0</v>
      </c>
      <c r="I379" s="74">
        <f t="shared" si="90"/>
        <v>0</v>
      </c>
    </row>
    <row r="380" spans="1:10" hidden="1">
      <c r="A380" s="16" t="s">
        <v>32</v>
      </c>
      <c r="B380" s="15" t="s">
        <v>97</v>
      </c>
      <c r="C380" s="15" t="s">
        <v>70</v>
      </c>
      <c r="D380" s="15" t="s">
        <v>55</v>
      </c>
      <c r="E380" s="15" t="s">
        <v>676</v>
      </c>
      <c r="F380" s="15" t="s">
        <v>33</v>
      </c>
      <c r="G380" s="74">
        <f>'прил 5'!G752</f>
        <v>0</v>
      </c>
      <c r="H380" s="74">
        <f>'прил 5'!H752</f>
        <v>0</v>
      </c>
      <c r="I380" s="74">
        <f>'прил 5'!I752</f>
        <v>0</v>
      </c>
      <c r="J380" s="1"/>
    </row>
    <row r="381" spans="1:10" s="28" customFormat="1" ht="61.5" customHeight="1">
      <c r="A381" s="13" t="s">
        <v>722</v>
      </c>
      <c r="B381" s="15" t="s">
        <v>97</v>
      </c>
      <c r="C381" s="15" t="s">
        <v>70</v>
      </c>
      <c r="D381" s="15" t="s">
        <v>55</v>
      </c>
      <c r="E381" s="15" t="s">
        <v>721</v>
      </c>
      <c r="F381" s="39"/>
      <c r="G381" s="74">
        <f t="shared" ref="G381:I382" si="91">G382</f>
        <v>16181140.539999999</v>
      </c>
      <c r="H381" s="74">
        <f t="shared" si="91"/>
        <v>16305279.800000001</v>
      </c>
      <c r="I381" s="74">
        <f t="shared" si="91"/>
        <v>16586802.9</v>
      </c>
    </row>
    <row r="382" spans="1:10" s="28" customFormat="1" ht="25.5">
      <c r="A382" s="16" t="s">
        <v>30</v>
      </c>
      <c r="B382" s="15" t="s">
        <v>97</v>
      </c>
      <c r="C382" s="15" t="s">
        <v>70</v>
      </c>
      <c r="D382" s="15" t="s">
        <v>55</v>
      </c>
      <c r="E382" s="15" t="s">
        <v>721</v>
      </c>
      <c r="F382" s="15" t="s">
        <v>31</v>
      </c>
      <c r="G382" s="74">
        <f t="shared" si="91"/>
        <v>16181140.539999999</v>
      </c>
      <c r="H382" s="74">
        <f t="shared" si="91"/>
        <v>16305279.800000001</v>
      </c>
      <c r="I382" s="74">
        <f t="shared" si="91"/>
        <v>16586802.9</v>
      </c>
    </row>
    <row r="383" spans="1:10">
      <c r="A383" s="16" t="s">
        <v>32</v>
      </c>
      <c r="B383" s="15" t="s">
        <v>97</v>
      </c>
      <c r="C383" s="15" t="s">
        <v>70</v>
      </c>
      <c r="D383" s="15" t="s">
        <v>55</v>
      </c>
      <c r="E383" s="15" t="s">
        <v>721</v>
      </c>
      <c r="F383" s="15" t="s">
        <v>33</v>
      </c>
      <c r="G383" s="74">
        <f>'прил 5'!G755</f>
        <v>16181140.539999999</v>
      </c>
      <c r="H383" s="74">
        <f>'прил 5'!H755</f>
        <v>16305279.800000001</v>
      </c>
      <c r="I383" s="74">
        <f>'прил 5'!I755</f>
        <v>16586802.9</v>
      </c>
      <c r="J383" s="1"/>
    </row>
    <row r="384" spans="1:10" ht="46.5" customHeight="1">
      <c r="A384" s="16" t="s">
        <v>750</v>
      </c>
      <c r="B384" s="15" t="s">
        <v>97</v>
      </c>
      <c r="C384" s="15" t="s">
        <v>26</v>
      </c>
      <c r="D384" s="15" t="s">
        <v>28</v>
      </c>
      <c r="E384" s="15" t="s">
        <v>749</v>
      </c>
      <c r="F384" s="15"/>
      <c r="G384" s="74">
        <f t="shared" ref="G384:I384" si="92">G385</f>
        <v>1298350</v>
      </c>
      <c r="H384" s="74">
        <f t="shared" si="92"/>
        <v>0</v>
      </c>
      <c r="I384" s="74">
        <f t="shared" si="92"/>
        <v>0</v>
      </c>
      <c r="J384" s="1"/>
    </row>
    <row r="385" spans="1:16" ht="39.75" customHeight="1">
      <c r="A385" s="16" t="s">
        <v>99</v>
      </c>
      <c r="B385" s="15" t="s">
        <v>97</v>
      </c>
      <c r="C385" s="15" t="s">
        <v>26</v>
      </c>
      <c r="D385" s="15" t="s">
        <v>28</v>
      </c>
      <c r="E385" s="15" t="s">
        <v>749</v>
      </c>
      <c r="F385" s="15" t="s">
        <v>31</v>
      </c>
      <c r="G385" s="74">
        <f>G386</f>
        <v>1298350</v>
      </c>
      <c r="H385" s="74">
        <f>H386</f>
        <v>0</v>
      </c>
      <c r="I385" s="74">
        <f>I386</f>
        <v>0</v>
      </c>
      <c r="J385" s="1"/>
    </row>
    <row r="386" spans="1:16" ht="46.5" customHeight="1">
      <c r="A386" s="16" t="s">
        <v>434</v>
      </c>
      <c r="B386" s="15" t="s">
        <v>97</v>
      </c>
      <c r="C386" s="15" t="s">
        <v>26</v>
      </c>
      <c r="D386" s="15" t="s">
        <v>28</v>
      </c>
      <c r="E386" s="15" t="s">
        <v>749</v>
      </c>
      <c r="F386" s="15" t="s">
        <v>33</v>
      </c>
      <c r="G386" s="74">
        <f>'прил 5'!G510</f>
        <v>1298350</v>
      </c>
      <c r="H386" s="74">
        <v>0</v>
      </c>
      <c r="I386" s="74">
        <v>0</v>
      </c>
      <c r="J386" s="1"/>
    </row>
    <row r="387" spans="1:16" ht="57" customHeight="1">
      <c r="A387" s="16" t="s">
        <v>720</v>
      </c>
      <c r="B387" s="15" t="s">
        <v>97</v>
      </c>
      <c r="C387" s="15" t="s">
        <v>26</v>
      </c>
      <c r="D387" s="15" t="s">
        <v>28</v>
      </c>
      <c r="E387" s="15" t="s">
        <v>719</v>
      </c>
      <c r="F387" s="15"/>
      <c r="G387" s="74">
        <f t="shared" ref="G387:I387" si="93">G388</f>
        <v>20319950</v>
      </c>
      <c r="H387" s="74">
        <f t="shared" si="93"/>
        <v>0</v>
      </c>
      <c r="I387" s="74">
        <f t="shared" si="93"/>
        <v>0</v>
      </c>
      <c r="J387" s="1"/>
    </row>
    <row r="388" spans="1:16" ht="25.5">
      <c r="A388" s="16" t="s">
        <v>99</v>
      </c>
      <c r="B388" s="15" t="s">
        <v>97</v>
      </c>
      <c r="C388" s="15" t="s">
        <v>26</v>
      </c>
      <c r="D388" s="15" t="s">
        <v>28</v>
      </c>
      <c r="E388" s="15" t="s">
        <v>719</v>
      </c>
      <c r="F388" s="15" t="s">
        <v>359</v>
      </c>
      <c r="G388" s="74">
        <f>G389</f>
        <v>20319950</v>
      </c>
      <c r="H388" s="74">
        <f>H389</f>
        <v>0</v>
      </c>
      <c r="I388" s="74">
        <f>I389</f>
        <v>0</v>
      </c>
      <c r="J388" s="1"/>
    </row>
    <row r="389" spans="1:16" ht="89.25">
      <c r="A389" s="16" t="s">
        <v>434</v>
      </c>
      <c r="B389" s="15" t="s">
        <v>97</v>
      </c>
      <c r="C389" s="15" t="s">
        <v>26</v>
      </c>
      <c r="D389" s="15" t="s">
        <v>28</v>
      </c>
      <c r="E389" s="15" t="s">
        <v>719</v>
      </c>
      <c r="F389" s="15" t="s">
        <v>433</v>
      </c>
      <c r="G389" s="74">
        <v>20319950</v>
      </c>
      <c r="H389" s="74">
        <v>0</v>
      </c>
      <c r="I389" s="74">
        <v>0</v>
      </c>
      <c r="J389" s="1"/>
    </row>
    <row r="390" spans="1:16" ht="25.5">
      <c r="A390" s="16" t="s">
        <v>0</v>
      </c>
      <c r="B390" s="14">
        <v>774</v>
      </c>
      <c r="C390" s="15" t="s">
        <v>26</v>
      </c>
      <c r="D390" s="15" t="s">
        <v>28</v>
      </c>
      <c r="E390" s="15" t="s">
        <v>225</v>
      </c>
      <c r="F390" s="15"/>
      <c r="G390" s="8">
        <f>G395+G401+G408+G420+G431+G434+G409+G414+G417+G423+G391+G403+G396+G426</f>
        <v>27406645.129999995</v>
      </c>
      <c r="H390" s="8">
        <f>H395+H401+H408+H420+H431+H434+H409+H414+H417+H423+H391+H403</f>
        <v>7357349</v>
      </c>
      <c r="I390" s="8">
        <f t="shared" ref="I390" si="94">I395+I401+I408+I420+I431+I434+I409+I414+I417+I423+I391+I403</f>
        <v>7357349</v>
      </c>
      <c r="J390" s="1"/>
      <c r="P390" s="2"/>
    </row>
    <row r="391" spans="1:16" ht="39.75" hidden="1" customHeight="1">
      <c r="A391" s="16" t="s">
        <v>122</v>
      </c>
      <c r="B391" s="15" t="s">
        <v>97</v>
      </c>
      <c r="C391" s="15" t="s">
        <v>26</v>
      </c>
      <c r="D391" s="15" t="s">
        <v>28</v>
      </c>
      <c r="E391" s="15" t="s">
        <v>670</v>
      </c>
      <c r="F391" s="15"/>
      <c r="G391" s="74">
        <f t="shared" ref="G391:I392" si="95">G392</f>
        <v>0</v>
      </c>
      <c r="H391" s="74">
        <f t="shared" si="95"/>
        <v>0</v>
      </c>
      <c r="I391" s="74">
        <f t="shared" si="95"/>
        <v>0</v>
      </c>
      <c r="J391" s="1"/>
    </row>
    <row r="392" spans="1:16" ht="25.5" hidden="1">
      <c r="A392" s="16" t="s">
        <v>30</v>
      </c>
      <c r="B392" s="15" t="s">
        <v>97</v>
      </c>
      <c r="C392" s="15" t="s">
        <v>26</v>
      </c>
      <c r="D392" s="15" t="s">
        <v>28</v>
      </c>
      <c r="E392" s="15" t="s">
        <v>670</v>
      </c>
      <c r="F392" s="15" t="s">
        <v>31</v>
      </c>
      <c r="G392" s="74">
        <f t="shared" si="95"/>
        <v>0</v>
      </c>
      <c r="H392" s="74">
        <f t="shared" si="95"/>
        <v>0</v>
      </c>
      <c r="I392" s="74">
        <f t="shared" si="95"/>
        <v>0</v>
      </c>
      <c r="J392" s="1"/>
    </row>
    <row r="393" spans="1:16" hidden="1">
      <c r="A393" s="16" t="s">
        <v>32</v>
      </c>
      <c r="B393" s="15" t="s">
        <v>97</v>
      </c>
      <c r="C393" s="15" t="s">
        <v>26</v>
      </c>
      <c r="D393" s="15" t="s">
        <v>28</v>
      </c>
      <c r="E393" s="15" t="s">
        <v>670</v>
      </c>
      <c r="F393" s="15" t="s">
        <v>33</v>
      </c>
      <c r="G393" s="74">
        <f>'прил 5'!G517</f>
        <v>0</v>
      </c>
      <c r="H393" s="74">
        <f>'прил 5'!H517</f>
        <v>0</v>
      </c>
      <c r="I393" s="74">
        <f>'прил 5'!I517</f>
        <v>0</v>
      </c>
      <c r="J393" s="1"/>
    </row>
    <row r="394" spans="1:16" s="3" customFormat="1" ht="38.25">
      <c r="A394" s="16" t="s">
        <v>860</v>
      </c>
      <c r="B394" s="14">
        <v>774</v>
      </c>
      <c r="C394" s="15" t="s">
        <v>26</v>
      </c>
      <c r="D394" s="15" t="s">
        <v>19</v>
      </c>
      <c r="E394" s="15" t="s">
        <v>463</v>
      </c>
      <c r="F394" s="15"/>
      <c r="G394" s="74">
        <f>G395</f>
        <v>0</v>
      </c>
      <c r="H394" s="146">
        <f>H395</f>
        <v>1000000</v>
      </c>
      <c r="I394" s="146">
        <f>I395</f>
        <v>1000000</v>
      </c>
      <c r="J394" s="152"/>
    </row>
    <row r="395" spans="1:16" s="3" customFormat="1">
      <c r="A395" s="16" t="s">
        <v>32</v>
      </c>
      <c r="B395" s="14">
        <v>774</v>
      </c>
      <c r="C395" s="15" t="s">
        <v>26</v>
      </c>
      <c r="D395" s="15" t="s">
        <v>19</v>
      </c>
      <c r="E395" s="15" t="s">
        <v>463</v>
      </c>
      <c r="F395" s="15" t="s">
        <v>33</v>
      </c>
      <c r="G395" s="74">
        <f>'прил 5'!G417+'прил 5'!G519</f>
        <v>0</v>
      </c>
      <c r="H395" s="146">
        <f>'прил 5'!H417+'прил 5'!H519</f>
        <v>1000000</v>
      </c>
      <c r="I395" s="146">
        <f>'прил 5'!I417+'прил 5'!I519</f>
        <v>1000000</v>
      </c>
      <c r="J395" s="152"/>
    </row>
    <row r="396" spans="1:16" s="3" customFormat="1" ht="38.25">
      <c r="A396" s="16" t="s">
        <v>861</v>
      </c>
      <c r="B396" s="14">
        <v>774</v>
      </c>
      <c r="C396" s="15" t="s">
        <v>26</v>
      </c>
      <c r="D396" s="15" t="s">
        <v>28</v>
      </c>
      <c r="E396" s="88" t="s">
        <v>806</v>
      </c>
      <c r="F396" s="15"/>
      <c r="G396" s="74">
        <f t="shared" ref="G396:I397" si="96">G397</f>
        <v>315162</v>
      </c>
      <c r="H396" s="74">
        <f t="shared" si="96"/>
        <v>0</v>
      </c>
      <c r="I396" s="74">
        <f t="shared" si="96"/>
        <v>0</v>
      </c>
    </row>
    <row r="397" spans="1:16" s="3" customFormat="1" ht="25.5">
      <c r="A397" s="16" t="s">
        <v>30</v>
      </c>
      <c r="B397" s="14">
        <v>774</v>
      </c>
      <c r="C397" s="15" t="s">
        <v>26</v>
      </c>
      <c r="D397" s="15" t="s">
        <v>28</v>
      </c>
      <c r="E397" s="88" t="s">
        <v>806</v>
      </c>
      <c r="F397" s="15" t="s">
        <v>31</v>
      </c>
      <c r="G397" s="74">
        <f t="shared" si="96"/>
        <v>315162</v>
      </c>
      <c r="H397" s="74">
        <f t="shared" si="96"/>
        <v>0</v>
      </c>
      <c r="I397" s="74">
        <f t="shared" si="96"/>
        <v>0</v>
      </c>
    </row>
    <row r="398" spans="1:16" s="3" customFormat="1">
      <c r="A398" s="86" t="s">
        <v>32</v>
      </c>
      <c r="B398" s="14">
        <v>774</v>
      </c>
      <c r="C398" s="15" t="s">
        <v>26</v>
      </c>
      <c r="D398" s="15" t="s">
        <v>28</v>
      </c>
      <c r="E398" s="88" t="s">
        <v>806</v>
      </c>
      <c r="F398" s="15" t="s">
        <v>33</v>
      </c>
      <c r="G398" s="74">
        <f>'прил 5'!G522</f>
        <v>315162</v>
      </c>
      <c r="H398" s="74"/>
      <c r="I398" s="74"/>
    </row>
    <row r="399" spans="1:16" s="3" customFormat="1">
      <c r="A399" s="16" t="s">
        <v>1</v>
      </c>
      <c r="B399" s="14">
        <v>774</v>
      </c>
      <c r="C399" s="15" t="s">
        <v>26</v>
      </c>
      <c r="D399" s="15" t="s">
        <v>28</v>
      </c>
      <c r="E399" s="15" t="s">
        <v>226</v>
      </c>
      <c r="F399" s="15"/>
      <c r="G399" s="74">
        <f t="shared" ref="G399:I400" si="97">G400</f>
        <v>4695379.04</v>
      </c>
      <c r="H399" s="102">
        <f t="shared" si="97"/>
        <v>2041349</v>
      </c>
      <c r="I399" s="102">
        <f t="shared" si="97"/>
        <v>3241349</v>
      </c>
      <c r="J399" s="152"/>
    </row>
    <row r="400" spans="1:16" s="3" customFormat="1" ht="25.5">
      <c r="A400" s="16" t="s">
        <v>30</v>
      </c>
      <c r="B400" s="14">
        <v>774</v>
      </c>
      <c r="C400" s="15" t="s">
        <v>26</v>
      </c>
      <c r="D400" s="15" t="s">
        <v>28</v>
      </c>
      <c r="E400" s="15" t="s">
        <v>226</v>
      </c>
      <c r="F400" s="15" t="s">
        <v>31</v>
      </c>
      <c r="G400" s="74">
        <f t="shared" si="97"/>
        <v>4695379.04</v>
      </c>
      <c r="H400" s="102">
        <f t="shared" si="97"/>
        <v>2041349</v>
      </c>
      <c r="I400" s="102">
        <f t="shared" si="97"/>
        <v>3241349</v>
      </c>
      <c r="J400" s="152"/>
    </row>
    <row r="401" spans="1:10" s="3" customFormat="1">
      <c r="A401" s="16" t="s">
        <v>32</v>
      </c>
      <c r="B401" s="14">
        <v>774</v>
      </c>
      <c r="C401" s="15" t="s">
        <v>26</v>
      </c>
      <c r="D401" s="15" t="s">
        <v>28</v>
      </c>
      <c r="E401" s="15" t="s">
        <v>226</v>
      </c>
      <c r="F401" s="15" t="s">
        <v>33</v>
      </c>
      <c r="G401" s="74">
        <f>'прил 5'!G411+'прил 5'!G525+'прил 5'!G635</f>
        <v>4695379.04</v>
      </c>
      <c r="H401" s="74">
        <f>'прил 5'!H411+'прил 5'!H525+'прил 5'!H635</f>
        <v>2041349</v>
      </c>
      <c r="I401" s="74">
        <f>'прил 5'!I411+'прил 5'!I525+'прил 5'!I635</f>
        <v>3241349</v>
      </c>
      <c r="J401" s="152"/>
    </row>
    <row r="402" spans="1:10" s="3" customFormat="1" hidden="1">
      <c r="A402" s="16" t="s">
        <v>35</v>
      </c>
      <c r="B402" s="14">
        <v>774</v>
      </c>
      <c r="C402" s="15" t="s">
        <v>26</v>
      </c>
      <c r="D402" s="15" t="s">
        <v>28</v>
      </c>
      <c r="E402" s="15" t="s">
        <v>226</v>
      </c>
      <c r="F402" s="15" t="s">
        <v>53</v>
      </c>
      <c r="G402" s="74"/>
      <c r="H402" s="102"/>
      <c r="I402" s="102"/>
      <c r="J402" s="152"/>
    </row>
    <row r="403" spans="1:10" s="3" customFormat="1" ht="25.5">
      <c r="A403" s="16" t="s">
        <v>700</v>
      </c>
      <c r="B403" s="14">
        <v>774</v>
      </c>
      <c r="C403" s="15" t="s">
        <v>26</v>
      </c>
      <c r="D403" s="15" t="s">
        <v>71</v>
      </c>
      <c r="E403" s="88" t="s">
        <v>758</v>
      </c>
      <c r="F403" s="15"/>
      <c r="G403" s="74">
        <f t="shared" ref="G403:I404" si="98">G404</f>
        <v>79427.289999999994</v>
      </c>
      <c r="H403" s="74">
        <f t="shared" si="98"/>
        <v>0</v>
      </c>
      <c r="I403" s="74">
        <f t="shared" si="98"/>
        <v>0</v>
      </c>
    </row>
    <row r="404" spans="1:10" s="3" customFormat="1" ht="25.5">
      <c r="A404" s="16" t="s">
        <v>30</v>
      </c>
      <c r="B404" s="14">
        <v>774</v>
      </c>
      <c r="C404" s="15" t="s">
        <v>26</v>
      </c>
      <c r="D404" s="15" t="s">
        <v>71</v>
      </c>
      <c r="E404" s="88" t="s">
        <v>758</v>
      </c>
      <c r="F404" s="15" t="s">
        <v>31</v>
      </c>
      <c r="G404" s="74">
        <f t="shared" si="98"/>
        <v>79427.289999999994</v>
      </c>
      <c r="H404" s="74">
        <f t="shared" si="98"/>
        <v>0</v>
      </c>
      <c r="I404" s="74">
        <f t="shared" si="98"/>
        <v>0</v>
      </c>
    </row>
    <row r="405" spans="1:10" s="3" customFormat="1">
      <c r="A405" s="16" t="s">
        <v>32</v>
      </c>
      <c r="B405" s="14">
        <v>774</v>
      </c>
      <c r="C405" s="15" t="s">
        <v>26</v>
      </c>
      <c r="D405" s="15" t="s">
        <v>71</v>
      </c>
      <c r="E405" s="88" t="s">
        <v>758</v>
      </c>
      <c r="F405" s="15" t="s">
        <v>33</v>
      </c>
      <c r="G405" s="74">
        <f>'прил 5'!G641</f>
        <v>79427.289999999994</v>
      </c>
      <c r="H405" s="74"/>
      <c r="I405" s="74"/>
    </row>
    <row r="406" spans="1:10" s="3" customFormat="1" ht="25.5">
      <c r="A406" s="16" t="s">
        <v>304</v>
      </c>
      <c r="B406" s="14">
        <v>774</v>
      </c>
      <c r="C406" s="15" t="s">
        <v>26</v>
      </c>
      <c r="D406" s="15" t="s">
        <v>28</v>
      </c>
      <c r="E406" s="15" t="s">
        <v>303</v>
      </c>
      <c r="F406" s="15"/>
      <c r="G406" s="74">
        <f t="shared" ref="G406:I407" si="99">G407</f>
        <v>2116000</v>
      </c>
      <c r="H406" s="102">
        <f t="shared" si="99"/>
        <v>2116000</v>
      </c>
      <c r="I406" s="102">
        <f t="shared" si="99"/>
        <v>2116000</v>
      </c>
      <c r="J406" s="152"/>
    </row>
    <row r="407" spans="1:10" s="3" customFormat="1" ht="25.5">
      <c r="A407" s="16" t="s">
        <v>30</v>
      </c>
      <c r="B407" s="14">
        <v>774</v>
      </c>
      <c r="C407" s="15" t="s">
        <v>26</v>
      </c>
      <c r="D407" s="15" t="s">
        <v>28</v>
      </c>
      <c r="E407" s="15" t="s">
        <v>303</v>
      </c>
      <c r="F407" s="15" t="s">
        <v>31</v>
      </c>
      <c r="G407" s="74">
        <f t="shared" si="99"/>
        <v>2116000</v>
      </c>
      <c r="H407" s="102">
        <f t="shared" si="99"/>
        <v>2116000</v>
      </c>
      <c r="I407" s="102">
        <f t="shared" si="99"/>
        <v>2116000</v>
      </c>
      <c r="J407" s="152"/>
    </row>
    <row r="408" spans="1:10" s="3" customFormat="1">
      <c r="A408" s="16" t="s">
        <v>32</v>
      </c>
      <c r="B408" s="14">
        <v>774</v>
      </c>
      <c r="C408" s="15" t="s">
        <v>26</v>
      </c>
      <c r="D408" s="15" t="s">
        <v>28</v>
      </c>
      <c r="E408" s="15" t="s">
        <v>303</v>
      </c>
      <c r="F408" s="15" t="s">
        <v>33</v>
      </c>
      <c r="G408" s="74">
        <f>'прил 5'!G400+'прил 5'!G528+'прил 5'!G638</f>
        <v>2116000</v>
      </c>
      <c r="H408" s="102">
        <f>'прил 5'!H400+'прил 5'!H528+'прил 5'!H638</f>
        <v>2116000</v>
      </c>
      <c r="I408" s="102">
        <f>'прил 5'!I400+'прил 5'!I528+'прил 5'!I638</f>
        <v>2116000</v>
      </c>
      <c r="J408" s="152"/>
    </row>
    <row r="409" spans="1:10" s="3" customFormat="1" ht="46.5" customHeight="1">
      <c r="A409" s="16" t="s">
        <v>781</v>
      </c>
      <c r="B409" s="14">
        <v>774</v>
      </c>
      <c r="C409" s="15" t="s">
        <v>26</v>
      </c>
      <c r="D409" s="15" t="s">
        <v>28</v>
      </c>
      <c r="E409" s="88" t="s">
        <v>769</v>
      </c>
      <c r="F409" s="15"/>
      <c r="G409" s="74">
        <f t="shared" ref="G409:I410" si="100">G410</f>
        <v>20000</v>
      </c>
      <c r="H409" s="74">
        <f t="shared" si="100"/>
        <v>0</v>
      </c>
      <c r="I409" s="74">
        <f t="shared" si="100"/>
        <v>0</v>
      </c>
    </row>
    <row r="410" spans="1:10" s="3" customFormat="1" ht="25.5">
      <c r="A410" s="16" t="s">
        <v>30</v>
      </c>
      <c r="B410" s="14">
        <v>774</v>
      </c>
      <c r="C410" s="15" t="s">
        <v>26</v>
      </c>
      <c r="D410" s="15" t="s">
        <v>28</v>
      </c>
      <c r="E410" s="15" t="s">
        <v>769</v>
      </c>
      <c r="F410" s="15" t="s">
        <v>31</v>
      </c>
      <c r="G410" s="74">
        <f t="shared" si="100"/>
        <v>20000</v>
      </c>
      <c r="H410" s="74">
        <f t="shared" si="100"/>
        <v>0</v>
      </c>
      <c r="I410" s="74">
        <f t="shared" si="100"/>
        <v>0</v>
      </c>
    </row>
    <row r="411" spans="1:10" s="3" customFormat="1">
      <c r="A411" s="16" t="s">
        <v>32</v>
      </c>
      <c r="B411" s="14">
        <v>774</v>
      </c>
      <c r="C411" s="15" t="s">
        <v>26</v>
      </c>
      <c r="D411" s="15" t="s">
        <v>28</v>
      </c>
      <c r="E411" s="15" t="s">
        <v>769</v>
      </c>
      <c r="F411" s="15" t="s">
        <v>33</v>
      </c>
      <c r="G411" s="74">
        <f>'прил 5'!G414</f>
        <v>20000</v>
      </c>
      <c r="H411" s="74">
        <f>'прил 5'!H534</f>
        <v>0</v>
      </c>
      <c r="I411" s="74">
        <f>'прил 5'!I534</f>
        <v>0</v>
      </c>
    </row>
    <row r="412" spans="1:10" s="3" customFormat="1" ht="47.25" customHeight="1">
      <c r="A412" s="16" t="s">
        <v>782</v>
      </c>
      <c r="B412" s="14">
        <v>774</v>
      </c>
      <c r="C412" s="15" t="s">
        <v>26</v>
      </c>
      <c r="D412" s="15" t="s">
        <v>28</v>
      </c>
      <c r="E412" s="88" t="s">
        <v>771</v>
      </c>
      <c r="F412" s="88"/>
      <c r="G412" s="102">
        <f t="shared" ref="G412:I416" si="101">G413</f>
        <v>1056457.79</v>
      </c>
      <c r="H412" s="74">
        <f t="shared" si="101"/>
        <v>1200000</v>
      </c>
      <c r="I412" s="74">
        <f t="shared" si="101"/>
        <v>0</v>
      </c>
    </row>
    <row r="413" spans="1:10" s="3" customFormat="1" ht="25.5">
      <c r="A413" s="16" t="s">
        <v>30</v>
      </c>
      <c r="B413" s="14">
        <v>774</v>
      </c>
      <c r="C413" s="15" t="s">
        <v>26</v>
      </c>
      <c r="D413" s="15" t="s">
        <v>28</v>
      </c>
      <c r="E413" s="88" t="s">
        <v>771</v>
      </c>
      <c r="F413" s="88" t="s">
        <v>31</v>
      </c>
      <c r="G413" s="102">
        <f t="shared" si="101"/>
        <v>1056457.79</v>
      </c>
      <c r="H413" s="74">
        <f t="shared" si="101"/>
        <v>1200000</v>
      </c>
      <c r="I413" s="74">
        <f t="shared" si="101"/>
        <v>0</v>
      </c>
    </row>
    <row r="414" spans="1:10" s="3" customFormat="1">
      <c r="A414" s="16" t="s">
        <v>32</v>
      </c>
      <c r="B414" s="14">
        <v>774</v>
      </c>
      <c r="C414" s="15" t="s">
        <v>26</v>
      </c>
      <c r="D414" s="15" t="s">
        <v>28</v>
      </c>
      <c r="E414" s="88" t="s">
        <v>771</v>
      </c>
      <c r="F414" s="88" t="s">
        <v>33</v>
      </c>
      <c r="G414" s="102">
        <f>'прил 5'!G537</f>
        <v>1056457.79</v>
      </c>
      <c r="H414" s="102">
        <f>'прил 5'!H537</f>
        <v>1200000</v>
      </c>
      <c r="I414" s="74">
        <v>0</v>
      </c>
    </row>
    <row r="415" spans="1:10" s="3" customFormat="1" ht="38.25" hidden="1">
      <c r="A415" s="16" t="s">
        <v>660</v>
      </c>
      <c r="B415" s="14">
        <v>774</v>
      </c>
      <c r="C415" s="15" t="s">
        <v>26</v>
      </c>
      <c r="D415" s="15" t="s">
        <v>28</v>
      </c>
      <c r="E415" s="88" t="s">
        <v>659</v>
      </c>
      <c r="F415" s="88"/>
      <c r="G415" s="102">
        <f t="shared" si="101"/>
        <v>0</v>
      </c>
      <c r="H415" s="74">
        <f t="shared" si="101"/>
        <v>0</v>
      </c>
      <c r="I415" s="74">
        <f t="shared" si="101"/>
        <v>0</v>
      </c>
    </row>
    <row r="416" spans="1:10" s="3" customFormat="1" ht="25.5" hidden="1">
      <c r="A416" s="16" t="s">
        <v>30</v>
      </c>
      <c r="B416" s="14">
        <v>774</v>
      </c>
      <c r="C416" s="15" t="s">
        <v>26</v>
      </c>
      <c r="D416" s="15" t="s">
        <v>28</v>
      </c>
      <c r="E416" s="88" t="s">
        <v>659</v>
      </c>
      <c r="F416" s="88" t="s">
        <v>31</v>
      </c>
      <c r="G416" s="102">
        <f t="shared" si="101"/>
        <v>0</v>
      </c>
      <c r="H416" s="74">
        <f t="shared" si="101"/>
        <v>0</v>
      </c>
      <c r="I416" s="74">
        <f t="shared" si="101"/>
        <v>0</v>
      </c>
    </row>
    <row r="417" spans="1:10" s="3" customFormat="1" hidden="1">
      <c r="A417" s="16" t="s">
        <v>32</v>
      </c>
      <c r="B417" s="14">
        <v>774</v>
      </c>
      <c r="C417" s="15" t="s">
        <v>26</v>
      </c>
      <c r="D417" s="15" t="s">
        <v>28</v>
      </c>
      <c r="E417" s="88" t="s">
        <v>659</v>
      </c>
      <c r="F417" s="88" t="s">
        <v>33</v>
      </c>
      <c r="G417" s="102">
        <f>'прил 5'!G540</f>
        <v>0</v>
      </c>
      <c r="H417" s="74"/>
      <c r="I417" s="74"/>
    </row>
    <row r="418" spans="1:10" ht="38.25">
      <c r="A418" s="16" t="s">
        <v>427</v>
      </c>
      <c r="B418" s="14">
        <v>774</v>
      </c>
      <c r="C418" s="15" t="s">
        <v>26</v>
      </c>
      <c r="D418" s="15" t="s">
        <v>28</v>
      </c>
      <c r="E418" s="88" t="s">
        <v>874</v>
      </c>
      <c r="F418" s="88"/>
      <c r="G418" s="89">
        <f t="shared" ref="G418:I419" si="102">G419</f>
        <v>2000000</v>
      </c>
      <c r="H418" s="8">
        <f t="shared" si="102"/>
        <v>1000000</v>
      </c>
      <c r="I418" s="8">
        <f t="shared" si="102"/>
        <v>1000000</v>
      </c>
    </row>
    <row r="419" spans="1:10" ht="25.5">
      <c r="A419" s="16" t="s">
        <v>30</v>
      </c>
      <c r="B419" s="14">
        <v>774</v>
      </c>
      <c r="C419" s="15" t="s">
        <v>26</v>
      </c>
      <c r="D419" s="15" t="s">
        <v>28</v>
      </c>
      <c r="E419" s="88" t="s">
        <v>874</v>
      </c>
      <c r="F419" s="88" t="s">
        <v>31</v>
      </c>
      <c r="G419" s="89">
        <f t="shared" si="102"/>
        <v>2000000</v>
      </c>
      <c r="H419" s="8">
        <f t="shared" si="102"/>
        <v>1000000</v>
      </c>
      <c r="I419" s="8">
        <f t="shared" si="102"/>
        <v>1000000</v>
      </c>
    </row>
    <row r="420" spans="1:10">
      <c r="A420" s="16" t="s">
        <v>32</v>
      </c>
      <c r="B420" s="14">
        <v>774</v>
      </c>
      <c r="C420" s="15" t="s">
        <v>26</v>
      </c>
      <c r="D420" s="15" t="s">
        <v>28</v>
      </c>
      <c r="E420" s="88" t="s">
        <v>874</v>
      </c>
      <c r="F420" s="88" t="s">
        <v>33</v>
      </c>
      <c r="G420" s="89">
        <f>'прил 5'!G543</f>
        <v>2000000</v>
      </c>
      <c r="H420" s="8">
        <f>'прил 5'!H543</f>
        <v>1000000</v>
      </c>
      <c r="I420" s="8">
        <f>'прил 5'!I543</f>
        <v>1000000</v>
      </c>
    </row>
    <row r="421" spans="1:10" hidden="1">
      <c r="A421" s="16" t="s">
        <v>765</v>
      </c>
      <c r="B421" s="14">
        <v>774</v>
      </c>
      <c r="C421" s="15" t="s">
        <v>26</v>
      </c>
      <c r="D421" s="15" t="s">
        <v>28</v>
      </c>
      <c r="E421" s="88" t="s">
        <v>766</v>
      </c>
      <c r="F421" s="88"/>
      <c r="G421" s="89">
        <f>G422</f>
        <v>0</v>
      </c>
      <c r="H421" s="8">
        <f t="shared" ref="G421:I422" si="103">H422</f>
        <v>0</v>
      </c>
      <c r="I421" s="8">
        <f t="shared" si="103"/>
        <v>0</v>
      </c>
      <c r="J421" s="1"/>
    </row>
    <row r="422" spans="1:10" ht="25.5" hidden="1">
      <c r="A422" s="16" t="s">
        <v>30</v>
      </c>
      <c r="B422" s="14">
        <v>774</v>
      </c>
      <c r="C422" s="15" t="s">
        <v>26</v>
      </c>
      <c r="D422" s="15" t="s">
        <v>28</v>
      </c>
      <c r="E422" s="88" t="s">
        <v>766</v>
      </c>
      <c r="F422" s="88" t="s">
        <v>31</v>
      </c>
      <c r="G422" s="89">
        <f t="shared" si="103"/>
        <v>0</v>
      </c>
      <c r="H422" s="8">
        <f t="shared" si="103"/>
        <v>0</v>
      </c>
      <c r="I422" s="8">
        <f t="shared" si="103"/>
        <v>0</v>
      </c>
      <c r="J422" s="1"/>
    </row>
    <row r="423" spans="1:10" hidden="1">
      <c r="A423" s="16" t="s">
        <v>32</v>
      </c>
      <c r="B423" s="14">
        <v>774</v>
      </c>
      <c r="C423" s="15" t="s">
        <v>26</v>
      </c>
      <c r="D423" s="15" t="s">
        <v>28</v>
      </c>
      <c r="E423" s="88" t="s">
        <v>766</v>
      </c>
      <c r="F423" s="88" t="s">
        <v>33</v>
      </c>
      <c r="G423" s="89">
        <f>'прил 5'!G546</f>
        <v>0</v>
      </c>
      <c r="H423" s="8"/>
      <c r="I423" s="8"/>
      <c r="J423" s="1"/>
    </row>
    <row r="424" spans="1:10" s="3" customFormat="1" hidden="1">
      <c r="A424" s="16" t="s">
        <v>444</v>
      </c>
      <c r="B424" s="14">
        <v>774</v>
      </c>
      <c r="C424" s="15" t="s">
        <v>26</v>
      </c>
      <c r="D424" s="15" t="s">
        <v>19</v>
      </c>
      <c r="E424" s="88" t="s">
        <v>443</v>
      </c>
      <c r="F424" s="88"/>
      <c r="G424" s="102">
        <f>G425</f>
        <v>0</v>
      </c>
      <c r="H424" s="74">
        <f>H425</f>
        <v>0</v>
      </c>
      <c r="I424" s="74">
        <f>I425</f>
        <v>0</v>
      </c>
      <c r="J424" s="152"/>
    </row>
    <row r="425" spans="1:10" s="3" customFormat="1" hidden="1">
      <c r="A425" s="16" t="s">
        <v>32</v>
      </c>
      <c r="B425" s="14">
        <v>774</v>
      </c>
      <c r="C425" s="15" t="s">
        <v>26</v>
      </c>
      <c r="D425" s="15" t="s">
        <v>19</v>
      </c>
      <c r="E425" s="88" t="s">
        <v>443</v>
      </c>
      <c r="F425" s="88" t="s">
        <v>33</v>
      </c>
      <c r="G425" s="102"/>
      <c r="H425" s="74">
        <f>'прил 5'!H390</f>
        <v>0</v>
      </c>
      <c r="I425" s="74">
        <f>'прил 5'!I390</f>
        <v>0</v>
      </c>
      <c r="J425" s="152"/>
    </row>
    <row r="426" spans="1:10" ht="25.5" customHeight="1">
      <c r="A426" s="16" t="s">
        <v>814</v>
      </c>
      <c r="B426" s="14">
        <v>774</v>
      </c>
      <c r="C426" s="15" t="s">
        <v>26</v>
      </c>
      <c r="D426" s="15" t="s">
        <v>19</v>
      </c>
      <c r="E426" s="15" t="s">
        <v>813</v>
      </c>
      <c r="F426" s="14"/>
      <c r="G426" s="74">
        <f t="shared" ref="G426:I427" si="104">G427</f>
        <v>16624219.01</v>
      </c>
      <c r="H426" s="74">
        <f t="shared" si="104"/>
        <v>0</v>
      </c>
      <c r="I426" s="74">
        <f t="shared" si="104"/>
        <v>0</v>
      </c>
      <c r="J426" s="1"/>
    </row>
    <row r="427" spans="1:10" ht="25.5" customHeight="1">
      <c r="A427" s="16" t="s">
        <v>30</v>
      </c>
      <c r="B427" s="14">
        <v>774</v>
      </c>
      <c r="C427" s="15" t="s">
        <v>26</v>
      </c>
      <c r="D427" s="15" t="s">
        <v>19</v>
      </c>
      <c r="E427" s="15" t="s">
        <v>813</v>
      </c>
      <c r="F427" s="15" t="s">
        <v>31</v>
      </c>
      <c r="G427" s="74">
        <f t="shared" si="104"/>
        <v>16624219.01</v>
      </c>
      <c r="H427" s="74">
        <f t="shared" si="104"/>
        <v>0</v>
      </c>
      <c r="I427" s="74">
        <f t="shared" si="104"/>
        <v>0</v>
      </c>
      <c r="J427" s="1"/>
    </row>
    <row r="428" spans="1:10" ht="25.5" customHeight="1">
      <c r="A428" s="16" t="s">
        <v>32</v>
      </c>
      <c r="B428" s="14">
        <v>774</v>
      </c>
      <c r="C428" s="15" t="s">
        <v>26</v>
      </c>
      <c r="D428" s="15" t="s">
        <v>19</v>
      </c>
      <c r="E428" s="15" t="s">
        <v>813</v>
      </c>
      <c r="F428" s="15" t="s">
        <v>33</v>
      </c>
      <c r="G428" s="74">
        <v>16624219.01</v>
      </c>
      <c r="H428" s="74">
        <v>0</v>
      </c>
      <c r="I428" s="74">
        <v>0</v>
      </c>
      <c r="J428" s="1"/>
    </row>
    <row r="429" spans="1:10" s="3" customFormat="1" ht="38.25" customHeight="1">
      <c r="A429" s="16" t="s">
        <v>761</v>
      </c>
      <c r="B429" s="14">
        <v>774</v>
      </c>
      <c r="C429" s="15" t="s">
        <v>26</v>
      </c>
      <c r="D429" s="15" t="s">
        <v>28</v>
      </c>
      <c r="E429" s="88" t="s">
        <v>760</v>
      </c>
      <c r="F429" s="88"/>
      <c r="G429" s="102">
        <f t="shared" ref="G429:I430" si="105">G430</f>
        <v>500000</v>
      </c>
      <c r="H429" s="74">
        <f t="shared" si="105"/>
        <v>0</v>
      </c>
      <c r="I429" s="74">
        <f t="shared" si="105"/>
        <v>0</v>
      </c>
    </row>
    <row r="430" spans="1:10" s="3" customFormat="1" ht="25.5">
      <c r="A430" s="16" t="s">
        <v>30</v>
      </c>
      <c r="B430" s="14">
        <v>774</v>
      </c>
      <c r="C430" s="15" t="s">
        <v>26</v>
      </c>
      <c r="D430" s="15" t="s">
        <v>28</v>
      </c>
      <c r="E430" s="88" t="s">
        <v>760</v>
      </c>
      <c r="F430" s="88" t="s">
        <v>31</v>
      </c>
      <c r="G430" s="102">
        <f t="shared" si="105"/>
        <v>500000</v>
      </c>
      <c r="H430" s="74">
        <f t="shared" si="105"/>
        <v>0</v>
      </c>
      <c r="I430" s="74">
        <f t="shared" si="105"/>
        <v>0</v>
      </c>
    </row>
    <row r="431" spans="1:10" s="3" customFormat="1">
      <c r="A431" s="16" t="s">
        <v>32</v>
      </c>
      <c r="B431" s="14">
        <v>774</v>
      </c>
      <c r="C431" s="15" t="s">
        <v>26</v>
      </c>
      <c r="D431" s="15" t="s">
        <v>28</v>
      </c>
      <c r="E431" s="88" t="s">
        <v>760</v>
      </c>
      <c r="F431" s="88" t="s">
        <v>33</v>
      </c>
      <c r="G431" s="102">
        <f>'прил 5'!G531</f>
        <v>500000</v>
      </c>
      <c r="H431" s="74">
        <v>0</v>
      </c>
      <c r="I431" s="74">
        <v>0</v>
      </c>
    </row>
    <row r="432" spans="1:10" s="3" customFormat="1" ht="33.75" hidden="1" customHeight="1">
      <c r="A432" s="16" t="s">
        <v>762</v>
      </c>
      <c r="B432" s="14">
        <v>774</v>
      </c>
      <c r="C432" s="15" t="s">
        <v>26</v>
      </c>
      <c r="D432" s="15" t="s">
        <v>19</v>
      </c>
      <c r="E432" s="15" t="s">
        <v>764</v>
      </c>
      <c r="F432" s="15"/>
      <c r="G432" s="74">
        <f>G433</f>
        <v>0</v>
      </c>
      <c r="H432" s="74">
        <f>H434</f>
        <v>0</v>
      </c>
      <c r="I432" s="74">
        <f>I434</f>
        <v>0</v>
      </c>
    </row>
    <row r="433" spans="1:10" s="3" customFormat="1" ht="33.75" hidden="1" customHeight="1">
      <c r="A433" s="16" t="s">
        <v>30</v>
      </c>
      <c r="B433" s="14"/>
      <c r="C433" s="15"/>
      <c r="D433" s="15"/>
      <c r="E433" s="15" t="s">
        <v>764</v>
      </c>
      <c r="F433" s="15" t="s">
        <v>31</v>
      </c>
      <c r="G433" s="74">
        <f>G434</f>
        <v>0</v>
      </c>
      <c r="H433" s="74"/>
      <c r="I433" s="74"/>
    </row>
    <row r="434" spans="1:10" s="3" customFormat="1" hidden="1">
      <c r="A434" s="16" t="s">
        <v>32</v>
      </c>
      <c r="B434" s="14">
        <v>774</v>
      </c>
      <c r="C434" s="15" t="s">
        <v>26</v>
      </c>
      <c r="D434" s="15" t="s">
        <v>19</v>
      </c>
      <c r="E434" s="15" t="s">
        <v>764</v>
      </c>
      <c r="F434" s="15" t="s">
        <v>33</v>
      </c>
      <c r="G434" s="74">
        <f>'прил 5'!G420</f>
        <v>0</v>
      </c>
      <c r="H434" s="74">
        <v>0</v>
      </c>
      <c r="I434" s="74">
        <v>0</v>
      </c>
    </row>
    <row r="435" spans="1:10" s="18" customFormat="1" ht="21.75" customHeight="1">
      <c r="A435" s="13" t="s">
        <v>123</v>
      </c>
      <c r="B435" s="15" t="s">
        <v>52</v>
      </c>
      <c r="C435" s="15" t="s">
        <v>26</v>
      </c>
      <c r="D435" s="15" t="s">
        <v>26</v>
      </c>
      <c r="E435" s="15" t="s">
        <v>197</v>
      </c>
      <c r="F435" s="15"/>
      <c r="G435" s="74">
        <f>G438+G455+G458+G459+G439+G442+G462+G467+G472+G477</f>
        <v>5935490.6399999997</v>
      </c>
      <c r="H435" s="74">
        <f>H438+H455+H458</f>
        <v>5422960.71</v>
      </c>
      <c r="I435" s="74">
        <f>I438+I455+I458</f>
        <v>5422960.7000000002</v>
      </c>
      <c r="J435" s="17"/>
    </row>
    <row r="436" spans="1:10" s="18" customFormat="1" ht="45" customHeight="1">
      <c r="A436" s="16" t="s">
        <v>131</v>
      </c>
      <c r="B436" s="15" t="s">
        <v>97</v>
      </c>
      <c r="C436" s="15" t="s">
        <v>26</v>
      </c>
      <c r="D436" s="15" t="s">
        <v>26</v>
      </c>
      <c r="E436" s="15" t="s">
        <v>198</v>
      </c>
      <c r="F436" s="15"/>
      <c r="G436" s="74">
        <f t="shared" ref="G436:I437" si="106">G437</f>
        <v>4922960.71</v>
      </c>
      <c r="H436" s="102">
        <f t="shared" si="106"/>
        <v>4922960.71</v>
      </c>
      <c r="I436" s="102">
        <f t="shared" si="106"/>
        <v>4922960.7</v>
      </c>
      <c r="J436" s="17"/>
    </row>
    <row r="437" spans="1:10" s="18" customFormat="1" ht="33" customHeight="1">
      <c r="A437" s="16" t="s">
        <v>30</v>
      </c>
      <c r="B437" s="15" t="s">
        <v>97</v>
      </c>
      <c r="C437" s="15" t="s">
        <v>26</v>
      </c>
      <c r="D437" s="15" t="s">
        <v>26</v>
      </c>
      <c r="E437" s="15" t="s">
        <v>198</v>
      </c>
      <c r="F437" s="15" t="s">
        <v>31</v>
      </c>
      <c r="G437" s="74">
        <f t="shared" si="106"/>
        <v>4922960.71</v>
      </c>
      <c r="H437" s="102">
        <f t="shared" si="106"/>
        <v>4922960.71</v>
      </c>
      <c r="I437" s="102">
        <f t="shared" si="106"/>
        <v>4922960.7</v>
      </c>
      <c r="J437" s="17"/>
    </row>
    <row r="438" spans="1:10" s="18" customFormat="1">
      <c r="A438" s="16" t="s">
        <v>32</v>
      </c>
      <c r="B438" s="15" t="s">
        <v>97</v>
      </c>
      <c r="C438" s="15" t="s">
        <v>26</v>
      </c>
      <c r="D438" s="15" t="s">
        <v>26</v>
      </c>
      <c r="E438" s="15" t="s">
        <v>198</v>
      </c>
      <c r="F438" s="15" t="s">
        <v>33</v>
      </c>
      <c r="G438" s="74">
        <f>'прил 5'!G675+'прил 5'!G108</f>
        <v>4922960.71</v>
      </c>
      <c r="H438" s="74">
        <f>'прил 5'!H675+'прил 5'!H108</f>
        <v>4922960.71</v>
      </c>
      <c r="I438" s="74">
        <f>'прил 5'!I675+'прил 5'!I108</f>
        <v>4922960.7</v>
      </c>
      <c r="J438" s="17"/>
    </row>
    <row r="439" spans="1:10" s="18" customFormat="1" ht="25.5" hidden="1">
      <c r="A439" s="16" t="s">
        <v>675</v>
      </c>
      <c r="B439" s="15" t="s">
        <v>97</v>
      </c>
      <c r="C439" s="15" t="s">
        <v>26</v>
      </c>
      <c r="D439" s="15" t="s">
        <v>26</v>
      </c>
      <c r="E439" s="15" t="s">
        <v>674</v>
      </c>
      <c r="F439" s="15"/>
      <c r="G439" s="74">
        <f>G440</f>
        <v>0</v>
      </c>
      <c r="H439" s="74">
        <f>H440</f>
        <v>0</v>
      </c>
      <c r="I439" s="74">
        <f>I440</f>
        <v>0</v>
      </c>
    </row>
    <row r="440" spans="1:10" s="18" customFormat="1" ht="25.5" hidden="1">
      <c r="A440" s="16" t="s">
        <v>30</v>
      </c>
      <c r="B440" s="15" t="s">
        <v>97</v>
      </c>
      <c r="C440" s="15" t="s">
        <v>26</v>
      </c>
      <c r="D440" s="15" t="s">
        <v>26</v>
      </c>
      <c r="E440" s="15" t="s">
        <v>674</v>
      </c>
      <c r="F440" s="15" t="s">
        <v>31</v>
      </c>
      <c r="G440" s="74">
        <f>G441</f>
        <v>0</v>
      </c>
      <c r="H440" s="74"/>
      <c r="I440" s="74"/>
    </row>
    <row r="441" spans="1:10" s="18" customFormat="1" hidden="1">
      <c r="A441" s="16" t="s">
        <v>32</v>
      </c>
      <c r="B441" s="15" t="s">
        <v>97</v>
      </c>
      <c r="C441" s="15" t="s">
        <v>26</v>
      </c>
      <c r="D441" s="15" t="s">
        <v>26</v>
      </c>
      <c r="E441" s="15" t="s">
        <v>674</v>
      </c>
      <c r="F441" s="15" t="s">
        <v>33</v>
      </c>
      <c r="G441" s="74">
        <f>'прил 5'!G681</f>
        <v>0</v>
      </c>
      <c r="H441" s="74">
        <f>H442</f>
        <v>0</v>
      </c>
      <c r="I441" s="74">
        <f>I442</f>
        <v>0</v>
      </c>
    </row>
    <row r="442" spans="1:10" s="18" customFormat="1" ht="51" hidden="1">
      <c r="A442" s="16" t="s">
        <v>439</v>
      </c>
      <c r="B442" s="15" t="s">
        <v>97</v>
      </c>
      <c r="C442" s="15" t="s">
        <v>26</v>
      </c>
      <c r="D442" s="15" t="s">
        <v>26</v>
      </c>
      <c r="E442" s="15" t="s">
        <v>438</v>
      </c>
      <c r="F442" s="15"/>
      <c r="G442" s="74">
        <f>G443</f>
        <v>0</v>
      </c>
      <c r="H442" s="74"/>
      <c r="I442" s="74"/>
    </row>
    <row r="443" spans="1:10" s="18" customFormat="1" ht="25.5" hidden="1">
      <c r="A443" s="16" t="s">
        <v>30</v>
      </c>
      <c r="B443" s="15" t="s">
        <v>97</v>
      </c>
      <c r="C443" s="15" t="s">
        <v>26</v>
      </c>
      <c r="D443" s="15" t="s">
        <v>26</v>
      </c>
      <c r="E443" s="15" t="s">
        <v>438</v>
      </c>
      <c r="F443" s="15" t="s">
        <v>31</v>
      </c>
      <c r="G443" s="74">
        <f>G444</f>
        <v>0</v>
      </c>
      <c r="H443" s="74">
        <f>H444</f>
        <v>0</v>
      </c>
      <c r="I443" s="74">
        <f>I444</f>
        <v>0</v>
      </c>
    </row>
    <row r="444" spans="1:10" s="18" customFormat="1" hidden="1">
      <c r="A444" s="16" t="s">
        <v>32</v>
      </c>
      <c r="B444" s="15" t="s">
        <v>97</v>
      </c>
      <c r="C444" s="15" t="s">
        <v>26</v>
      </c>
      <c r="D444" s="15" t="s">
        <v>26</v>
      </c>
      <c r="E444" s="15" t="s">
        <v>438</v>
      </c>
      <c r="F444" s="15" t="s">
        <v>33</v>
      </c>
      <c r="G444" s="74">
        <f>'прил 5'!G684</f>
        <v>0</v>
      </c>
      <c r="H444" s="74"/>
      <c r="I444" s="74"/>
    </row>
    <row r="445" spans="1:10" s="18" customFormat="1" ht="61.5" customHeight="1">
      <c r="A445" s="13" t="s">
        <v>134</v>
      </c>
      <c r="B445" s="15" t="s">
        <v>97</v>
      </c>
      <c r="C445" s="15" t="s">
        <v>26</v>
      </c>
      <c r="D445" s="15" t="s">
        <v>26</v>
      </c>
      <c r="E445" s="15" t="s">
        <v>199</v>
      </c>
      <c r="F445" s="15"/>
      <c r="G445" s="74">
        <f>G446+G452+G448+G451+G454</f>
        <v>422529.93</v>
      </c>
      <c r="H445" s="102">
        <f>H446+H452+H448+H451+H454</f>
        <v>500000</v>
      </c>
      <c r="I445" s="102">
        <f>I446+I452+I448+I451+I454</f>
        <v>500000</v>
      </c>
      <c r="J445" s="17"/>
    </row>
    <row r="446" spans="1:10" s="18" customFormat="1" ht="25.5" hidden="1">
      <c r="A446" s="16" t="s">
        <v>36</v>
      </c>
      <c r="B446" s="15" t="s">
        <v>97</v>
      </c>
      <c r="C446" s="15" t="s">
        <v>26</v>
      </c>
      <c r="D446" s="15" t="s">
        <v>26</v>
      </c>
      <c r="E446" s="15" t="s">
        <v>199</v>
      </c>
      <c r="F446" s="15" t="s">
        <v>37</v>
      </c>
      <c r="G446" s="74">
        <f>G447</f>
        <v>0</v>
      </c>
      <c r="H446" s="102">
        <f>H447</f>
        <v>0</v>
      </c>
      <c r="I446" s="102">
        <f>I447</f>
        <v>0</v>
      </c>
      <c r="J446" s="17"/>
    </row>
    <row r="447" spans="1:10" s="18" customFormat="1" ht="25.5" hidden="1">
      <c r="A447" s="16" t="s">
        <v>38</v>
      </c>
      <c r="B447" s="15" t="s">
        <v>97</v>
      </c>
      <c r="C447" s="15" t="s">
        <v>26</v>
      </c>
      <c r="D447" s="15" t="s">
        <v>26</v>
      </c>
      <c r="E447" s="15" t="s">
        <v>199</v>
      </c>
      <c r="F447" s="15" t="s">
        <v>39</v>
      </c>
      <c r="G447" s="74">
        <f>'прил 5'!G680</f>
        <v>0</v>
      </c>
      <c r="H447" s="102">
        <f>'прил 5'!AG680</f>
        <v>0</v>
      </c>
      <c r="I447" s="102">
        <f>'прил 5'!AH680</f>
        <v>0</v>
      </c>
      <c r="J447" s="17"/>
    </row>
    <row r="448" spans="1:10" s="18" customFormat="1" ht="14.25" hidden="1" customHeight="1">
      <c r="A448" s="16" t="s">
        <v>154</v>
      </c>
      <c r="B448" s="15" t="s">
        <v>97</v>
      </c>
      <c r="C448" s="15" t="s">
        <v>26</v>
      </c>
      <c r="D448" s="15" t="s">
        <v>26</v>
      </c>
      <c r="E448" s="15" t="s">
        <v>199</v>
      </c>
      <c r="F448" s="15" t="s">
        <v>155</v>
      </c>
      <c r="G448" s="74">
        <f>G449</f>
        <v>0</v>
      </c>
      <c r="H448" s="102">
        <f>H449</f>
        <v>0</v>
      </c>
      <c r="I448" s="102">
        <f>I449</f>
        <v>0</v>
      </c>
      <c r="J448" s="17"/>
    </row>
    <row r="449" spans="1:10" s="18" customFormat="1" ht="27" hidden="1" customHeight="1">
      <c r="A449" s="16" t="s">
        <v>156</v>
      </c>
      <c r="B449" s="15" t="s">
        <v>97</v>
      </c>
      <c r="C449" s="15" t="s">
        <v>26</v>
      </c>
      <c r="D449" s="15" t="s">
        <v>26</v>
      </c>
      <c r="E449" s="15" t="s">
        <v>199</v>
      </c>
      <c r="F449" s="15" t="s">
        <v>157</v>
      </c>
      <c r="G449" s="74"/>
      <c r="H449" s="102"/>
      <c r="I449" s="102"/>
      <c r="J449" s="17"/>
    </row>
    <row r="450" spans="1:10" s="18" customFormat="1" hidden="1">
      <c r="A450" s="16" t="s">
        <v>154</v>
      </c>
      <c r="B450" s="15" t="s">
        <v>97</v>
      </c>
      <c r="C450" s="15" t="s">
        <v>26</v>
      </c>
      <c r="D450" s="15" t="s">
        <v>26</v>
      </c>
      <c r="E450" s="15" t="s">
        <v>199</v>
      </c>
      <c r="F450" s="15" t="s">
        <v>155</v>
      </c>
      <c r="G450" s="74">
        <f>G451</f>
        <v>0</v>
      </c>
      <c r="H450" s="102">
        <f>H451</f>
        <v>0</v>
      </c>
      <c r="I450" s="102">
        <f>I451</f>
        <v>0</v>
      </c>
      <c r="J450" s="17"/>
    </row>
    <row r="451" spans="1:10" s="18" customFormat="1" ht="25.5" hidden="1">
      <c r="A451" s="16" t="s">
        <v>156</v>
      </c>
      <c r="B451" s="15" t="s">
        <v>97</v>
      </c>
      <c r="C451" s="15" t="s">
        <v>26</v>
      </c>
      <c r="D451" s="15" t="s">
        <v>26</v>
      </c>
      <c r="E451" s="15" t="s">
        <v>199</v>
      </c>
      <c r="F451" s="15" t="s">
        <v>157</v>
      </c>
      <c r="G451" s="74">
        <f>'прил 5'!G682</f>
        <v>0</v>
      </c>
      <c r="H451" s="102">
        <f>'прил 5'!AG682</f>
        <v>0</v>
      </c>
      <c r="I451" s="102">
        <f>'прил 5'!AH682</f>
        <v>0</v>
      </c>
      <c r="J451" s="17"/>
    </row>
    <row r="452" spans="1:10" s="18" customFormat="1" ht="25.5" hidden="1">
      <c r="A452" s="16" t="s">
        <v>30</v>
      </c>
      <c r="B452" s="15" t="s">
        <v>97</v>
      </c>
      <c r="C452" s="15" t="s">
        <v>26</v>
      </c>
      <c r="D452" s="15" t="s">
        <v>26</v>
      </c>
      <c r="E452" s="15" t="s">
        <v>199</v>
      </c>
      <c r="F452" s="15" t="s">
        <v>31</v>
      </c>
      <c r="G452" s="74">
        <f>G453</f>
        <v>0</v>
      </c>
      <c r="H452" s="102">
        <f>H453</f>
        <v>0</v>
      </c>
      <c r="I452" s="102">
        <f>I453</f>
        <v>0</v>
      </c>
      <c r="J452" s="17"/>
    </row>
    <row r="453" spans="1:10" s="18" customFormat="1" hidden="1">
      <c r="A453" s="16" t="s">
        <v>32</v>
      </c>
      <c r="B453" s="15" t="s">
        <v>97</v>
      </c>
      <c r="C453" s="15" t="s">
        <v>26</v>
      </c>
      <c r="D453" s="15" t="s">
        <v>26</v>
      </c>
      <c r="E453" s="15" t="s">
        <v>199</v>
      </c>
      <c r="F453" s="15" t="s">
        <v>33</v>
      </c>
      <c r="G453" s="74">
        <f>'прил 5'!G684</f>
        <v>0</v>
      </c>
      <c r="H453" s="102">
        <f>'прил 5'!AG684</f>
        <v>0</v>
      </c>
      <c r="I453" s="102">
        <f>'прил 5'!AH684</f>
        <v>0</v>
      </c>
      <c r="J453" s="17"/>
    </row>
    <row r="454" spans="1:10" s="18" customFormat="1" ht="25.5">
      <c r="A454" s="16" t="s">
        <v>30</v>
      </c>
      <c r="B454" s="15" t="s">
        <v>97</v>
      </c>
      <c r="C454" s="15" t="s">
        <v>26</v>
      </c>
      <c r="D454" s="15" t="s">
        <v>26</v>
      </c>
      <c r="E454" s="15" t="s">
        <v>199</v>
      </c>
      <c r="F454" s="15" t="s">
        <v>31</v>
      </c>
      <c r="G454" s="74">
        <f>G455</f>
        <v>422529.93</v>
      </c>
      <c r="H454" s="74">
        <f>H455</f>
        <v>500000</v>
      </c>
      <c r="I454" s="74">
        <f>I455</f>
        <v>500000</v>
      </c>
      <c r="J454" s="17"/>
    </row>
    <row r="455" spans="1:10" s="18" customFormat="1">
      <c r="A455" s="16" t="s">
        <v>32</v>
      </c>
      <c r="B455" s="15" t="s">
        <v>97</v>
      </c>
      <c r="C455" s="15" t="s">
        <v>26</v>
      </c>
      <c r="D455" s="15" t="s">
        <v>26</v>
      </c>
      <c r="E455" s="15" t="s">
        <v>199</v>
      </c>
      <c r="F455" s="15" t="s">
        <v>33</v>
      </c>
      <c r="G455" s="74">
        <f>'прил 5'!G678+'прил 5'!G111</f>
        <v>422529.93</v>
      </c>
      <c r="H455" s="74">
        <f>'прил 5'!H678</f>
        <v>500000</v>
      </c>
      <c r="I455" s="74">
        <f>'прил 5'!I678</f>
        <v>500000</v>
      </c>
      <c r="J455" s="17"/>
    </row>
    <row r="456" spans="1:10" s="3" customFormat="1" ht="38.25" hidden="1">
      <c r="A456" s="213" t="s">
        <v>552</v>
      </c>
      <c r="B456" s="14">
        <v>774</v>
      </c>
      <c r="C456" s="15" t="s">
        <v>26</v>
      </c>
      <c r="D456" s="15" t="s">
        <v>26</v>
      </c>
      <c r="E456" s="15" t="s">
        <v>585</v>
      </c>
      <c r="F456" s="15"/>
      <c r="G456" s="74">
        <f t="shared" ref="G456:I457" si="107">G457</f>
        <v>0</v>
      </c>
      <c r="H456" s="74">
        <f t="shared" si="107"/>
        <v>0</v>
      </c>
      <c r="I456" s="74">
        <f t="shared" si="107"/>
        <v>0</v>
      </c>
    </row>
    <row r="457" spans="1:10" s="3" customFormat="1" ht="25.5" hidden="1">
      <c r="A457" s="16" t="s">
        <v>30</v>
      </c>
      <c r="B457" s="14">
        <v>774</v>
      </c>
      <c r="C457" s="15" t="s">
        <v>26</v>
      </c>
      <c r="D457" s="15" t="s">
        <v>26</v>
      </c>
      <c r="E457" s="15" t="s">
        <v>585</v>
      </c>
      <c r="F457" s="15" t="s">
        <v>31</v>
      </c>
      <c r="G457" s="74">
        <f t="shared" si="107"/>
        <v>0</v>
      </c>
      <c r="H457" s="74">
        <f t="shared" si="107"/>
        <v>0</v>
      </c>
      <c r="I457" s="74">
        <f t="shared" si="107"/>
        <v>0</v>
      </c>
    </row>
    <row r="458" spans="1:10" s="3" customFormat="1" hidden="1">
      <c r="A458" s="16" t="s">
        <v>32</v>
      </c>
      <c r="B458" s="14">
        <v>774</v>
      </c>
      <c r="C458" s="15" t="s">
        <v>26</v>
      </c>
      <c r="D458" s="15" t="s">
        <v>26</v>
      </c>
      <c r="E458" s="15" t="s">
        <v>585</v>
      </c>
      <c r="F458" s="15" t="s">
        <v>33</v>
      </c>
      <c r="G458" s="74"/>
      <c r="H458" s="74">
        <v>0</v>
      </c>
      <c r="I458" s="74">
        <v>0</v>
      </c>
    </row>
    <row r="459" spans="1:10" s="3" customFormat="1" ht="25.5" hidden="1">
      <c r="A459" s="16" t="s">
        <v>308</v>
      </c>
      <c r="B459" s="14">
        <v>774</v>
      </c>
      <c r="C459" s="15" t="s">
        <v>26</v>
      </c>
      <c r="D459" s="15" t="s">
        <v>26</v>
      </c>
      <c r="E459" s="15" t="s">
        <v>606</v>
      </c>
      <c r="F459" s="15"/>
      <c r="G459" s="74">
        <f t="shared" ref="G459:I460" si="108">G460</f>
        <v>0</v>
      </c>
      <c r="H459" s="74">
        <f t="shared" si="108"/>
        <v>0</v>
      </c>
      <c r="I459" s="74">
        <f t="shared" si="108"/>
        <v>0</v>
      </c>
    </row>
    <row r="460" spans="1:10" s="3" customFormat="1" ht="25.5" hidden="1">
      <c r="A460" s="16" t="s">
        <v>30</v>
      </c>
      <c r="B460" s="14">
        <v>774</v>
      </c>
      <c r="C460" s="15" t="s">
        <v>26</v>
      </c>
      <c r="D460" s="15" t="s">
        <v>26</v>
      </c>
      <c r="E460" s="15" t="s">
        <v>606</v>
      </c>
      <c r="F460" s="15" t="s">
        <v>31</v>
      </c>
      <c r="G460" s="74">
        <f t="shared" si="108"/>
        <v>0</v>
      </c>
      <c r="H460" s="74">
        <f t="shared" si="108"/>
        <v>0</v>
      </c>
      <c r="I460" s="74">
        <f t="shared" si="108"/>
        <v>0</v>
      </c>
    </row>
    <row r="461" spans="1:10" s="3" customFormat="1" hidden="1">
      <c r="A461" s="16" t="s">
        <v>32</v>
      </c>
      <c r="B461" s="14">
        <v>774</v>
      </c>
      <c r="C461" s="15" t="s">
        <v>26</v>
      </c>
      <c r="D461" s="15" t="s">
        <v>26</v>
      </c>
      <c r="E461" s="15" t="s">
        <v>606</v>
      </c>
      <c r="F461" s="15" t="s">
        <v>33</v>
      </c>
      <c r="G461" s="74"/>
      <c r="H461" s="74">
        <v>0</v>
      </c>
      <c r="I461" s="74">
        <v>0</v>
      </c>
    </row>
    <row r="462" spans="1:10" s="18" customFormat="1" ht="52.5" hidden="1" customHeight="1">
      <c r="A462" s="203" t="s">
        <v>801</v>
      </c>
      <c r="B462" s="15" t="s">
        <v>97</v>
      </c>
      <c r="C462" s="15" t="s">
        <v>26</v>
      </c>
      <c r="D462" s="15" t="s">
        <v>26</v>
      </c>
      <c r="E462" s="15" t="s">
        <v>800</v>
      </c>
      <c r="F462" s="15"/>
      <c r="G462" s="74">
        <f>G463+G465</f>
        <v>0</v>
      </c>
      <c r="H462" s="74">
        <f>H463+H465</f>
        <v>0</v>
      </c>
      <c r="I462" s="74">
        <f>I463+I465</f>
        <v>0</v>
      </c>
    </row>
    <row r="463" spans="1:10" s="18" customFormat="1" ht="25.5" hidden="1">
      <c r="A463" s="86" t="s">
        <v>36</v>
      </c>
      <c r="B463" s="15" t="s">
        <v>97</v>
      </c>
      <c r="C463" s="15" t="s">
        <v>26</v>
      </c>
      <c r="D463" s="15" t="s">
        <v>26</v>
      </c>
      <c r="E463" s="15" t="s">
        <v>141</v>
      </c>
      <c r="F463" s="15" t="s">
        <v>37</v>
      </c>
      <c r="G463" s="74">
        <f>G464</f>
        <v>0</v>
      </c>
      <c r="H463" s="74">
        <f>H464</f>
        <v>0</v>
      </c>
      <c r="I463" s="74">
        <f>I464</f>
        <v>0</v>
      </c>
    </row>
    <row r="464" spans="1:10" s="18" customFormat="1" ht="25.5" hidden="1">
      <c r="A464" s="86" t="s">
        <v>38</v>
      </c>
      <c r="B464" s="15" t="s">
        <v>97</v>
      </c>
      <c r="C464" s="15" t="s">
        <v>26</v>
      </c>
      <c r="D464" s="15" t="s">
        <v>26</v>
      </c>
      <c r="E464" s="15" t="s">
        <v>141</v>
      </c>
      <c r="F464" s="15" t="s">
        <v>39</v>
      </c>
      <c r="G464" s="74"/>
      <c r="H464" s="74"/>
      <c r="I464" s="74"/>
    </row>
    <row r="465" spans="1:10" s="18" customFormat="1" hidden="1">
      <c r="A465" s="86" t="s">
        <v>64</v>
      </c>
      <c r="B465" s="15" t="s">
        <v>97</v>
      </c>
      <c r="C465" s="15" t="s">
        <v>26</v>
      </c>
      <c r="D465" s="15" t="s">
        <v>26</v>
      </c>
      <c r="E465" s="15" t="s">
        <v>800</v>
      </c>
      <c r="F465" s="15" t="s">
        <v>65</v>
      </c>
      <c r="G465" s="74">
        <f>G466</f>
        <v>0</v>
      </c>
      <c r="H465" s="74">
        <f>H466</f>
        <v>0</v>
      </c>
      <c r="I465" s="74">
        <f>I466</f>
        <v>0</v>
      </c>
    </row>
    <row r="466" spans="1:10" s="18" customFormat="1" ht="13.5" hidden="1" customHeight="1">
      <c r="A466" s="86" t="s">
        <v>187</v>
      </c>
      <c r="B466" s="15" t="s">
        <v>97</v>
      </c>
      <c r="C466" s="15" t="s">
        <v>26</v>
      </c>
      <c r="D466" s="15" t="s">
        <v>26</v>
      </c>
      <c r="E466" s="15" t="s">
        <v>800</v>
      </c>
      <c r="F466" s="15" t="s">
        <v>188</v>
      </c>
      <c r="G466" s="74">
        <f>'прил 5'!G696</f>
        <v>0</v>
      </c>
      <c r="H466" s="74"/>
      <c r="I466" s="74"/>
    </row>
    <row r="467" spans="1:10" s="18" customFormat="1" ht="38.25" customHeight="1">
      <c r="A467" s="203" t="s">
        <v>803</v>
      </c>
      <c r="B467" s="15" t="s">
        <v>97</v>
      </c>
      <c r="C467" s="15" t="s">
        <v>26</v>
      </c>
      <c r="D467" s="15" t="s">
        <v>26</v>
      </c>
      <c r="E467" s="15" t="s">
        <v>802</v>
      </c>
      <c r="F467" s="15"/>
      <c r="G467" s="74">
        <f>G468+G470</f>
        <v>200000</v>
      </c>
      <c r="H467" s="74">
        <f>H468+H470</f>
        <v>0</v>
      </c>
      <c r="I467" s="74">
        <f>I468+I470</f>
        <v>0</v>
      </c>
    </row>
    <row r="468" spans="1:10" s="18" customFormat="1" ht="25.5" hidden="1">
      <c r="A468" s="86" t="s">
        <v>36</v>
      </c>
      <c r="B468" s="15" t="s">
        <v>97</v>
      </c>
      <c r="C468" s="15" t="s">
        <v>26</v>
      </c>
      <c r="D468" s="15" t="s">
        <v>26</v>
      </c>
      <c r="E468" s="15" t="s">
        <v>141</v>
      </c>
      <c r="F468" s="15" t="s">
        <v>37</v>
      </c>
      <c r="G468" s="74">
        <f>G469</f>
        <v>0</v>
      </c>
      <c r="H468" s="74">
        <f>H469</f>
        <v>0</v>
      </c>
      <c r="I468" s="74">
        <f>I469</f>
        <v>0</v>
      </c>
    </row>
    <row r="469" spans="1:10" s="18" customFormat="1" ht="25.5" hidden="1">
      <c r="A469" s="86" t="s">
        <v>38</v>
      </c>
      <c r="B469" s="15" t="s">
        <v>97</v>
      </c>
      <c r="C469" s="15" t="s">
        <v>26</v>
      </c>
      <c r="D469" s="15" t="s">
        <v>26</v>
      </c>
      <c r="E469" s="15" t="s">
        <v>141</v>
      </c>
      <c r="F469" s="15" t="s">
        <v>39</v>
      </c>
      <c r="G469" s="74"/>
      <c r="H469" s="74"/>
      <c r="I469" s="74"/>
    </row>
    <row r="470" spans="1:10" s="18" customFormat="1" ht="25.5">
      <c r="A470" s="16" t="s">
        <v>30</v>
      </c>
      <c r="B470" s="15" t="s">
        <v>97</v>
      </c>
      <c r="C470" s="15" t="s">
        <v>26</v>
      </c>
      <c r="D470" s="15" t="s">
        <v>26</v>
      </c>
      <c r="E470" s="15" t="s">
        <v>802</v>
      </c>
      <c r="F470" s="15" t="s">
        <v>31</v>
      </c>
      <c r="G470" s="74">
        <f>G471</f>
        <v>200000</v>
      </c>
      <c r="H470" s="74">
        <f>H471</f>
        <v>0</v>
      </c>
      <c r="I470" s="74">
        <f>I471</f>
        <v>0</v>
      </c>
    </row>
    <row r="471" spans="1:10" s="18" customFormat="1" ht="13.5" customHeight="1">
      <c r="A471" s="16" t="s">
        <v>32</v>
      </c>
      <c r="B471" s="15" t="s">
        <v>97</v>
      </c>
      <c r="C471" s="15" t="s">
        <v>26</v>
      </c>
      <c r="D471" s="15" t="s">
        <v>26</v>
      </c>
      <c r="E471" s="15" t="s">
        <v>802</v>
      </c>
      <c r="F471" s="15" t="s">
        <v>33</v>
      </c>
      <c r="G471" s="74">
        <f>'прил 5'!G704</f>
        <v>200000</v>
      </c>
      <c r="H471" s="74"/>
      <c r="I471" s="74"/>
    </row>
    <row r="472" spans="1:10" s="18" customFormat="1" ht="56.25" hidden="1" customHeight="1">
      <c r="A472" s="203" t="s">
        <v>805</v>
      </c>
      <c r="B472" s="15" t="s">
        <v>97</v>
      </c>
      <c r="C472" s="15" t="s">
        <v>26</v>
      </c>
      <c r="D472" s="15" t="s">
        <v>26</v>
      </c>
      <c r="E472" s="15" t="s">
        <v>804</v>
      </c>
      <c r="F472" s="15"/>
      <c r="G472" s="74">
        <f>G473+G475</f>
        <v>0</v>
      </c>
      <c r="H472" s="74">
        <f>H473+H475</f>
        <v>0</v>
      </c>
      <c r="I472" s="74">
        <f>I473+I475</f>
        <v>0</v>
      </c>
    </row>
    <row r="473" spans="1:10" s="18" customFormat="1" ht="25.5" hidden="1">
      <c r="A473" s="86" t="s">
        <v>36</v>
      </c>
      <c r="B473" s="15" t="s">
        <v>97</v>
      </c>
      <c r="C473" s="15" t="s">
        <v>26</v>
      </c>
      <c r="D473" s="15" t="s">
        <v>26</v>
      </c>
      <c r="E473" s="15" t="s">
        <v>141</v>
      </c>
      <c r="F473" s="15" t="s">
        <v>37</v>
      </c>
      <c r="G473" s="74">
        <f>G474</f>
        <v>0</v>
      </c>
      <c r="H473" s="74">
        <f>H474</f>
        <v>0</v>
      </c>
      <c r="I473" s="74">
        <f>I474</f>
        <v>0</v>
      </c>
    </row>
    <row r="474" spans="1:10" s="18" customFormat="1" ht="25.5" hidden="1">
      <c r="A474" s="86" t="s">
        <v>38</v>
      </c>
      <c r="B474" s="15" t="s">
        <v>97</v>
      </c>
      <c r="C474" s="15" t="s">
        <v>26</v>
      </c>
      <c r="D474" s="15" t="s">
        <v>26</v>
      </c>
      <c r="E474" s="15" t="s">
        <v>141</v>
      </c>
      <c r="F474" s="15" t="s">
        <v>39</v>
      </c>
      <c r="G474" s="74"/>
      <c r="H474" s="74"/>
      <c r="I474" s="74"/>
    </row>
    <row r="475" spans="1:10" s="18" customFormat="1" hidden="1">
      <c r="A475" s="86" t="s">
        <v>64</v>
      </c>
      <c r="B475" s="15" t="s">
        <v>97</v>
      </c>
      <c r="C475" s="15" t="s">
        <v>26</v>
      </c>
      <c r="D475" s="15" t="s">
        <v>26</v>
      </c>
      <c r="E475" s="15" t="s">
        <v>804</v>
      </c>
      <c r="F475" s="15" t="s">
        <v>65</v>
      </c>
      <c r="G475" s="74">
        <f>G476</f>
        <v>0</v>
      </c>
      <c r="H475" s="74">
        <f>H476</f>
        <v>0</v>
      </c>
      <c r="I475" s="74">
        <f>I476</f>
        <v>0</v>
      </c>
    </row>
    <row r="476" spans="1:10" s="18" customFormat="1" ht="13.5" hidden="1" customHeight="1">
      <c r="A476" s="86" t="s">
        <v>187</v>
      </c>
      <c r="B476" s="15" t="s">
        <v>97</v>
      </c>
      <c r="C476" s="15" t="s">
        <v>26</v>
      </c>
      <c r="D476" s="15" t="s">
        <v>26</v>
      </c>
      <c r="E476" s="15" t="s">
        <v>804</v>
      </c>
      <c r="F476" s="15" t="s">
        <v>188</v>
      </c>
      <c r="G476" s="74">
        <f>'прил 5'!G709</f>
        <v>0</v>
      </c>
      <c r="H476" s="74"/>
      <c r="I476" s="74"/>
    </row>
    <row r="477" spans="1:10" s="18" customFormat="1" ht="61.5" customHeight="1">
      <c r="A477" s="203" t="s">
        <v>439</v>
      </c>
      <c r="B477" s="15" t="s">
        <v>97</v>
      </c>
      <c r="C477" s="15" t="s">
        <v>26</v>
      </c>
      <c r="D477" s="15" t="s">
        <v>26</v>
      </c>
      <c r="E477" s="15" t="s">
        <v>438</v>
      </c>
      <c r="F477" s="15"/>
      <c r="G477" s="74">
        <f>G478</f>
        <v>390000</v>
      </c>
      <c r="H477" s="74">
        <f t="shared" ref="H477:I477" si="109">H478</f>
        <v>0</v>
      </c>
      <c r="I477" s="74">
        <f t="shared" si="109"/>
        <v>0</v>
      </c>
    </row>
    <row r="478" spans="1:10" s="18" customFormat="1" ht="25.5">
      <c r="A478" s="16" t="s">
        <v>30</v>
      </c>
      <c r="B478" s="15" t="s">
        <v>97</v>
      </c>
      <c r="C478" s="15" t="s">
        <v>26</v>
      </c>
      <c r="D478" s="15" t="s">
        <v>26</v>
      </c>
      <c r="E478" s="15" t="s">
        <v>438</v>
      </c>
      <c r="F478" s="15" t="s">
        <v>31</v>
      </c>
      <c r="G478" s="74">
        <f>G479</f>
        <v>390000</v>
      </c>
      <c r="H478" s="74">
        <f>H479</f>
        <v>0</v>
      </c>
      <c r="I478" s="74">
        <f>I479</f>
        <v>0</v>
      </c>
    </row>
    <row r="479" spans="1:10" s="18" customFormat="1">
      <c r="A479" s="16" t="s">
        <v>32</v>
      </c>
      <c r="B479" s="15" t="s">
        <v>97</v>
      </c>
      <c r="C479" s="15" t="s">
        <v>26</v>
      </c>
      <c r="D479" s="15" t="s">
        <v>26</v>
      </c>
      <c r="E479" s="15" t="s">
        <v>438</v>
      </c>
      <c r="F479" s="15" t="s">
        <v>33</v>
      </c>
      <c r="G479" s="74">
        <v>390000</v>
      </c>
      <c r="H479" s="74"/>
      <c r="I479" s="74"/>
    </row>
    <row r="480" spans="1:10" s="3" customFormat="1" ht="29.25" customHeight="1">
      <c r="A480" s="16" t="s">
        <v>147</v>
      </c>
      <c r="B480" s="14">
        <v>774</v>
      </c>
      <c r="C480" s="15" t="s">
        <v>26</v>
      </c>
      <c r="D480" s="15" t="s">
        <v>28</v>
      </c>
      <c r="E480" s="15" t="s">
        <v>231</v>
      </c>
      <c r="F480" s="15"/>
      <c r="G480" s="74">
        <f>G481</f>
        <v>557000</v>
      </c>
      <c r="H480" s="74">
        <f t="shared" ref="H480:I482" si="110">H481</f>
        <v>557000</v>
      </c>
      <c r="I480" s="74">
        <f t="shared" si="110"/>
        <v>557000</v>
      </c>
      <c r="J480" s="152"/>
    </row>
    <row r="481" spans="1:10" s="3" customFormat="1" ht="32.25" customHeight="1">
      <c r="A481" s="16" t="s">
        <v>148</v>
      </c>
      <c r="B481" s="14">
        <v>774</v>
      </c>
      <c r="C481" s="15" t="s">
        <v>26</v>
      </c>
      <c r="D481" s="15" t="s">
        <v>28</v>
      </c>
      <c r="E481" s="15" t="s">
        <v>232</v>
      </c>
      <c r="F481" s="15"/>
      <c r="G481" s="102">
        <f>G482</f>
        <v>557000</v>
      </c>
      <c r="H481" s="102">
        <f t="shared" si="110"/>
        <v>557000</v>
      </c>
      <c r="I481" s="102">
        <f t="shared" si="110"/>
        <v>557000</v>
      </c>
      <c r="J481" s="152"/>
    </row>
    <row r="482" spans="1:10" s="18" customFormat="1" ht="25.5">
      <c r="A482" s="16" t="s">
        <v>30</v>
      </c>
      <c r="B482" s="15" t="s">
        <v>97</v>
      </c>
      <c r="C482" s="15" t="s">
        <v>26</v>
      </c>
      <c r="D482" s="15" t="s">
        <v>28</v>
      </c>
      <c r="E482" s="15" t="s">
        <v>232</v>
      </c>
      <c r="F482" s="15" t="s">
        <v>31</v>
      </c>
      <c r="G482" s="102">
        <f>G483</f>
        <v>557000</v>
      </c>
      <c r="H482" s="102">
        <f t="shared" si="110"/>
        <v>557000</v>
      </c>
      <c r="I482" s="102">
        <f t="shared" si="110"/>
        <v>557000</v>
      </c>
      <c r="J482" s="17"/>
    </row>
    <row r="483" spans="1:10" s="18" customFormat="1">
      <c r="A483" s="16" t="s">
        <v>32</v>
      </c>
      <c r="B483" s="15" t="s">
        <v>97</v>
      </c>
      <c r="C483" s="15" t="s">
        <v>26</v>
      </c>
      <c r="D483" s="15" t="s">
        <v>28</v>
      </c>
      <c r="E483" s="15" t="s">
        <v>232</v>
      </c>
      <c r="F483" s="15" t="s">
        <v>33</v>
      </c>
      <c r="G483" s="102">
        <f>'прил 5'!G550+'прил 5'!G645</f>
        <v>557000</v>
      </c>
      <c r="H483" s="102">
        <f>'прил 5'!H550+'прил 5'!H645</f>
        <v>557000</v>
      </c>
      <c r="I483" s="102">
        <f>'прил 5'!I550+'прил 5'!I645</f>
        <v>557000</v>
      </c>
      <c r="J483" s="17"/>
    </row>
    <row r="484" spans="1:10" s="18" customFormat="1" ht="32.25" customHeight="1">
      <c r="A484" s="16" t="s">
        <v>149</v>
      </c>
      <c r="B484" s="15" t="s">
        <v>97</v>
      </c>
      <c r="C484" s="15" t="s">
        <v>26</v>
      </c>
      <c r="D484" s="15" t="s">
        <v>127</v>
      </c>
      <c r="E484" s="15" t="s">
        <v>234</v>
      </c>
      <c r="F484" s="15"/>
      <c r="G484" s="74">
        <f>G485</f>
        <v>13699325.029999999</v>
      </c>
      <c r="H484" s="74">
        <f>H485</f>
        <v>13826940.630000001</v>
      </c>
      <c r="I484" s="74">
        <f>I485</f>
        <v>13972214.630000001</v>
      </c>
      <c r="J484" s="17"/>
    </row>
    <row r="485" spans="1:10" s="18" customFormat="1" ht="25.5">
      <c r="A485" s="16" t="s">
        <v>78</v>
      </c>
      <c r="B485" s="15" t="s">
        <v>97</v>
      </c>
      <c r="C485" s="15" t="s">
        <v>26</v>
      </c>
      <c r="D485" s="15" t="s">
        <v>127</v>
      </c>
      <c r="E485" s="15" t="s">
        <v>235</v>
      </c>
      <c r="F485" s="15"/>
      <c r="G485" s="102">
        <f>G486+G488+G490</f>
        <v>13699325.029999999</v>
      </c>
      <c r="H485" s="102">
        <f t="shared" ref="H485:I485" si="111">H486+H488+H490</f>
        <v>13826940.630000001</v>
      </c>
      <c r="I485" s="102">
        <f t="shared" si="111"/>
        <v>13972214.630000001</v>
      </c>
      <c r="J485" s="17"/>
    </row>
    <row r="486" spans="1:10" ht="51">
      <c r="A486" s="16" t="s">
        <v>56</v>
      </c>
      <c r="B486" s="15" t="s">
        <v>97</v>
      </c>
      <c r="C486" s="15" t="s">
        <v>26</v>
      </c>
      <c r="D486" s="15" t="s">
        <v>127</v>
      </c>
      <c r="E486" s="15" t="s">
        <v>235</v>
      </c>
      <c r="F486" s="15" t="s">
        <v>59</v>
      </c>
      <c r="G486" s="102">
        <f>G487</f>
        <v>13181155.969999999</v>
      </c>
      <c r="H486" s="102">
        <f>H487</f>
        <v>13428858</v>
      </c>
      <c r="I486" s="102">
        <f>I487</f>
        <v>13574132</v>
      </c>
    </row>
    <row r="487" spans="1:10" ht="25.5">
      <c r="A487" s="16" t="s">
        <v>57</v>
      </c>
      <c r="B487" s="15" t="s">
        <v>97</v>
      </c>
      <c r="C487" s="15" t="s">
        <v>26</v>
      </c>
      <c r="D487" s="15" t="s">
        <v>127</v>
      </c>
      <c r="E487" s="15" t="s">
        <v>235</v>
      </c>
      <c r="F487" s="15" t="s">
        <v>60</v>
      </c>
      <c r="G487" s="74">
        <f>'прил 5'!G720</f>
        <v>13181155.969999999</v>
      </c>
      <c r="H487" s="102">
        <f>'прил 5'!H720</f>
        <v>13428858</v>
      </c>
      <c r="I487" s="102">
        <f>'прил 5'!I720</f>
        <v>13574132</v>
      </c>
    </row>
    <row r="488" spans="1:10" ht="25.5">
      <c r="A488" s="16" t="s">
        <v>36</v>
      </c>
      <c r="B488" s="15" t="s">
        <v>97</v>
      </c>
      <c r="C488" s="15" t="s">
        <v>26</v>
      </c>
      <c r="D488" s="15" t="s">
        <v>127</v>
      </c>
      <c r="E488" s="15" t="s">
        <v>235</v>
      </c>
      <c r="F488" s="15" t="s">
        <v>37</v>
      </c>
      <c r="G488" s="74">
        <f>G489</f>
        <v>518169.06</v>
      </c>
      <c r="H488" s="102">
        <f>H489</f>
        <v>398082.63</v>
      </c>
      <c r="I488" s="102">
        <f>I489</f>
        <v>398082.63</v>
      </c>
    </row>
    <row r="489" spans="1:10" ht="25.5">
      <c r="A489" s="16" t="s">
        <v>38</v>
      </c>
      <c r="B489" s="15" t="s">
        <v>97</v>
      </c>
      <c r="C489" s="15" t="s">
        <v>26</v>
      </c>
      <c r="D489" s="15" t="s">
        <v>127</v>
      </c>
      <c r="E489" s="15" t="s">
        <v>235</v>
      </c>
      <c r="F489" s="15" t="s">
        <v>39</v>
      </c>
      <c r="G489" s="74">
        <f>'прил 5'!G722</f>
        <v>518169.06</v>
      </c>
      <c r="H489" s="74">
        <f>'прил 5'!H722</f>
        <v>398082.63</v>
      </c>
      <c r="I489" s="74">
        <f>'прил 5'!I722</f>
        <v>398082.63</v>
      </c>
    </row>
    <row r="490" spans="1:10" hidden="1">
      <c r="A490" s="213" t="s">
        <v>64</v>
      </c>
      <c r="B490" s="15" t="s">
        <v>97</v>
      </c>
      <c r="C490" s="15" t="s">
        <v>26</v>
      </c>
      <c r="D490" s="15" t="s">
        <v>127</v>
      </c>
      <c r="E490" s="15" t="s">
        <v>235</v>
      </c>
      <c r="F490" s="15" t="s">
        <v>65</v>
      </c>
      <c r="G490" s="27">
        <f>G492+G491</f>
        <v>0</v>
      </c>
      <c r="H490" s="27">
        <f>H492</f>
        <v>0</v>
      </c>
      <c r="I490" s="27">
        <f>I492</f>
        <v>0</v>
      </c>
      <c r="J490" s="1"/>
    </row>
    <row r="491" spans="1:10" hidden="1">
      <c r="A491" s="16" t="s">
        <v>339</v>
      </c>
      <c r="B491" s="15" t="s">
        <v>97</v>
      </c>
      <c r="C491" s="15" t="s">
        <v>26</v>
      </c>
      <c r="D491" s="15" t="s">
        <v>127</v>
      </c>
      <c r="E491" s="15" t="s">
        <v>235</v>
      </c>
      <c r="F491" s="15" t="s">
        <v>338</v>
      </c>
      <c r="G491" s="27"/>
      <c r="H491" s="27">
        <v>0</v>
      </c>
      <c r="I491" s="27">
        <v>0</v>
      </c>
      <c r="J491" s="1"/>
    </row>
    <row r="492" spans="1:10" hidden="1">
      <c r="A492" s="16" t="s">
        <v>67</v>
      </c>
      <c r="B492" s="15" t="s">
        <v>97</v>
      </c>
      <c r="C492" s="15" t="s">
        <v>26</v>
      </c>
      <c r="D492" s="15" t="s">
        <v>127</v>
      </c>
      <c r="E492" s="15" t="s">
        <v>235</v>
      </c>
      <c r="F492" s="15" t="s">
        <v>68</v>
      </c>
      <c r="G492" s="27"/>
      <c r="H492" s="27">
        <v>0</v>
      </c>
      <c r="I492" s="27">
        <v>0</v>
      </c>
      <c r="J492" s="1"/>
    </row>
    <row r="493" spans="1:10" s="132" customFormat="1" ht="54" hidden="1" customHeight="1">
      <c r="A493" s="131" t="s">
        <v>487</v>
      </c>
      <c r="B493" s="99">
        <v>795</v>
      </c>
      <c r="C493" s="128" t="s">
        <v>180</v>
      </c>
      <c r="D493" s="128" t="s">
        <v>71</v>
      </c>
      <c r="E493" s="128" t="s">
        <v>145</v>
      </c>
      <c r="F493" s="128"/>
      <c r="G493" s="129">
        <f>G497+G494</f>
        <v>0</v>
      </c>
      <c r="H493" s="129">
        <f t="shared" ref="H493:I493" si="112">H497+H494</f>
        <v>0</v>
      </c>
      <c r="I493" s="129">
        <f t="shared" si="112"/>
        <v>0</v>
      </c>
      <c r="J493" s="158">
        <v>634136</v>
      </c>
    </row>
    <row r="494" spans="1:10" s="22" customFormat="1" ht="36" hidden="1" customHeight="1">
      <c r="A494" s="16" t="s">
        <v>666</v>
      </c>
      <c r="B494" s="14">
        <v>795</v>
      </c>
      <c r="C494" s="15" t="s">
        <v>180</v>
      </c>
      <c r="D494" s="15" t="s">
        <v>71</v>
      </c>
      <c r="E494" s="15" t="s">
        <v>667</v>
      </c>
      <c r="F494" s="36"/>
      <c r="G494" s="74">
        <f>G495</f>
        <v>0</v>
      </c>
      <c r="H494" s="74">
        <f t="shared" ref="H494:I495" si="113">H495</f>
        <v>0</v>
      </c>
      <c r="I494" s="74">
        <f t="shared" si="113"/>
        <v>0</v>
      </c>
    </row>
    <row r="495" spans="1:10" s="22" customFormat="1" ht="24" hidden="1" customHeight="1">
      <c r="A495" s="16" t="s">
        <v>163</v>
      </c>
      <c r="B495" s="14">
        <v>795</v>
      </c>
      <c r="C495" s="15" t="s">
        <v>180</v>
      </c>
      <c r="D495" s="15" t="s">
        <v>71</v>
      </c>
      <c r="E495" s="15" t="s">
        <v>667</v>
      </c>
      <c r="F495" s="15" t="s">
        <v>164</v>
      </c>
      <c r="G495" s="74">
        <f>G496</f>
        <v>0</v>
      </c>
      <c r="H495" s="74">
        <f t="shared" si="113"/>
        <v>0</v>
      </c>
      <c r="I495" s="74">
        <f t="shared" si="113"/>
        <v>0</v>
      </c>
    </row>
    <row r="496" spans="1:10" s="22" customFormat="1" ht="24" hidden="1" customHeight="1">
      <c r="A496" s="16" t="s">
        <v>185</v>
      </c>
      <c r="B496" s="14">
        <v>795</v>
      </c>
      <c r="C496" s="15" t="s">
        <v>180</v>
      </c>
      <c r="D496" s="15" t="s">
        <v>71</v>
      </c>
      <c r="E496" s="15" t="s">
        <v>667</v>
      </c>
      <c r="F496" s="15" t="s">
        <v>186</v>
      </c>
      <c r="G496" s="74">
        <v>0</v>
      </c>
      <c r="H496" s="74">
        <v>0</v>
      </c>
      <c r="I496" s="74">
        <v>0</v>
      </c>
    </row>
    <row r="497" spans="1:10" ht="51.75" hidden="1" customHeight="1">
      <c r="A497" s="16" t="s">
        <v>417</v>
      </c>
      <c r="B497" s="49">
        <v>795</v>
      </c>
      <c r="C497" s="15" t="s">
        <v>180</v>
      </c>
      <c r="D497" s="15" t="s">
        <v>71</v>
      </c>
      <c r="E497" s="15" t="s">
        <v>416</v>
      </c>
      <c r="F497" s="15"/>
      <c r="G497" s="102">
        <f t="shared" ref="G497:I497" si="114">G498</f>
        <v>0</v>
      </c>
      <c r="H497" s="102">
        <f t="shared" si="114"/>
        <v>0</v>
      </c>
      <c r="I497" s="102">
        <f t="shared" si="114"/>
        <v>0</v>
      </c>
    </row>
    <row r="498" spans="1:10" ht="30.75" hidden="1" customHeight="1">
      <c r="A498" s="16" t="s">
        <v>163</v>
      </c>
      <c r="B498" s="14">
        <v>793</v>
      </c>
      <c r="C498" s="15" t="s">
        <v>70</v>
      </c>
      <c r="D498" s="15" t="s">
        <v>71</v>
      </c>
      <c r="E498" s="15" t="s">
        <v>416</v>
      </c>
      <c r="F498" s="15" t="s">
        <v>164</v>
      </c>
      <c r="G498" s="74">
        <f>G499</f>
        <v>0</v>
      </c>
      <c r="H498" s="74">
        <f t="shared" ref="H498:I498" si="115">H499</f>
        <v>0</v>
      </c>
      <c r="I498" s="74">
        <f t="shared" si="115"/>
        <v>0</v>
      </c>
    </row>
    <row r="499" spans="1:10" ht="30.75" hidden="1" customHeight="1">
      <c r="A499" s="16" t="s">
        <v>185</v>
      </c>
      <c r="B499" s="14">
        <v>793</v>
      </c>
      <c r="C499" s="15" t="s">
        <v>70</v>
      </c>
      <c r="D499" s="15" t="s">
        <v>71</v>
      </c>
      <c r="E499" s="15" t="s">
        <v>416</v>
      </c>
      <c r="F499" s="15" t="s">
        <v>186</v>
      </c>
      <c r="G499" s="74">
        <f>'прил 5'!G1457</f>
        <v>0</v>
      </c>
      <c r="H499" s="74">
        <f>'прил 5'!H1457</f>
        <v>0</v>
      </c>
      <c r="I499" s="74">
        <f>'прил 5'!I1457</f>
        <v>0</v>
      </c>
    </row>
    <row r="500" spans="1:10" s="130" customFormat="1" ht="29.25" customHeight="1">
      <c r="A500" s="126" t="s">
        <v>486</v>
      </c>
      <c r="B500" s="127">
        <v>757</v>
      </c>
      <c r="C500" s="128" t="s">
        <v>45</v>
      </c>
      <c r="D500" s="128" t="s">
        <v>55</v>
      </c>
      <c r="E500" s="128" t="s">
        <v>209</v>
      </c>
      <c r="F500" s="128"/>
      <c r="G500" s="129">
        <f>G501+G506+G509+G513</f>
        <v>3035920</v>
      </c>
      <c r="H500" s="129">
        <f t="shared" ref="H500:I500" si="116">H501+H506+H509+H513</f>
        <v>222434122</v>
      </c>
      <c r="I500" s="129">
        <f t="shared" si="116"/>
        <v>226750</v>
      </c>
      <c r="J500" s="159"/>
    </row>
    <row r="501" spans="1:10" s="32" customFormat="1" ht="27.75" customHeight="1">
      <c r="A501" s="30" t="s">
        <v>143</v>
      </c>
      <c r="B501" s="14">
        <v>757</v>
      </c>
      <c r="C501" s="15" t="s">
        <v>45</v>
      </c>
      <c r="D501" s="15" t="s">
        <v>19</v>
      </c>
      <c r="E501" s="15" t="s">
        <v>210</v>
      </c>
      <c r="F501" s="15"/>
      <c r="G501" s="102">
        <f>G504+G502</f>
        <v>35920</v>
      </c>
      <c r="H501" s="102">
        <f t="shared" ref="H501:I501" si="117">H504+H502</f>
        <v>211900</v>
      </c>
      <c r="I501" s="102">
        <f t="shared" si="117"/>
        <v>226750</v>
      </c>
      <c r="J501" s="31"/>
    </row>
    <row r="502" spans="1:10" ht="29.25" customHeight="1">
      <c r="A502" s="16" t="s">
        <v>36</v>
      </c>
      <c r="B502" s="14">
        <v>757</v>
      </c>
      <c r="C502" s="15" t="s">
        <v>55</v>
      </c>
      <c r="D502" s="15" t="s">
        <v>90</v>
      </c>
      <c r="E502" s="15" t="s">
        <v>210</v>
      </c>
      <c r="F502" s="88" t="s">
        <v>37</v>
      </c>
      <c r="G502" s="102">
        <f>G503</f>
        <v>0</v>
      </c>
      <c r="H502" s="74">
        <f t="shared" ref="H502:I502" si="118">H503</f>
        <v>136900</v>
      </c>
      <c r="I502" s="74">
        <f t="shared" si="118"/>
        <v>151750</v>
      </c>
      <c r="J502" s="1"/>
    </row>
    <row r="503" spans="1:10" ht="15" customHeight="1">
      <c r="A503" s="16" t="s">
        <v>38</v>
      </c>
      <c r="B503" s="14">
        <v>757</v>
      </c>
      <c r="C503" s="15" t="s">
        <v>55</v>
      </c>
      <c r="D503" s="15" t="s">
        <v>90</v>
      </c>
      <c r="E503" s="15" t="s">
        <v>210</v>
      </c>
      <c r="F503" s="88" t="s">
        <v>39</v>
      </c>
      <c r="G503" s="8">
        <f>'прил 5'!G28</f>
        <v>0</v>
      </c>
      <c r="H503" s="8">
        <v>136900</v>
      </c>
      <c r="I503" s="8">
        <v>151750</v>
      </c>
      <c r="J503" s="1"/>
    </row>
    <row r="504" spans="1:10" ht="25.5">
      <c r="A504" s="16" t="s">
        <v>30</v>
      </c>
      <c r="B504" s="14">
        <v>757</v>
      </c>
      <c r="C504" s="15" t="s">
        <v>45</v>
      </c>
      <c r="D504" s="15" t="s">
        <v>19</v>
      </c>
      <c r="E504" s="15" t="s">
        <v>210</v>
      </c>
      <c r="F504" s="15" t="s">
        <v>31</v>
      </c>
      <c r="G504" s="89">
        <f t="shared" ref="G504:I504" si="119">G505</f>
        <v>35920</v>
      </c>
      <c r="H504" s="89">
        <f t="shared" si="119"/>
        <v>75000</v>
      </c>
      <c r="I504" s="89">
        <f t="shared" si="119"/>
        <v>75000</v>
      </c>
    </row>
    <row r="505" spans="1:10">
      <c r="A505" s="16" t="s">
        <v>32</v>
      </c>
      <c r="B505" s="14">
        <v>757</v>
      </c>
      <c r="C505" s="15" t="s">
        <v>45</v>
      </c>
      <c r="D505" s="15" t="s">
        <v>19</v>
      </c>
      <c r="E505" s="15" t="s">
        <v>210</v>
      </c>
      <c r="F505" s="15" t="s">
        <v>33</v>
      </c>
      <c r="G505" s="89">
        <f>'прил 5'!G30</f>
        <v>35920</v>
      </c>
      <c r="H505" s="89">
        <f>'прил 5'!H30</f>
        <v>75000</v>
      </c>
      <c r="I505" s="89">
        <f>'прил 5'!I30</f>
        <v>75000</v>
      </c>
      <c r="J505" s="2">
        <v>50000</v>
      </c>
    </row>
    <row r="506" spans="1:10" ht="15" hidden="1" customHeight="1">
      <c r="A506" s="213" t="s">
        <v>521</v>
      </c>
      <c r="B506" s="14">
        <v>757</v>
      </c>
      <c r="C506" s="15" t="s">
        <v>55</v>
      </c>
      <c r="D506" s="15" t="s">
        <v>90</v>
      </c>
      <c r="E506" s="88" t="s">
        <v>520</v>
      </c>
      <c r="F506" s="88"/>
      <c r="G506" s="102">
        <f>G507</f>
        <v>0</v>
      </c>
      <c r="H506" s="102">
        <f t="shared" ref="H506:I507" si="120">H507</f>
        <v>0</v>
      </c>
      <c r="I506" s="102">
        <f t="shared" si="120"/>
        <v>0</v>
      </c>
      <c r="J506" s="1"/>
    </row>
    <row r="507" spans="1:10" ht="27.75" hidden="1" customHeight="1">
      <c r="A507" s="16" t="s">
        <v>36</v>
      </c>
      <c r="B507" s="14">
        <v>757</v>
      </c>
      <c r="C507" s="15" t="s">
        <v>55</v>
      </c>
      <c r="D507" s="15" t="s">
        <v>90</v>
      </c>
      <c r="E507" s="88" t="s">
        <v>520</v>
      </c>
      <c r="F507" s="88" t="s">
        <v>37</v>
      </c>
      <c r="G507" s="102">
        <f>G508</f>
        <v>0</v>
      </c>
      <c r="H507" s="102">
        <f t="shared" si="120"/>
        <v>0</v>
      </c>
      <c r="I507" s="102">
        <f t="shared" si="120"/>
        <v>0</v>
      </c>
      <c r="J507" s="1"/>
    </row>
    <row r="508" spans="1:10" ht="30.75" hidden="1" customHeight="1">
      <c r="A508" s="16" t="s">
        <v>38</v>
      </c>
      <c r="B508" s="14">
        <v>757</v>
      </c>
      <c r="C508" s="15" t="s">
        <v>55</v>
      </c>
      <c r="D508" s="15" t="s">
        <v>90</v>
      </c>
      <c r="E508" s="88" t="s">
        <v>520</v>
      </c>
      <c r="F508" s="88" t="s">
        <v>39</v>
      </c>
      <c r="G508" s="102">
        <f>'прил 5'!G33</f>
        <v>0</v>
      </c>
      <c r="H508" s="102">
        <v>0</v>
      </c>
      <c r="I508" s="102">
        <v>0</v>
      </c>
      <c r="J508" s="1"/>
    </row>
    <row r="509" spans="1:10" s="18" customFormat="1" ht="32.25" customHeight="1">
      <c r="A509" s="16" t="s">
        <v>117</v>
      </c>
      <c r="B509" s="49">
        <v>795</v>
      </c>
      <c r="C509" s="15" t="s">
        <v>55</v>
      </c>
      <c r="D509" s="15" t="s">
        <v>127</v>
      </c>
      <c r="E509" s="15" t="s">
        <v>209</v>
      </c>
      <c r="F509" s="15"/>
      <c r="G509" s="74">
        <f t="shared" ref="G509:I511" si="121">G510</f>
        <v>3000000</v>
      </c>
      <c r="H509" s="74">
        <f t="shared" si="121"/>
        <v>0</v>
      </c>
      <c r="I509" s="74">
        <f t="shared" si="121"/>
        <v>0</v>
      </c>
    </row>
    <row r="510" spans="1:10" s="18" customFormat="1" ht="62.25" customHeight="1">
      <c r="A510" s="16" t="s">
        <v>832</v>
      </c>
      <c r="B510" s="49">
        <v>795</v>
      </c>
      <c r="C510" s="15" t="s">
        <v>55</v>
      </c>
      <c r="D510" s="15" t="s">
        <v>127</v>
      </c>
      <c r="E510" s="15" t="s">
        <v>432</v>
      </c>
      <c r="F510" s="15"/>
      <c r="G510" s="74">
        <f t="shared" si="121"/>
        <v>3000000</v>
      </c>
      <c r="H510" s="74">
        <f t="shared" si="121"/>
        <v>0</v>
      </c>
      <c r="I510" s="74">
        <f t="shared" si="121"/>
        <v>0</v>
      </c>
    </row>
    <row r="511" spans="1:10" s="18" customFormat="1" ht="39" customHeight="1">
      <c r="A511" s="16" t="s">
        <v>99</v>
      </c>
      <c r="B511" s="49">
        <v>795</v>
      </c>
      <c r="C511" s="15" t="s">
        <v>55</v>
      </c>
      <c r="D511" s="15" t="s">
        <v>127</v>
      </c>
      <c r="E511" s="15" t="s">
        <v>432</v>
      </c>
      <c r="F511" s="15" t="s">
        <v>359</v>
      </c>
      <c r="G511" s="74">
        <f t="shared" si="121"/>
        <v>3000000</v>
      </c>
      <c r="H511" s="74">
        <f t="shared" si="121"/>
        <v>0</v>
      </c>
      <c r="I511" s="74">
        <f t="shared" si="121"/>
        <v>0</v>
      </c>
    </row>
    <row r="512" spans="1:10" s="18" customFormat="1" ht="15.75" customHeight="1">
      <c r="A512" s="16" t="s">
        <v>360</v>
      </c>
      <c r="B512" s="49">
        <v>795</v>
      </c>
      <c r="C512" s="15" t="s">
        <v>55</v>
      </c>
      <c r="D512" s="15" t="s">
        <v>127</v>
      </c>
      <c r="E512" s="15" t="s">
        <v>432</v>
      </c>
      <c r="F512" s="15" t="s">
        <v>361</v>
      </c>
      <c r="G512" s="74">
        <f>'прил 5'!G1300</f>
        <v>3000000</v>
      </c>
      <c r="H512" s="74">
        <v>0</v>
      </c>
      <c r="I512" s="74">
        <v>0</v>
      </c>
    </row>
    <row r="513" spans="1:10" s="18" customFormat="1" ht="87" customHeight="1">
      <c r="A513" s="16" t="s">
        <v>615</v>
      </c>
      <c r="B513" s="49">
        <v>795</v>
      </c>
      <c r="C513" s="15" t="s">
        <v>55</v>
      </c>
      <c r="D513" s="15" t="s">
        <v>127</v>
      </c>
      <c r="E513" s="15" t="s">
        <v>614</v>
      </c>
      <c r="F513" s="15"/>
      <c r="G513" s="74">
        <f t="shared" ref="G513:I514" si="122">G514</f>
        <v>0</v>
      </c>
      <c r="H513" s="74">
        <f t="shared" si="122"/>
        <v>222222222</v>
      </c>
      <c r="I513" s="74">
        <f t="shared" si="122"/>
        <v>0</v>
      </c>
    </row>
    <row r="514" spans="1:10" s="18" customFormat="1" ht="39" customHeight="1">
      <c r="A514" s="16" t="s">
        <v>99</v>
      </c>
      <c r="B514" s="49">
        <v>795</v>
      </c>
      <c r="C514" s="15" t="s">
        <v>55</v>
      </c>
      <c r="D514" s="15" t="s">
        <v>127</v>
      </c>
      <c r="E514" s="15" t="s">
        <v>614</v>
      </c>
      <c r="F514" s="15" t="s">
        <v>359</v>
      </c>
      <c r="G514" s="74">
        <f t="shared" si="122"/>
        <v>0</v>
      </c>
      <c r="H514" s="74">
        <f t="shared" si="122"/>
        <v>222222222</v>
      </c>
      <c r="I514" s="74">
        <f t="shared" si="122"/>
        <v>0</v>
      </c>
    </row>
    <row r="515" spans="1:10" s="18" customFormat="1" ht="15.75" customHeight="1">
      <c r="A515" s="16" t="s">
        <v>360</v>
      </c>
      <c r="B515" s="49">
        <v>795</v>
      </c>
      <c r="C515" s="15" t="s">
        <v>55</v>
      </c>
      <c r="D515" s="15" t="s">
        <v>127</v>
      </c>
      <c r="E515" s="15" t="s">
        <v>614</v>
      </c>
      <c r="F515" s="15" t="s">
        <v>361</v>
      </c>
      <c r="G515" s="74">
        <v>0</v>
      </c>
      <c r="H515" s="74">
        <f>'прил 5'!H1303</f>
        <v>222222222</v>
      </c>
      <c r="I515" s="74">
        <v>0</v>
      </c>
    </row>
    <row r="516" spans="1:10" s="136" customFormat="1" ht="54" customHeight="1">
      <c r="A516" s="131" t="s">
        <v>497</v>
      </c>
      <c r="B516" s="99">
        <v>795</v>
      </c>
      <c r="C516" s="128" t="s">
        <v>168</v>
      </c>
      <c r="D516" s="128" t="s">
        <v>180</v>
      </c>
      <c r="E516" s="128" t="s">
        <v>269</v>
      </c>
      <c r="F516" s="128"/>
      <c r="G516" s="129">
        <f>G520+G526+G530+G533+G536+G539+G542+G545+G550+G553+G559+G557+G544+G556+G562+G521+G565</f>
        <v>2875150</v>
      </c>
      <c r="H516" s="129">
        <f t="shared" ref="H516:I516" si="123">H520+H526+H530+H533+H536+H539+H542+H545+H550+H553+H559+H557+H544+H556+H562+H521+H565</f>
        <v>1030000</v>
      </c>
      <c r="I516" s="129">
        <f t="shared" si="123"/>
        <v>1030000</v>
      </c>
      <c r="J516" s="157">
        <v>300000</v>
      </c>
    </row>
    <row r="517" spans="1:10" s="3" customFormat="1" ht="38.25" hidden="1" customHeight="1">
      <c r="A517" s="16" t="s">
        <v>553</v>
      </c>
      <c r="B517" s="49">
        <v>795</v>
      </c>
      <c r="C517" s="15" t="s">
        <v>168</v>
      </c>
      <c r="D517" s="15" t="s">
        <v>180</v>
      </c>
      <c r="E517" s="15" t="s">
        <v>554</v>
      </c>
      <c r="F517" s="15"/>
      <c r="G517" s="74">
        <f>G519</f>
        <v>0</v>
      </c>
      <c r="H517" s="25">
        <v>0</v>
      </c>
      <c r="I517" s="25">
        <v>0</v>
      </c>
    </row>
    <row r="518" spans="1:10" s="3" customFormat="1" ht="38.25" hidden="1" customHeight="1">
      <c r="A518" s="16"/>
      <c r="B518" s="49"/>
      <c r="C518" s="15"/>
      <c r="D518" s="15"/>
      <c r="E518" s="15"/>
      <c r="F518" s="15"/>
      <c r="G518" s="74"/>
      <c r="H518" s="166"/>
      <c r="I518" s="167"/>
    </row>
    <row r="519" spans="1:10" s="3" customFormat="1" ht="38.25" hidden="1" customHeight="1">
      <c r="A519" s="16" t="s">
        <v>36</v>
      </c>
      <c r="B519" s="49">
        <v>795</v>
      </c>
      <c r="C519" s="15" t="s">
        <v>168</v>
      </c>
      <c r="D519" s="15" t="s">
        <v>180</v>
      </c>
      <c r="E519" s="15" t="s">
        <v>554</v>
      </c>
      <c r="F519" s="15" t="s">
        <v>37</v>
      </c>
      <c r="G519" s="74">
        <f>G520</f>
        <v>0</v>
      </c>
      <c r="H519" s="25">
        <v>0</v>
      </c>
      <c r="I519" s="25">
        <v>0</v>
      </c>
    </row>
    <row r="520" spans="1:10" s="3" customFormat="1" ht="38.25" hidden="1" customHeight="1">
      <c r="A520" s="16" t="s">
        <v>38</v>
      </c>
      <c r="B520" s="49">
        <v>795</v>
      </c>
      <c r="C520" s="15" t="s">
        <v>168</v>
      </c>
      <c r="D520" s="15" t="s">
        <v>180</v>
      </c>
      <c r="E520" s="15" t="s">
        <v>554</v>
      </c>
      <c r="F520" s="15" t="s">
        <v>39</v>
      </c>
      <c r="G520" s="74">
        <f>'прил 5'!G1498</f>
        <v>0</v>
      </c>
      <c r="H520" s="25">
        <v>0</v>
      </c>
      <c r="I520" s="25">
        <v>0</v>
      </c>
    </row>
    <row r="521" spans="1:10" s="3" customFormat="1" ht="38.25" hidden="1" customHeight="1">
      <c r="A521" s="16" t="s">
        <v>794</v>
      </c>
      <c r="B521" s="49">
        <v>795</v>
      </c>
      <c r="C521" s="15" t="s">
        <v>168</v>
      </c>
      <c r="D521" s="15" t="s">
        <v>180</v>
      </c>
      <c r="E521" s="15" t="s">
        <v>793</v>
      </c>
      <c r="F521" s="15"/>
      <c r="G521" s="74">
        <f t="shared" ref="G521:I522" si="124">G522</f>
        <v>0</v>
      </c>
      <c r="H521" s="74">
        <f t="shared" si="124"/>
        <v>0</v>
      </c>
      <c r="I521" s="74">
        <f t="shared" si="124"/>
        <v>0</v>
      </c>
    </row>
    <row r="522" spans="1:10" s="3" customFormat="1" ht="38.25" hidden="1" customHeight="1">
      <c r="A522" s="16" t="s">
        <v>36</v>
      </c>
      <c r="B522" s="49">
        <v>795</v>
      </c>
      <c r="C522" s="15" t="s">
        <v>168</v>
      </c>
      <c r="D522" s="15" t="s">
        <v>180</v>
      </c>
      <c r="E522" s="15" t="s">
        <v>793</v>
      </c>
      <c r="F522" s="15" t="s">
        <v>37</v>
      </c>
      <c r="G522" s="74">
        <f t="shared" si="124"/>
        <v>0</v>
      </c>
      <c r="H522" s="74">
        <f t="shared" si="124"/>
        <v>0</v>
      </c>
      <c r="I522" s="74">
        <f t="shared" si="124"/>
        <v>0</v>
      </c>
    </row>
    <row r="523" spans="1:10" s="3" customFormat="1" ht="38.25" hidden="1" customHeight="1">
      <c r="A523" s="16" t="s">
        <v>38</v>
      </c>
      <c r="B523" s="49">
        <v>795</v>
      </c>
      <c r="C523" s="15" t="s">
        <v>168</v>
      </c>
      <c r="D523" s="15" t="s">
        <v>180</v>
      </c>
      <c r="E523" s="15" t="s">
        <v>793</v>
      </c>
      <c r="F523" s="15" t="s">
        <v>39</v>
      </c>
      <c r="G523" s="74">
        <f>'прил 5'!G1501</f>
        <v>0</v>
      </c>
      <c r="H523" s="74"/>
      <c r="I523" s="74"/>
    </row>
    <row r="524" spans="1:10" s="3" customFormat="1" ht="41.25" customHeight="1">
      <c r="A524" s="16" t="s">
        <v>132</v>
      </c>
      <c r="B524" s="49">
        <v>795</v>
      </c>
      <c r="C524" s="15" t="s">
        <v>168</v>
      </c>
      <c r="D524" s="15" t="s">
        <v>180</v>
      </c>
      <c r="E524" s="15" t="s">
        <v>295</v>
      </c>
      <c r="F524" s="15"/>
      <c r="G524" s="74">
        <f>G526</f>
        <v>30000</v>
      </c>
      <c r="H524" s="102">
        <f>H526</f>
        <v>30000</v>
      </c>
      <c r="I524" s="102">
        <f>I526</f>
        <v>30000</v>
      </c>
      <c r="J524" s="152">
        <v>700000</v>
      </c>
    </row>
    <row r="525" spans="1:10" s="3" customFormat="1" ht="28.5" customHeight="1">
      <c r="A525" s="16" t="s">
        <v>36</v>
      </c>
      <c r="B525" s="49">
        <v>795</v>
      </c>
      <c r="C525" s="15" t="s">
        <v>168</v>
      </c>
      <c r="D525" s="15" t="s">
        <v>180</v>
      </c>
      <c r="E525" s="15" t="s">
        <v>295</v>
      </c>
      <c r="F525" s="15" t="s">
        <v>37</v>
      </c>
      <c r="G525" s="74">
        <f>G526</f>
        <v>30000</v>
      </c>
      <c r="H525" s="102">
        <f>H526</f>
        <v>30000</v>
      </c>
      <c r="I525" s="102">
        <f>I526</f>
        <v>30000</v>
      </c>
      <c r="J525" s="152">
        <v>30000</v>
      </c>
    </row>
    <row r="526" spans="1:10" s="3" customFormat="1" ht="29.25" customHeight="1">
      <c r="A526" s="16" t="s">
        <v>38</v>
      </c>
      <c r="B526" s="49">
        <v>795</v>
      </c>
      <c r="C526" s="15" t="s">
        <v>168</v>
      </c>
      <c r="D526" s="15" t="s">
        <v>180</v>
      </c>
      <c r="E526" s="15" t="s">
        <v>295</v>
      </c>
      <c r="F526" s="15" t="s">
        <v>39</v>
      </c>
      <c r="G526" s="74">
        <f>'прил 5'!G1510</f>
        <v>30000</v>
      </c>
      <c r="H526" s="102">
        <f>'прил 5'!H1510</f>
        <v>30000</v>
      </c>
      <c r="I526" s="102">
        <f>'прил 5'!I1510</f>
        <v>30000</v>
      </c>
      <c r="J526" s="152">
        <f>SUM(J516:J525)</f>
        <v>1030000</v>
      </c>
    </row>
    <row r="527" spans="1:10" s="3" customFormat="1" ht="38.25" customHeight="1">
      <c r="A527" s="16" t="s">
        <v>507</v>
      </c>
      <c r="B527" s="49">
        <v>795</v>
      </c>
      <c r="C527" s="15" t="s">
        <v>168</v>
      </c>
      <c r="D527" s="15" t="s">
        <v>180</v>
      </c>
      <c r="E527" s="15" t="s">
        <v>387</v>
      </c>
      <c r="F527" s="15"/>
      <c r="G527" s="74">
        <f>G529</f>
        <v>120000</v>
      </c>
      <c r="H527" s="102">
        <f>H529</f>
        <v>300000</v>
      </c>
      <c r="I527" s="102">
        <f>I529</f>
        <v>300000</v>
      </c>
      <c r="J527" s="152"/>
    </row>
    <row r="528" spans="1:10" s="3" customFormat="1" ht="38.25" hidden="1" customHeight="1">
      <c r="A528" s="16"/>
      <c r="B528" s="49"/>
      <c r="C528" s="15"/>
      <c r="D528" s="15"/>
      <c r="E528" s="15"/>
      <c r="F528" s="15"/>
      <c r="G528" s="74"/>
      <c r="H528" s="102"/>
      <c r="I528" s="102"/>
      <c r="J528" s="152"/>
    </row>
    <row r="529" spans="1:10" s="3" customFormat="1" ht="38.25" customHeight="1">
      <c r="A529" s="16" t="s">
        <v>36</v>
      </c>
      <c r="B529" s="49">
        <v>795</v>
      </c>
      <c r="C529" s="15" t="s">
        <v>168</v>
      </c>
      <c r="D529" s="15" t="s">
        <v>180</v>
      </c>
      <c r="E529" s="15" t="s">
        <v>387</v>
      </c>
      <c r="F529" s="15" t="s">
        <v>37</v>
      </c>
      <c r="G529" s="74">
        <f>G530</f>
        <v>120000</v>
      </c>
      <c r="H529" s="102">
        <f>H530</f>
        <v>300000</v>
      </c>
      <c r="I529" s="102">
        <f>I530</f>
        <v>300000</v>
      </c>
      <c r="J529" s="152"/>
    </row>
    <row r="530" spans="1:10" s="3" customFormat="1" ht="38.25" customHeight="1">
      <c r="A530" s="16" t="s">
        <v>38</v>
      </c>
      <c r="B530" s="49">
        <v>795</v>
      </c>
      <c r="C530" s="15" t="s">
        <v>168</v>
      </c>
      <c r="D530" s="15" t="s">
        <v>180</v>
      </c>
      <c r="E530" s="15" t="s">
        <v>387</v>
      </c>
      <c r="F530" s="15" t="s">
        <v>39</v>
      </c>
      <c r="G530" s="74">
        <f>'прил 5'!G1504</f>
        <v>120000</v>
      </c>
      <c r="H530" s="102">
        <f>'прил 5'!H1504</f>
        <v>300000</v>
      </c>
      <c r="I530" s="102">
        <f>'прил 5'!I1504</f>
        <v>300000</v>
      </c>
      <c r="J530" s="152"/>
    </row>
    <row r="531" spans="1:10" s="3" customFormat="1" ht="38.25" customHeight="1">
      <c r="A531" s="16" t="s">
        <v>390</v>
      </c>
      <c r="B531" s="49">
        <v>795</v>
      </c>
      <c r="C531" s="15" t="s">
        <v>168</v>
      </c>
      <c r="D531" s="15" t="s">
        <v>180</v>
      </c>
      <c r="E531" s="15" t="s">
        <v>388</v>
      </c>
      <c r="F531" s="15"/>
      <c r="G531" s="74">
        <f t="shared" ref="G531:I532" si="125">G532</f>
        <v>190000</v>
      </c>
      <c r="H531" s="102">
        <f t="shared" si="125"/>
        <v>700000</v>
      </c>
      <c r="I531" s="102">
        <f t="shared" si="125"/>
        <v>700000</v>
      </c>
      <c r="J531" s="152"/>
    </row>
    <row r="532" spans="1:10" s="3" customFormat="1" ht="38.25" customHeight="1">
      <c r="A532" s="16" t="s">
        <v>36</v>
      </c>
      <c r="B532" s="49">
        <v>795</v>
      </c>
      <c r="C532" s="15" t="s">
        <v>168</v>
      </c>
      <c r="D532" s="15" t="s">
        <v>180</v>
      </c>
      <c r="E532" s="15" t="s">
        <v>388</v>
      </c>
      <c r="F532" s="15" t="s">
        <v>37</v>
      </c>
      <c r="G532" s="74">
        <f t="shared" si="125"/>
        <v>190000</v>
      </c>
      <c r="H532" s="102">
        <f t="shared" si="125"/>
        <v>700000</v>
      </c>
      <c r="I532" s="102">
        <f t="shared" si="125"/>
        <v>700000</v>
      </c>
      <c r="J532" s="152"/>
    </row>
    <row r="533" spans="1:10" s="3" customFormat="1" ht="38.25" customHeight="1">
      <c r="A533" s="16" t="s">
        <v>38</v>
      </c>
      <c r="B533" s="49">
        <v>795</v>
      </c>
      <c r="C533" s="15" t="s">
        <v>168</v>
      </c>
      <c r="D533" s="15" t="s">
        <v>180</v>
      </c>
      <c r="E533" s="15" t="s">
        <v>388</v>
      </c>
      <c r="F533" s="15" t="s">
        <v>39</v>
      </c>
      <c r="G533" s="74">
        <f>'прил 5'!G1507</f>
        <v>190000</v>
      </c>
      <c r="H533" s="102">
        <f>'прил 5'!H1507</f>
        <v>700000</v>
      </c>
      <c r="I533" s="102">
        <f>'прил 5'!I1507</f>
        <v>700000</v>
      </c>
      <c r="J533" s="152"/>
    </row>
    <row r="534" spans="1:10" s="3" customFormat="1" ht="38.25" customHeight="1">
      <c r="A534" s="16" t="s">
        <v>553</v>
      </c>
      <c r="B534" s="49">
        <v>795</v>
      </c>
      <c r="C534" s="15" t="s">
        <v>168</v>
      </c>
      <c r="D534" s="15" t="s">
        <v>180</v>
      </c>
      <c r="E534" s="15" t="s">
        <v>554</v>
      </c>
      <c r="F534" s="15"/>
      <c r="G534" s="74">
        <f>G535</f>
        <v>1694950</v>
      </c>
      <c r="H534" s="74">
        <f t="shared" ref="H534:I535" si="126">H535</f>
        <v>0</v>
      </c>
      <c r="I534" s="74">
        <f t="shared" si="126"/>
        <v>0</v>
      </c>
      <c r="J534" s="152"/>
    </row>
    <row r="535" spans="1:10" s="3" customFormat="1" ht="38.25" customHeight="1">
      <c r="A535" s="16" t="s">
        <v>36</v>
      </c>
      <c r="B535" s="49">
        <v>795</v>
      </c>
      <c r="C535" s="15" t="s">
        <v>168</v>
      </c>
      <c r="D535" s="15" t="s">
        <v>180</v>
      </c>
      <c r="E535" s="15" t="s">
        <v>554</v>
      </c>
      <c r="F535" s="15" t="s">
        <v>37</v>
      </c>
      <c r="G535" s="74">
        <f>G536</f>
        <v>1694950</v>
      </c>
      <c r="H535" s="74">
        <f t="shared" si="126"/>
        <v>0</v>
      </c>
      <c r="I535" s="74">
        <f t="shared" si="126"/>
        <v>0</v>
      </c>
      <c r="J535" s="152"/>
    </row>
    <row r="536" spans="1:10" s="3" customFormat="1" ht="38.25" customHeight="1">
      <c r="A536" s="16" t="s">
        <v>38</v>
      </c>
      <c r="B536" s="49">
        <v>795</v>
      </c>
      <c r="C536" s="15" t="s">
        <v>168</v>
      </c>
      <c r="D536" s="15" t="s">
        <v>180</v>
      </c>
      <c r="E536" s="15" t="s">
        <v>554</v>
      </c>
      <c r="F536" s="15" t="s">
        <v>39</v>
      </c>
      <c r="G536" s="74">
        <f>'прил 5'!G1513</f>
        <v>1694950</v>
      </c>
      <c r="H536" s="74">
        <f>'прил 5'!H1513</f>
        <v>0</v>
      </c>
      <c r="I536" s="74">
        <f>'прил 5'!I1513</f>
        <v>0</v>
      </c>
      <c r="J536" s="152"/>
    </row>
    <row r="537" spans="1:10" s="3" customFormat="1" ht="38.25" hidden="1" customHeight="1">
      <c r="A537" s="16" t="s">
        <v>477</v>
      </c>
      <c r="B537" s="49">
        <v>795</v>
      </c>
      <c r="C537" s="15" t="s">
        <v>168</v>
      </c>
      <c r="D537" s="15" t="s">
        <v>180</v>
      </c>
      <c r="E537" s="15" t="s">
        <v>478</v>
      </c>
      <c r="F537" s="15"/>
      <c r="G537" s="74">
        <f>G538</f>
        <v>0</v>
      </c>
      <c r="H537" s="74">
        <f t="shared" ref="H537:I538" si="127">H538</f>
        <v>0</v>
      </c>
      <c r="I537" s="74">
        <f t="shared" si="127"/>
        <v>0</v>
      </c>
      <c r="J537" s="152"/>
    </row>
    <row r="538" spans="1:10" s="3" customFormat="1" ht="38.25" hidden="1" customHeight="1">
      <c r="A538" s="16" t="s">
        <v>36</v>
      </c>
      <c r="B538" s="49">
        <v>795</v>
      </c>
      <c r="C538" s="15" t="s">
        <v>168</v>
      </c>
      <c r="D538" s="15" t="s">
        <v>180</v>
      </c>
      <c r="E538" s="15" t="s">
        <v>478</v>
      </c>
      <c r="F538" s="15" t="s">
        <v>37</v>
      </c>
      <c r="G538" s="74">
        <f>G539</f>
        <v>0</v>
      </c>
      <c r="H538" s="74">
        <f t="shared" si="127"/>
        <v>0</v>
      </c>
      <c r="I538" s="74">
        <f t="shared" si="127"/>
        <v>0</v>
      </c>
      <c r="J538" s="152"/>
    </row>
    <row r="539" spans="1:10" s="3" customFormat="1" ht="38.25" hidden="1" customHeight="1">
      <c r="A539" s="16" t="s">
        <v>38</v>
      </c>
      <c r="B539" s="49">
        <v>795</v>
      </c>
      <c r="C539" s="15" t="s">
        <v>168</v>
      </c>
      <c r="D539" s="15" t="s">
        <v>180</v>
      </c>
      <c r="E539" s="15" t="s">
        <v>478</v>
      </c>
      <c r="F539" s="15" t="s">
        <v>39</v>
      </c>
      <c r="G539" s="74">
        <f>'прил 5'!G1523</f>
        <v>0</v>
      </c>
      <c r="H539" s="74">
        <f>'прил 5'!H1528</f>
        <v>0</v>
      </c>
      <c r="I539" s="74">
        <f>'прил 5'!I1528</f>
        <v>0</v>
      </c>
      <c r="J539" s="152"/>
    </row>
    <row r="540" spans="1:10" s="3" customFormat="1" ht="38.25" hidden="1" customHeight="1">
      <c r="A540" s="16" t="s">
        <v>553</v>
      </c>
      <c r="B540" s="49">
        <v>795</v>
      </c>
      <c r="C540" s="15" t="s">
        <v>168</v>
      </c>
      <c r="D540" s="15" t="s">
        <v>180</v>
      </c>
      <c r="E540" s="15" t="s">
        <v>582</v>
      </c>
      <c r="F540" s="15"/>
      <c r="G540" s="74">
        <f>G541+G543</f>
        <v>0</v>
      </c>
      <c r="H540" s="74">
        <f t="shared" ref="H540:I541" si="128">H541</f>
        <v>0</v>
      </c>
      <c r="I540" s="74">
        <f t="shared" si="128"/>
        <v>0</v>
      </c>
    </row>
    <row r="541" spans="1:10" s="3" customFormat="1" ht="38.25" hidden="1" customHeight="1">
      <c r="A541" s="16" t="s">
        <v>36</v>
      </c>
      <c r="B541" s="49">
        <v>795</v>
      </c>
      <c r="C541" s="15" t="s">
        <v>168</v>
      </c>
      <c r="D541" s="15" t="s">
        <v>180</v>
      </c>
      <c r="E541" s="15" t="s">
        <v>582</v>
      </c>
      <c r="F541" s="15" t="s">
        <v>37</v>
      </c>
      <c r="G541" s="74">
        <f>G542</f>
        <v>0</v>
      </c>
      <c r="H541" s="74">
        <f t="shared" si="128"/>
        <v>0</v>
      </c>
      <c r="I541" s="74">
        <f t="shared" si="128"/>
        <v>0</v>
      </c>
    </row>
    <row r="542" spans="1:10" s="3" customFormat="1" ht="38.25" hidden="1" customHeight="1">
      <c r="A542" s="16" t="s">
        <v>38</v>
      </c>
      <c r="B542" s="49">
        <v>795</v>
      </c>
      <c r="C542" s="15" t="s">
        <v>168</v>
      </c>
      <c r="D542" s="15" t="s">
        <v>180</v>
      </c>
      <c r="E542" s="15" t="s">
        <v>582</v>
      </c>
      <c r="F542" s="15" t="s">
        <v>39</v>
      </c>
      <c r="G542" s="74">
        <f>'прил 5'!G1516</f>
        <v>0</v>
      </c>
      <c r="H542" s="74">
        <v>0</v>
      </c>
      <c r="I542" s="74">
        <v>0</v>
      </c>
    </row>
    <row r="543" spans="1:10" s="3" customFormat="1" ht="24.75" hidden="1" customHeight="1">
      <c r="A543" s="16" t="s">
        <v>163</v>
      </c>
      <c r="B543" s="49">
        <v>795</v>
      </c>
      <c r="C543" s="15" t="s">
        <v>168</v>
      </c>
      <c r="D543" s="15" t="s">
        <v>180</v>
      </c>
      <c r="E543" s="15" t="s">
        <v>582</v>
      </c>
      <c r="F543" s="15" t="s">
        <v>164</v>
      </c>
      <c r="G543" s="74">
        <f>G544</f>
        <v>0</v>
      </c>
      <c r="H543" s="74">
        <v>0</v>
      </c>
      <c r="I543" s="74">
        <v>0</v>
      </c>
    </row>
    <row r="544" spans="1:10" s="3" customFormat="1" ht="21.75" hidden="1" customHeight="1">
      <c r="A544" s="16" t="s">
        <v>177</v>
      </c>
      <c r="B544" s="49">
        <v>795</v>
      </c>
      <c r="C544" s="15" t="s">
        <v>168</v>
      </c>
      <c r="D544" s="15" t="s">
        <v>180</v>
      </c>
      <c r="E544" s="15" t="s">
        <v>582</v>
      </c>
      <c r="F544" s="15" t="s">
        <v>178</v>
      </c>
      <c r="G544" s="74">
        <f>'прил 5'!G1518</f>
        <v>0</v>
      </c>
      <c r="H544" s="74">
        <v>0</v>
      </c>
      <c r="I544" s="74">
        <v>0</v>
      </c>
    </row>
    <row r="545" spans="1:9" s="3" customFormat="1" ht="38.25" hidden="1" customHeight="1">
      <c r="A545" s="16" t="s">
        <v>584</v>
      </c>
      <c r="B545" s="49">
        <v>795</v>
      </c>
      <c r="C545" s="15" t="s">
        <v>168</v>
      </c>
      <c r="D545" s="15" t="s">
        <v>180</v>
      </c>
      <c r="E545" s="15" t="s">
        <v>583</v>
      </c>
      <c r="F545" s="15"/>
      <c r="G545" s="74">
        <f>G546</f>
        <v>0</v>
      </c>
      <c r="H545" s="74">
        <f t="shared" ref="H545:I546" si="129">H546</f>
        <v>0</v>
      </c>
      <c r="I545" s="74">
        <f t="shared" si="129"/>
        <v>0</v>
      </c>
    </row>
    <row r="546" spans="1:9" s="3" customFormat="1" ht="38.25" hidden="1" customHeight="1">
      <c r="A546" s="16" t="s">
        <v>36</v>
      </c>
      <c r="B546" s="49">
        <v>795</v>
      </c>
      <c r="C546" s="15" t="s">
        <v>168</v>
      </c>
      <c r="D546" s="15" t="s">
        <v>180</v>
      </c>
      <c r="E546" s="15" t="s">
        <v>583</v>
      </c>
      <c r="F546" s="15" t="s">
        <v>37</v>
      </c>
      <c r="G546" s="74">
        <f>G547</f>
        <v>0</v>
      </c>
      <c r="H546" s="74">
        <f t="shared" si="129"/>
        <v>0</v>
      </c>
      <c r="I546" s="74">
        <f t="shared" si="129"/>
        <v>0</v>
      </c>
    </row>
    <row r="547" spans="1:9" s="3" customFormat="1" ht="38.25" hidden="1" customHeight="1">
      <c r="A547" s="16" t="s">
        <v>38</v>
      </c>
      <c r="B547" s="49">
        <v>795</v>
      </c>
      <c r="C547" s="15" t="s">
        <v>168</v>
      </c>
      <c r="D547" s="15" t="s">
        <v>180</v>
      </c>
      <c r="E547" s="15" t="s">
        <v>583</v>
      </c>
      <c r="F547" s="15" t="s">
        <v>39</v>
      </c>
      <c r="G547" s="74">
        <f>'прил 5'!G1521</f>
        <v>0</v>
      </c>
      <c r="H547" s="74">
        <v>0</v>
      </c>
      <c r="I547" s="74">
        <v>0</v>
      </c>
    </row>
    <row r="548" spans="1:9" s="3" customFormat="1" ht="38.25" hidden="1" customHeight="1">
      <c r="A548" s="16" t="s">
        <v>581</v>
      </c>
      <c r="B548" s="49">
        <v>795</v>
      </c>
      <c r="C548" s="15" t="s">
        <v>168</v>
      </c>
      <c r="D548" s="15" t="s">
        <v>180</v>
      </c>
      <c r="E548" s="15" t="s">
        <v>580</v>
      </c>
      <c r="F548" s="15"/>
      <c r="G548" s="74">
        <f>G549</f>
        <v>0</v>
      </c>
      <c r="H548" s="74">
        <f t="shared" ref="H548:I549" si="130">H549</f>
        <v>0</v>
      </c>
      <c r="I548" s="74">
        <f t="shared" si="130"/>
        <v>0</v>
      </c>
    </row>
    <row r="549" spans="1:9" s="3" customFormat="1" ht="38.25" hidden="1" customHeight="1">
      <c r="A549" s="16" t="s">
        <v>36</v>
      </c>
      <c r="B549" s="49">
        <v>795</v>
      </c>
      <c r="C549" s="15" t="s">
        <v>168</v>
      </c>
      <c r="D549" s="15" t="s">
        <v>180</v>
      </c>
      <c r="E549" s="15" t="s">
        <v>580</v>
      </c>
      <c r="F549" s="15" t="s">
        <v>37</v>
      </c>
      <c r="G549" s="74">
        <f>G550</f>
        <v>0</v>
      </c>
      <c r="H549" s="74">
        <f t="shared" si="130"/>
        <v>0</v>
      </c>
      <c r="I549" s="74">
        <f t="shared" si="130"/>
        <v>0</v>
      </c>
    </row>
    <row r="550" spans="1:9" s="3" customFormat="1" ht="38.25" hidden="1" customHeight="1">
      <c r="A550" s="16" t="s">
        <v>38</v>
      </c>
      <c r="B550" s="49">
        <v>795</v>
      </c>
      <c r="C550" s="15" t="s">
        <v>168</v>
      </c>
      <c r="D550" s="15" t="s">
        <v>180</v>
      </c>
      <c r="E550" s="15" t="s">
        <v>580</v>
      </c>
      <c r="F550" s="15" t="s">
        <v>39</v>
      </c>
      <c r="G550" s="74">
        <f>'прил 5'!G1527</f>
        <v>0</v>
      </c>
      <c r="H550" s="74">
        <v>0</v>
      </c>
      <c r="I550" s="74">
        <v>0</v>
      </c>
    </row>
    <row r="551" spans="1:9" s="3" customFormat="1" ht="38.25" hidden="1" customHeight="1">
      <c r="A551" s="16" t="s">
        <v>579</v>
      </c>
      <c r="B551" s="49">
        <v>795</v>
      </c>
      <c r="C551" s="15" t="s">
        <v>168</v>
      </c>
      <c r="D551" s="15" t="s">
        <v>180</v>
      </c>
      <c r="E551" s="15" t="s">
        <v>578</v>
      </c>
      <c r="F551" s="15"/>
      <c r="G551" s="74">
        <f>G552</f>
        <v>0</v>
      </c>
      <c r="H551" s="74">
        <f t="shared" ref="H551:I552" si="131">H552</f>
        <v>0</v>
      </c>
      <c r="I551" s="74">
        <f t="shared" si="131"/>
        <v>0</v>
      </c>
    </row>
    <row r="552" spans="1:9" s="3" customFormat="1" ht="38.25" hidden="1" customHeight="1">
      <c r="A552" s="16" t="s">
        <v>36</v>
      </c>
      <c r="B552" s="49">
        <v>795</v>
      </c>
      <c r="C552" s="15" t="s">
        <v>168</v>
      </c>
      <c r="D552" s="15" t="s">
        <v>180</v>
      </c>
      <c r="E552" s="15" t="s">
        <v>578</v>
      </c>
      <c r="F552" s="15" t="s">
        <v>37</v>
      </c>
      <c r="G552" s="74">
        <f>G553</f>
        <v>0</v>
      </c>
      <c r="H552" s="74">
        <f t="shared" si="131"/>
        <v>0</v>
      </c>
      <c r="I552" s="74">
        <f t="shared" si="131"/>
        <v>0</v>
      </c>
    </row>
    <row r="553" spans="1:9" s="3" customFormat="1" ht="38.25" hidden="1" customHeight="1">
      <c r="A553" s="16" t="s">
        <v>38</v>
      </c>
      <c r="B553" s="49">
        <v>795</v>
      </c>
      <c r="C553" s="15" t="s">
        <v>168</v>
      </c>
      <c r="D553" s="15" t="s">
        <v>180</v>
      </c>
      <c r="E553" s="15" t="s">
        <v>578</v>
      </c>
      <c r="F553" s="15" t="s">
        <v>39</v>
      </c>
      <c r="G553" s="74">
        <f>'прил 5'!G1530</f>
        <v>0</v>
      </c>
      <c r="H553" s="74">
        <v>0</v>
      </c>
      <c r="I553" s="74">
        <v>0</v>
      </c>
    </row>
    <row r="554" spans="1:9" s="3" customFormat="1" ht="38.25" hidden="1" customHeight="1">
      <c r="A554" s="16" t="s">
        <v>577</v>
      </c>
      <c r="B554" s="49">
        <v>795</v>
      </c>
      <c r="C554" s="15" t="s">
        <v>168</v>
      </c>
      <c r="D554" s="15" t="s">
        <v>180</v>
      </c>
      <c r="E554" s="15" t="s">
        <v>576</v>
      </c>
      <c r="F554" s="15"/>
      <c r="G554" s="74">
        <f>G555</f>
        <v>0</v>
      </c>
      <c r="H554" s="74">
        <f t="shared" ref="H554:I554" si="132">H555</f>
        <v>0</v>
      </c>
      <c r="I554" s="74">
        <f t="shared" si="132"/>
        <v>0</v>
      </c>
    </row>
    <row r="555" spans="1:9" s="3" customFormat="1" ht="23.25" hidden="1" customHeight="1">
      <c r="A555" s="16" t="s">
        <v>163</v>
      </c>
      <c r="B555" s="49">
        <v>795</v>
      </c>
      <c r="C555" s="15" t="s">
        <v>168</v>
      </c>
      <c r="D555" s="15" t="s">
        <v>180</v>
      </c>
      <c r="E555" s="15" t="s">
        <v>576</v>
      </c>
      <c r="F555" s="15" t="s">
        <v>164</v>
      </c>
      <c r="G555" s="74">
        <f>G556</f>
        <v>0</v>
      </c>
      <c r="H555" s="74">
        <f t="shared" ref="H555:I555" si="133">H556</f>
        <v>0</v>
      </c>
      <c r="I555" s="74">
        <f t="shared" si="133"/>
        <v>0</v>
      </c>
    </row>
    <row r="556" spans="1:9" s="3" customFormat="1" ht="21.75" hidden="1" customHeight="1">
      <c r="A556" s="16" t="s">
        <v>177</v>
      </c>
      <c r="B556" s="49">
        <v>795</v>
      </c>
      <c r="C556" s="15" t="s">
        <v>168</v>
      </c>
      <c r="D556" s="15" t="s">
        <v>180</v>
      </c>
      <c r="E556" s="15" t="s">
        <v>576</v>
      </c>
      <c r="F556" s="15" t="s">
        <v>178</v>
      </c>
      <c r="G556" s="74"/>
      <c r="H556" s="74">
        <v>0</v>
      </c>
      <c r="I556" s="74">
        <v>0</v>
      </c>
    </row>
    <row r="557" spans="1:9" s="3" customFormat="1" ht="38.25" hidden="1" customHeight="1">
      <c r="A557" s="16" t="s">
        <v>575</v>
      </c>
      <c r="B557" s="49">
        <v>795</v>
      </c>
      <c r="C557" s="15" t="s">
        <v>168</v>
      </c>
      <c r="D557" s="15" t="s">
        <v>180</v>
      </c>
      <c r="E557" s="15" t="s">
        <v>574</v>
      </c>
      <c r="F557" s="15"/>
      <c r="G557" s="74">
        <f>G558+G560</f>
        <v>0</v>
      </c>
      <c r="H557" s="74">
        <f t="shared" ref="H557:I558" si="134">H558</f>
        <v>0</v>
      </c>
      <c r="I557" s="74">
        <f t="shared" si="134"/>
        <v>0</v>
      </c>
    </row>
    <row r="558" spans="1:9" s="3" customFormat="1" ht="38.25" hidden="1" customHeight="1">
      <c r="A558" s="16" t="s">
        <v>36</v>
      </c>
      <c r="B558" s="49">
        <v>795</v>
      </c>
      <c r="C558" s="15" t="s">
        <v>168</v>
      </c>
      <c r="D558" s="15" t="s">
        <v>180</v>
      </c>
      <c r="E558" s="15" t="s">
        <v>574</v>
      </c>
      <c r="F558" s="15" t="s">
        <v>37</v>
      </c>
      <c r="G558" s="74">
        <f>G559</f>
        <v>0</v>
      </c>
      <c r="H558" s="74">
        <f t="shared" si="134"/>
        <v>0</v>
      </c>
      <c r="I558" s="74">
        <f t="shared" si="134"/>
        <v>0</v>
      </c>
    </row>
    <row r="559" spans="1:9" s="3" customFormat="1" ht="38.25" hidden="1" customHeight="1">
      <c r="A559" s="16" t="s">
        <v>38</v>
      </c>
      <c r="B559" s="49">
        <v>795</v>
      </c>
      <c r="C559" s="15" t="s">
        <v>168</v>
      </c>
      <c r="D559" s="15" t="s">
        <v>180</v>
      </c>
      <c r="E559" s="15" t="s">
        <v>574</v>
      </c>
      <c r="F559" s="15" t="s">
        <v>39</v>
      </c>
      <c r="G559" s="74"/>
      <c r="H559" s="74">
        <v>0</v>
      </c>
      <c r="I559" s="74">
        <v>0</v>
      </c>
    </row>
    <row r="560" spans="1:9" s="3" customFormat="1" ht="26.25" hidden="1" customHeight="1">
      <c r="A560" s="16" t="s">
        <v>163</v>
      </c>
      <c r="B560" s="49">
        <v>795</v>
      </c>
      <c r="C560" s="15" t="s">
        <v>168</v>
      </c>
      <c r="D560" s="15" t="s">
        <v>180</v>
      </c>
      <c r="E560" s="15" t="s">
        <v>574</v>
      </c>
      <c r="F560" s="15" t="s">
        <v>164</v>
      </c>
      <c r="G560" s="74">
        <f>G561</f>
        <v>0</v>
      </c>
      <c r="H560" s="74">
        <f t="shared" ref="H560:I560" si="135">H561</f>
        <v>0</v>
      </c>
      <c r="I560" s="74">
        <f t="shared" si="135"/>
        <v>0</v>
      </c>
    </row>
    <row r="561" spans="1:16" s="3" customFormat="1" ht="19.5" hidden="1" customHeight="1">
      <c r="A561" s="16" t="s">
        <v>177</v>
      </c>
      <c r="B561" s="49">
        <v>795</v>
      </c>
      <c r="C561" s="15" t="s">
        <v>168</v>
      </c>
      <c r="D561" s="15" t="s">
        <v>180</v>
      </c>
      <c r="E561" s="15" t="s">
        <v>574</v>
      </c>
      <c r="F561" s="15" t="s">
        <v>178</v>
      </c>
      <c r="G561" s="74">
        <f>'прил 5'!G1536</f>
        <v>0</v>
      </c>
      <c r="H561" s="74">
        <v>0</v>
      </c>
      <c r="I561" s="74">
        <v>0</v>
      </c>
    </row>
    <row r="562" spans="1:16" s="3" customFormat="1" ht="38.25" customHeight="1">
      <c r="A562" s="16" t="s">
        <v>732</v>
      </c>
      <c r="B562" s="49">
        <v>795</v>
      </c>
      <c r="C562" s="15" t="s">
        <v>168</v>
      </c>
      <c r="D562" s="15" t="s">
        <v>180</v>
      </c>
      <c r="E562" s="15" t="s">
        <v>731</v>
      </c>
      <c r="F562" s="15"/>
      <c r="G562" s="74">
        <f>G563</f>
        <v>453000</v>
      </c>
      <c r="H562" s="74">
        <f t="shared" ref="H562:I563" si="136">H563</f>
        <v>0</v>
      </c>
      <c r="I562" s="74">
        <f t="shared" si="136"/>
        <v>0</v>
      </c>
    </row>
    <row r="563" spans="1:16" s="3" customFormat="1" ht="38.25" customHeight="1">
      <c r="A563" s="16" t="s">
        <v>36</v>
      </c>
      <c r="B563" s="49">
        <v>795</v>
      </c>
      <c r="C563" s="15" t="s">
        <v>168</v>
      </c>
      <c r="D563" s="15" t="s">
        <v>180</v>
      </c>
      <c r="E563" s="15" t="s">
        <v>731</v>
      </c>
      <c r="F563" s="15" t="s">
        <v>37</v>
      </c>
      <c r="G563" s="74">
        <f>G564</f>
        <v>453000</v>
      </c>
      <c r="H563" s="74">
        <f t="shared" si="136"/>
        <v>0</v>
      </c>
      <c r="I563" s="74">
        <f t="shared" si="136"/>
        <v>0</v>
      </c>
    </row>
    <row r="564" spans="1:16" s="3" customFormat="1" ht="38.25" customHeight="1">
      <c r="A564" s="16" t="s">
        <v>38</v>
      </c>
      <c r="B564" s="49">
        <v>795</v>
      </c>
      <c r="C564" s="15" t="s">
        <v>168</v>
      </c>
      <c r="D564" s="15" t="s">
        <v>180</v>
      </c>
      <c r="E564" s="15" t="s">
        <v>731</v>
      </c>
      <c r="F564" s="15" t="s">
        <v>39</v>
      </c>
      <c r="G564" s="74">
        <v>453000</v>
      </c>
      <c r="H564" s="74">
        <v>0</v>
      </c>
      <c r="I564" s="74">
        <f>H564</f>
        <v>0</v>
      </c>
    </row>
    <row r="565" spans="1:16" s="3" customFormat="1" ht="63" customHeight="1">
      <c r="A565" s="16" t="s">
        <v>819</v>
      </c>
      <c r="B565" s="49">
        <v>795</v>
      </c>
      <c r="C565" s="15" t="s">
        <v>168</v>
      </c>
      <c r="D565" s="15" t="s">
        <v>180</v>
      </c>
      <c r="E565" s="15" t="s">
        <v>818</v>
      </c>
      <c r="F565" s="15"/>
      <c r="G565" s="74">
        <f>G566</f>
        <v>387200</v>
      </c>
      <c r="H565" s="74">
        <f t="shared" ref="H565:I566" si="137">H566</f>
        <v>0</v>
      </c>
      <c r="I565" s="74">
        <f t="shared" si="137"/>
        <v>0</v>
      </c>
    </row>
    <row r="566" spans="1:16" s="3" customFormat="1" ht="38.25" customHeight="1">
      <c r="A566" s="16" t="s">
        <v>36</v>
      </c>
      <c r="B566" s="49">
        <v>795</v>
      </c>
      <c r="C566" s="15" t="s">
        <v>168</v>
      </c>
      <c r="D566" s="15" t="s">
        <v>180</v>
      </c>
      <c r="E566" s="15" t="s">
        <v>818</v>
      </c>
      <c r="F566" s="15" t="s">
        <v>37</v>
      </c>
      <c r="G566" s="74">
        <f>G567</f>
        <v>387200</v>
      </c>
      <c r="H566" s="74">
        <f t="shared" si="137"/>
        <v>0</v>
      </c>
      <c r="I566" s="74">
        <f t="shared" si="137"/>
        <v>0</v>
      </c>
    </row>
    <row r="567" spans="1:16" s="3" customFormat="1" ht="38.25" customHeight="1">
      <c r="A567" s="16" t="s">
        <v>38</v>
      </c>
      <c r="B567" s="49">
        <v>795</v>
      </c>
      <c r="C567" s="15" t="s">
        <v>168</v>
      </c>
      <c r="D567" s="15" t="s">
        <v>180</v>
      </c>
      <c r="E567" s="15" t="s">
        <v>818</v>
      </c>
      <c r="F567" s="15" t="s">
        <v>39</v>
      </c>
      <c r="G567" s="74">
        <v>387200</v>
      </c>
      <c r="H567" s="74">
        <v>0</v>
      </c>
      <c r="I567" s="74">
        <f>H567</f>
        <v>0</v>
      </c>
    </row>
    <row r="568" spans="1:16" s="136" customFormat="1" ht="35.25" customHeight="1">
      <c r="A568" s="131" t="s">
        <v>506</v>
      </c>
      <c r="B568" s="127">
        <v>757</v>
      </c>
      <c r="C568" s="128" t="s">
        <v>26</v>
      </c>
      <c r="D568" s="128" t="s">
        <v>28</v>
      </c>
      <c r="E568" s="128" t="s">
        <v>200</v>
      </c>
      <c r="F568" s="128"/>
      <c r="G568" s="129">
        <f>G569+G572+G575+G578+G581+G584+G592+G598+G619+G626+G628+G631+G634+G646+G658+G637+G640+G675+G678+G687+G684+G595+G681+G607+G604+G610+G613++G690++G698+G616+G693+G701+G587</f>
        <v>165418025.97000003</v>
      </c>
      <c r="H568" s="129">
        <f t="shared" ref="H568:I568" si="138">H569+H572+H575+H578+H581+H584+H592+H598+H619+H626+H628+H631+H634+H646+H658+H637+H640+H675+H678+H687+H684+H595+H681+H607+H604+H610+H613++H690</f>
        <v>169338382.88</v>
      </c>
      <c r="I568" s="129">
        <f t="shared" si="138"/>
        <v>153114275.74000001</v>
      </c>
      <c r="J568" s="157">
        <v>24472950</v>
      </c>
      <c r="P568" s="157"/>
    </row>
    <row r="569" spans="1:16" ht="37.5" customHeight="1">
      <c r="A569" s="16" t="s">
        <v>451</v>
      </c>
      <c r="B569" s="14">
        <v>757</v>
      </c>
      <c r="C569" s="15" t="s">
        <v>45</v>
      </c>
      <c r="D569" s="15" t="s">
        <v>19</v>
      </c>
      <c r="E569" s="15" t="s">
        <v>421</v>
      </c>
      <c r="F569" s="15"/>
      <c r="G569" s="89">
        <f t="shared" ref="G569:I570" si="139">G570</f>
        <v>628705.88</v>
      </c>
      <c r="H569" s="8">
        <f>H570</f>
        <v>178133</v>
      </c>
      <c r="I569" s="8">
        <f t="shared" si="139"/>
        <v>178133</v>
      </c>
      <c r="J569" s="2">
        <v>25800</v>
      </c>
      <c r="K569" s="2" t="e">
        <f>G569+G572+G575+G578+G581+G584+G592+G598+#REF!+G619+G626+G628+G631+G634+G646+G658</f>
        <v>#REF!</v>
      </c>
      <c r="P569" s="2"/>
    </row>
    <row r="570" spans="1:16" ht="25.5">
      <c r="A570" s="16" t="s">
        <v>30</v>
      </c>
      <c r="B570" s="14">
        <v>757</v>
      </c>
      <c r="C570" s="15" t="s">
        <v>45</v>
      </c>
      <c r="D570" s="15" t="s">
        <v>19</v>
      </c>
      <c r="E570" s="15" t="s">
        <v>421</v>
      </c>
      <c r="F570" s="15" t="s">
        <v>31</v>
      </c>
      <c r="G570" s="89">
        <f t="shared" si="139"/>
        <v>628705.88</v>
      </c>
      <c r="H570" s="8">
        <f t="shared" si="139"/>
        <v>178133</v>
      </c>
      <c r="I570" s="8">
        <f t="shared" si="139"/>
        <v>178133</v>
      </c>
      <c r="J570" s="2">
        <v>60633148</v>
      </c>
    </row>
    <row r="571" spans="1:16">
      <c r="A571" s="16" t="s">
        <v>32</v>
      </c>
      <c r="B571" s="14">
        <v>757</v>
      </c>
      <c r="C571" s="15" t="s">
        <v>45</v>
      </c>
      <c r="D571" s="15" t="s">
        <v>19</v>
      </c>
      <c r="E571" s="15" t="s">
        <v>421</v>
      </c>
      <c r="F571" s="15" t="s">
        <v>33</v>
      </c>
      <c r="G571" s="89">
        <f>'прил 5'!G206</f>
        <v>628705.88</v>
      </c>
      <c r="H571" s="8">
        <f>'прил 5'!H206</f>
        <v>178133</v>
      </c>
      <c r="I571" s="8">
        <f>'прил 5'!I206</f>
        <v>178133</v>
      </c>
      <c r="J571" s="2">
        <v>7498067</v>
      </c>
    </row>
    <row r="572" spans="1:16" ht="93" hidden="1" customHeight="1">
      <c r="A572" s="16" t="s">
        <v>279</v>
      </c>
      <c r="B572" s="14">
        <v>757</v>
      </c>
      <c r="C572" s="15" t="s">
        <v>26</v>
      </c>
      <c r="D572" s="15" t="s">
        <v>71</v>
      </c>
      <c r="E572" s="15" t="s">
        <v>613</v>
      </c>
      <c r="F572" s="15"/>
      <c r="G572" s="102">
        <f>G574</f>
        <v>0</v>
      </c>
      <c r="H572" s="8">
        <v>0</v>
      </c>
      <c r="I572" s="8">
        <v>0</v>
      </c>
      <c r="J572" s="1"/>
    </row>
    <row r="573" spans="1:16" ht="36" hidden="1" customHeight="1">
      <c r="A573" s="16" t="s">
        <v>30</v>
      </c>
      <c r="B573" s="14">
        <v>757</v>
      </c>
      <c r="C573" s="15" t="s">
        <v>26</v>
      </c>
      <c r="D573" s="15" t="s">
        <v>71</v>
      </c>
      <c r="E573" s="15" t="s">
        <v>613</v>
      </c>
      <c r="F573" s="15" t="s">
        <v>31</v>
      </c>
      <c r="G573" s="102">
        <f>G574</f>
        <v>0</v>
      </c>
      <c r="H573" s="8">
        <v>0</v>
      </c>
      <c r="I573" s="8">
        <v>0</v>
      </c>
      <c r="J573" s="1"/>
    </row>
    <row r="574" spans="1:16" ht="19.5" hidden="1" customHeight="1">
      <c r="A574" s="16" t="s">
        <v>32</v>
      </c>
      <c r="B574" s="14">
        <v>757</v>
      </c>
      <c r="C574" s="15" t="s">
        <v>26</v>
      </c>
      <c r="D574" s="15" t="s">
        <v>71</v>
      </c>
      <c r="E574" s="15" t="s">
        <v>613</v>
      </c>
      <c r="F574" s="15" t="s">
        <v>33</v>
      </c>
      <c r="G574" s="102">
        <f>'прил 5'!G51</f>
        <v>0</v>
      </c>
      <c r="H574" s="8">
        <v>0</v>
      </c>
      <c r="I574" s="8">
        <v>0</v>
      </c>
      <c r="J574" s="1"/>
    </row>
    <row r="575" spans="1:16" s="46" customFormat="1" ht="90.75" customHeight="1">
      <c r="A575" s="84" t="s">
        <v>383</v>
      </c>
      <c r="B575" s="14"/>
      <c r="C575" s="15"/>
      <c r="D575" s="15"/>
      <c r="E575" s="15" t="s">
        <v>690</v>
      </c>
      <c r="F575" s="15"/>
      <c r="G575" s="102">
        <f t="shared" ref="G575:I576" si="140">G576</f>
        <v>1157335</v>
      </c>
      <c r="H575" s="74">
        <f t="shared" si="140"/>
        <v>1157334.95</v>
      </c>
      <c r="I575" s="74">
        <f t="shared" si="140"/>
        <v>1157334.95</v>
      </c>
      <c r="J575" s="151">
        <v>37014758</v>
      </c>
    </row>
    <row r="576" spans="1:16" s="46" customFormat="1" ht="35.25" customHeight="1">
      <c r="A576" s="16" t="s">
        <v>30</v>
      </c>
      <c r="B576" s="14"/>
      <c r="C576" s="15"/>
      <c r="D576" s="15"/>
      <c r="E576" s="15" t="s">
        <v>690</v>
      </c>
      <c r="F576" s="15" t="s">
        <v>31</v>
      </c>
      <c r="G576" s="102">
        <f t="shared" si="140"/>
        <v>1157335</v>
      </c>
      <c r="H576" s="74">
        <f t="shared" si="140"/>
        <v>1157334.95</v>
      </c>
      <c r="I576" s="74">
        <f t="shared" si="140"/>
        <v>1157334.95</v>
      </c>
      <c r="J576" s="151">
        <v>1052448</v>
      </c>
    </row>
    <row r="577" spans="1:10" s="46" customFormat="1" ht="21" customHeight="1">
      <c r="A577" s="16" t="s">
        <v>32</v>
      </c>
      <c r="B577" s="14"/>
      <c r="C577" s="15"/>
      <c r="D577" s="15"/>
      <c r="E577" s="15" t="s">
        <v>690</v>
      </c>
      <c r="F577" s="15" t="s">
        <v>33</v>
      </c>
      <c r="G577" s="102">
        <f>'прил 5'!G148</f>
        <v>1157335</v>
      </c>
      <c r="H577" s="74">
        <f>'прил 5'!H148</f>
        <v>1157334.95</v>
      </c>
      <c r="I577" s="74">
        <f>'прил 5'!I148</f>
        <v>1157334.95</v>
      </c>
      <c r="J577" s="151">
        <v>7890673</v>
      </c>
    </row>
    <row r="578" spans="1:10" ht="25.5">
      <c r="A578" s="16" t="s">
        <v>29</v>
      </c>
      <c r="B578" s="14">
        <v>757</v>
      </c>
      <c r="C578" s="15" t="s">
        <v>26</v>
      </c>
      <c r="D578" s="15" t="s">
        <v>28</v>
      </c>
      <c r="E578" s="15" t="s">
        <v>201</v>
      </c>
      <c r="F578" s="15"/>
      <c r="G578" s="102">
        <f t="shared" ref="G578:I579" si="141">G579</f>
        <v>24516076.399999999</v>
      </c>
      <c r="H578" s="74">
        <f t="shared" si="141"/>
        <v>24615233</v>
      </c>
      <c r="I578" s="74">
        <f t="shared" si="141"/>
        <v>25439787.789999999</v>
      </c>
      <c r="J578" s="2">
        <v>435600</v>
      </c>
    </row>
    <row r="579" spans="1:10" ht="25.5">
      <c r="A579" s="16" t="s">
        <v>30</v>
      </c>
      <c r="B579" s="14">
        <v>757</v>
      </c>
      <c r="C579" s="15" t="s">
        <v>26</v>
      </c>
      <c r="D579" s="15" t="s">
        <v>28</v>
      </c>
      <c r="E579" s="15" t="s">
        <v>201</v>
      </c>
      <c r="F579" s="15" t="s">
        <v>31</v>
      </c>
      <c r="G579" s="102">
        <f t="shared" si="141"/>
        <v>24516076.399999999</v>
      </c>
      <c r="H579" s="74">
        <f t="shared" si="141"/>
        <v>24615233</v>
      </c>
      <c r="I579" s="74">
        <f t="shared" si="141"/>
        <v>25439787.789999999</v>
      </c>
      <c r="J579" s="2">
        <v>300</v>
      </c>
    </row>
    <row r="580" spans="1:10" ht="19.5" customHeight="1">
      <c r="A580" s="16" t="s">
        <v>32</v>
      </c>
      <c r="B580" s="14">
        <v>757</v>
      </c>
      <c r="C580" s="15" t="s">
        <v>26</v>
      </c>
      <c r="D580" s="15" t="s">
        <v>28</v>
      </c>
      <c r="E580" s="15" t="s">
        <v>201</v>
      </c>
      <c r="F580" s="15" t="s">
        <v>33</v>
      </c>
      <c r="G580" s="102">
        <f>'прил 5'!G39</f>
        <v>24516076.399999999</v>
      </c>
      <c r="H580" s="74">
        <f>'прил 5'!H39</f>
        <v>24615233</v>
      </c>
      <c r="I580" s="74">
        <f>'прил 5'!I39</f>
        <v>25439787.789999999</v>
      </c>
      <c r="J580" s="2">
        <f>SUM(J568:J579)</f>
        <v>139023744</v>
      </c>
    </row>
    <row r="581" spans="1:10">
      <c r="A581" s="23" t="s">
        <v>48</v>
      </c>
      <c r="B581" s="14">
        <v>757</v>
      </c>
      <c r="C581" s="15" t="s">
        <v>45</v>
      </c>
      <c r="D581" s="15" t="s">
        <v>19</v>
      </c>
      <c r="E581" s="15" t="s">
        <v>206</v>
      </c>
      <c r="F581" s="14"/>
      <c r="G581" s="89">
        <f t="shared" ref="G581:I582" si="142">G582</f>
        <v>63852600.380000003</v>
      </c>
      <c r="H581" s="8">
        <f t="shared" si="142"/>
        <v>60393991.890000001</v>
      </c>
      <c r="I581" s="8">
        <f t="shared" si="142"/>
        <v>64109409.289999999</v>
      </c>
    </row>
    <row r="582" spans="1:10" ht="25.5">
      <c r="A582" s="16" t="s">
        <v>30</v>
      </c>
      <c r="B582" s="14">
        <v>757</v>
      </c>
      <c r="C582" s="15" t="s">
        <v>45</v>
      </c>
      <c r="D582" s="15" t="s">
        <v>19</v>
      </c>
      <c r="E582" s="15" t="s">
        <v>206</v>
      </c>
      <c r="F582" s="15" t="s">
        <v>31</v>
      </c>
      <c r="G582" s="89">
        <f t="shared" si="142"/>
        <v>63852600.380000003</v>
      </c>
      <c r="H582" s="8">
        <f t="shared" si="142"/>
        <v>60393991.890000001</v>
      </c>
      <c r="I582" s="8">
        <f t="shared" si="142"/>
        <v>64109409.289999999</v>
      </c>
    </row>
    <row r="583" spans="1:10">
      <c r="A583" s="16" t="s">
        <v>32</v>
      </c>
      <c r="B583" s="14">
        <v>757</v>
      </c>
      <c r="C583" s="15" t="s">
        <v>45</v>
      </c>
      <c r="D583" s="15" t="s">
        <v>19</v>
      </c>
      <c r="E583" s="15" t="s">
        <v>206</v>
      </c>
      <c r="F583" s="15" t="s">
        <v>33</v>
      </c>
      <c r="G583" s="89">
        <f>'прил 5'!G151</f>
        <v>63852600.380000003</v>
      </c>
      <c r="H583" s="8">
        <f>'прил 5'!H151</f>
        <v>60393991.890000001</v>
      </c>
      <c r="I583" s="8">
        <f>'прил 5'!I151</f>
        <v>64109409.289999999</v>
      </c>
    </row>
    <row r="584" spans="1:10" s="3" customFormat="1" ht="15" customHeight="1">
      <c r="A584" s="24" t="s">
        <v>49</v>
      </c>
      <c r="B584" s="14">
        <v>757</v>
      </c>
      <c r="C584" s="15" t="s">
        <v>45</v>
      </c>
      <c r="D584" s="15" t="s">
        <v>19</v>
      </c>
      <c r="E584" s="15" t="s">
        <v>207</v>
      </c>
      <c r="F584" s="15"/>
      <c r="G584" s="110">
        <f>G585+G590</f>
        <v>7808141.2400000002</v>
      </c>
      <c r="H584" s="25">
        <f t="shared" ref="G584:I585" si="143">H585</f>
        <v>8198239</v>
      </c>
      <c r="I584" s="25">
        <f t="shared" si="143"/>
        <v>8214805</v>
      </c>
      <c r="J584" s="152"/>
    </row>
    <row r="585" spans="1:10" ht="25.5">
      <c r="A585" s="16" t="s">
        <v>30</v>
      </c>
      <c r="B585" s="14">
        <v>757</v>
      </c>
      <c r="C585" s="15" t="s">
        <v>45</v>
      </c>
      <c r="D585" s="15" t="s">
        <v>19</v>
      </c>
      <c r="E585" s="15" t="s">
        <v>207</v>
      </c>
      <c r="F585" s="15" t="s">
        <v>31</v>
      </c>
      <c r="G585" s="89">
        <f t="shared" si="143"/>
        <v>7808141.2400000002</v>
      </c>
      <c r="H585" s="8">
        <f t="shared" si="143"/>
        <v>8198239</v>
      </c>
      <c r="I585" s="8">
        <f t="shared" si="143"/>
        <v>8214805</v>
      </c>
    </row>
    <row r="586" spans="1:10">
      <c r="A586" s="16" t="s">
        <v>32</v>
      </c>
      <c r="B586" s="14">
        <v>757</v>
      </c>
      <c r="C586" s="15" t="s">
        <v>45</v>
      </c>
      <c r="D586" s="15" t="s">
        <v>19</v>
      </c>
      <c r="E586" s="15" t="s">
        <v>207</v>
      </c>
      <c r="F586" s="15" t="s">
        <v>33</v>
      </c>
      <c r="G586" s="89">
        <f>'прил 5'!G186</f>
        <v>7808141.2400000002</v>
      </c>
      <c r="H586" s="8">
        <f>'прил 5'!H186</f>
        <v>8198239</v>
      </c>
      <c r="I586" s="8">
        <f>'прил 5'!I186</f>
        <v>8214805</v>
      </c>
    </row>
    <row r="587" spans="1:10" s="3" customFormat="1" ht="36" hidden="1" customHeight="1">
      <c r="A587" s="208" t="s">
        <v>834</v>
      </c>
      <c r="B587" s="14">
        <v>757</v>
      </c>
      <c r="C587" s="15" t="s">
        <v>45</v>
      </c>
      <c r="D587" s="15" t="s">
        <v>19</v>
      </c>
      <c r="E587" s="15" t="s">
        <v>833</v>
      </c>
      <c r="F587" s="15"/>
      <c r="G587" s="25">
        <f>G588</f>
        <v>0</v>
      </c>
      <c r="H587" s="25">
        <f t="shared" ref="H587:I588" si="144">H588</f>
        <v>0</v>
      </c>
      <c r="I587" s="25">
        <f t="shared" si="144"/>
        <v>0</v>
      </c>
    </row>
    <row r="588" spans="1:10" s="105" customFormat="1" ht="19.5" hidden="1" customHeight="1">
      <c r="A588" s="86" t="s">
        <v>64</v>
      </c>
      <c r="B588" s="14">
        <v>757</v>
      </c>
      <c r="C588" s="15" t="s">
        <v>45</v>
      </c>
      <c r="D588" s="15" t="s">
        <v>19</v>
      </c>
      <c r="E588" s="15" t="s">
        <v>833</v>
      </c>
      <c r="F588" s="88" t="s">
        <v>65</v>
      </c>
      <c r="G588" s="102">
        <f>G589</f>
        <v>0</v>
      </c>
      <c r="H588" s="102">
        <f t="shared" si="144"/>
        <v>0</v>
      </c>
      <c r="I588" s="102">
        <f t="shared" si="144"/>
        <v>0</v>
      </c>
    </row>
    <row r="589" spans="1:10" s="105" customFormat="1" ht="18.75" hidden="1" customHeight="1">
      <c r="A589" s="86" t="s">
        <v>187</v>
      </c>
      <c r="B589" s="14">
        <v>757</v>
      </c>
      <c r="C589" s="15" t="s">
        <v>45</v>
      </c>
      <c r="D589" s="15" t="s">
        <v>19</v>
      </c>
      <c r="E589" s="15" t="s">
        <v>833</v>
      </c>
      <c r="F589" s="88" t="s">
        <v>188</v>
      </c>
      <c r="G589" s="102">
        <f>'прил 5'!G189</f>
        <v>0</v>
      </c>
      <c r="H589" s="102">
        <v>0</v>
      </c>
      <c r="I589" s="102">
        <v>0</v>
      </c>
    </row>
    <row r="590" spans="1:10" s="105" customFormat="1" ht="19.5" hidden="1" customHeight="1">
      <c r="A590" s="86" t="s">
        <v>64</v>
      </c>
      <c r="B590" s="14">
        <v>757</v>
      </c>
      <c r="C590" s="15" t="s">
        <v>45</v>
      </c>
      <c r="D590" s="15" t="s">
        <v>19</v>
      </c>
      <c r="E590" s="15" t="s">
        <v>207</v>
      </c>
      <c r="F590" s="88" t="s">
        <v>65</v>
      </c>
      <c r="G590" s="102">
        <f>G591</f>
        <v>0</v>
      </c>
      <c r="H590" s="102">
        <f t="shared" ref="H590:I590" si="145">H591</f>
        <v>0</v>
      </c>
      <c r="I590" s="102">
        <f t="shared" si="145"/>
        <v>0</v>
      </c>
    </row>
    <row r="591" spans="1:10" s="105" customFormat="1" ht="18.75" hidden="1" customHeight="1">
      <c r="A591" s="86" t="s">
        <v>339</v>
      </c>
      <c r="B591" s="14">
        <v>757</v>
      </c>
      <c r="C591" s="15" t="s">
        <v>45</v>
      </c>
      <c r="D591" s="15" t="s">
        <v>19</v>
      </c>
      <c r="E591" s="15" t="s">
        <v>207</v>
      </c>
      <c r="F591" s="88" t="s">
        <v>188</v>
      </c>
      <c r="G591" s="102"/>
      <c r="H591" s="102">
        <v>0</v>
      </c>
      <c r="I591" s="102">
        <v>0</v>
      </c>
    </row>
    <row r="592" spans="1:10" s="3" customFormat="1" ht="15" customHeight="1">
      <c r="A592" s="26" t="s">
        <v>50</v>
      </c>
      <c r="B592" s="14">
        <v>757</v>
      </c>
      <c r="C592" s="15" t="s">
        <v>45</v>
      </c>
      <c r="D592" s="15" t="s">
        <v>19</v>
      </c>
      <c r="E592" s="15" t="s">
        <v>208</v>
      </c>
      <c r="F592" s="15"/>
      <c r="G592" s="110">
        <f t="shared" ref="G592:I593" si="146">G593</f>
        <v>38656390.329999998</v>
      </c>
      <c r="H592" s="25">
        <f t="shared" si="146"/>
        <v>38500223</v>
      </c>
      <c r="I592" s="25">
        <f t="shared" si="146"/>
        <v>38589883</v>
      </c>
      <c r="J592" s="152"/>
    </row>
    <row r="593" spans="1:11" ht="25.5">
      <c r="A593" s="16" t="s">
        <v>30</v>
      </c>
      <c r="B593" s="14">
        <v>757</v>
      </c>
      <c r="C593" s="15" t="s">
        <v>45</v>
      </c>
      <c r="D593" s="15" t="s">
        <v>19</v>
      </c>
      <c r="E593" s="15" t="s">
        <v>208</v>
      </c>
      <c r="F593" s="15" t="s">
        <v>31</v>
      </c>
      <c r="G593" s="89">
        <f t="shared" si="146"/>
        <v>38656390.329999998</v>
      </c>
      <c r="H593" s="8">
        <f t="shared" si="146"/>
        <v>38500223</v>
      </c>
      <c r="I593" s="8">
        <f t="shared" si="146"/>
        <v>38589883</v>
      </c>
    </row>
    <row r="594" spans="1:11">
      <c r="A594" s="16" t="s">
        <v>32</v>
      </c>
      <c r="B594" s="14">
        <v>757</v>
      </c>
      <c r="C594" s="15" t="s">
        <v>45</v>
      </c>
      <c r="D594" s="15" t="s">
        <v>19</v>
      </c>
      <c r="E594" s="15" t="s">
        <v>208</v>
      </c>
      <c r="F594" s="15" t="s">
        <v>33</v>
      </c>
      <c r="G594" s="89">
        <f>'прил 5'!G192</f>
        <v>38656390.329999998</v>
      </c>
      <c r="H594" s="8">
        <f>'прил 5'!H192</f>
        <v>38500223</v>
      </c>
      <c r="I594" s="8">
        <f>'прил 5'!I192</f>
        <v>38589883</v>
      </c>
    </row>
    <row r="595" spans="1:11" ht="60" customHeight="1">
      <c r="A595" s="16" t="s">
        <v>694</v>
      </c>
      <c r="B595" s="14">
        <v>757</v>
      </c>
      <c r="C595" s="15" t="s">
        <v>26</v>
      </c>
      <c r="D595" s="15" t="s">
        <v>71</v>
      </c>
      <c r="E595" s="15" t="s">
        <v>695</v>
      </c>
      <c r="F595" s="15"/>
      <c r="G595" s="74">
        <f>G596</f>
        <v>0</v>
      </c>
      <c r="H595" s="74">
        <f t="shared" ref="H595:K596" si="147">H596</f>
        <v>0</v>
      </c>
      <c r="I595" s="74">
        <f t="shared" si="147"/>
        <v>300000</v>
      </c>
      <c r="J595" s="1"/>
    </row>
    <row r="596" spans="1:11" ht="60" customHeight="1">
      <c r="A596" s="16" t="s">
        <v>30</v>
      </c>
      <c r="B596" s="14">
        <v>757</v>
      </c>
      <c r="C596" s="15" t="s">
        <v>26</v>
      </c>
      <c r="D596" s="15" t="s">
        <v>71</v>
      </c>
      <c r="E596" s="15" t="s">
        <v>695</v>
      </c>
      <c r="F596" s="15" t="s">
        <v>31</v>
      </c>
      <c r="G596" s="74">
        <f>G597</f>
        <v>0</v>
      </c>
      <c r="H596" s="74">
        <f t="shared" si="147"/>
        <v>0</v>
      </c>
      <c r="I596" s="74">
        <f t="shared" si="147"/>
        <v>300000</v>
      </c>
      <c r="J596" s="74">
        <f t="shared" si="147"/>
        <v>0</v>
      </c>
      <c r="K596" s="74">
        <f t="shared" si="147"/>
        <v>0</v>
      </c>
    </row>
    <row r="597" spans="1:11" ht="60" customHeight="1">
      <c r="A597" s="16" t="s">
        <v>32</v>
      </c>
      <c r="B597" s="14">
        <v>757</v>
      </c>
      <c r="C597" s="15" t="s">
        <v>26</v>
      </c>
      <c r="D597" s="15" t="s">
        <v>71</v>
      </c>
      <c r="E597" s="15" t="s">
        <v>695</v>
      </c>
      <c r="F597" s="15" t="s">
        <v>33</v>
      </c>
      <c r="G597" s="74">
        <v>0</v>
      </c>
      <c r="H597" s="74">
        <v>0</v>
      </c>
      <c r="I597" s="74">
        <v>300000</v>
      </c>
      <c r="J597" s="1"/>
    </row>
    <row r="598" spans="1:11" ht="36" hidden="1" customHeight="1">
      <c r="A598" s="16" t="s">
        <v>565</v>
      </c>
      <c r="B598" s="14">
        <v>757</v>
      </c>
      <c r="C598" s="15" t="s">
        <v>26</v>
      </c>
      <c r="D598" s="15" t="s">
        <v>71</v>
      </c>
      <c r="E598" s="15" t="s">
        <v>566</v>
      </c>
      <c r="F598" s="15"/>
      <c r="G598" s="102">
        <f>G600</f>
        <v>0</v>
      </c>
      <c r="H598" s="8">
        <v>0</v>
      </c>
      <c r="I598" s="8">
        <v>0</v>
      </c>
      <c r="J598" s="1"/>
    </row>
    <row r="599" spans="1:11" ht="36" hidden="1" customHeight="1">
      <c r="A599" s="16" t="s">
        <v>30</v>
      </c>
      <c r="B599" s="14">
        <v>757</v>
      </c>
      <c r="C599" s="15" t="s">
        <v>26</v>
      </c>
      <c r="D599" s="15" t="s">
        <v>71</v>
      </c>
      <c r="E599" s="15" t="s">
        <v>566</v>
      </c>
      <c r="F599" s="15" t="s">
        <v>31</v>
      </c>
      <c r="G599" s="102">
        <f>G600</f>
        <v>0</v>
      </c>
      <c r="H599" s="8">
        <v>0</v>
      </c>
      <c r="I599" s="8">
        <v>0</v>
      </c>
      <c r="J599" s="1"/>
    </row>
    <row r="600" spans="1:11" ht="19.5" hidden="1" customHeight="1">
      <c r="A600" s="16" t="s">
        <v>32</v>
      </c>
      <c r="B600" s="14">
        <v>757</v>
      </c>
      <c r="C600" s="15" t="s">
        <v>26</v>
      </c>
      <c r="D600" s="15" t="s">
        <v>71</v>
      </c>
      <c r="E600" s="15" t="s">
        <v>566</v>
      </c>
      <c r="F600" s="15" t="s">
        <v>33</v>
      </c>
      <c r="G600" s="102">
        <f>'прил 5'!G45+'прил 5'!G195</f>
        <v>0</v>
      </c>
      <c r="H600" s="8">
        <v>0</v>
      </c>
      <c r="I600" s="8">
        <v>0</v>
      </c>
      <c r="J600" s="1"/>
    </row>
    <row r="601" spans="1:11" ht="48" hidden="1" customHeight="1">
      <c r="A601" s="84" t="s">
        <v>630</v>
      </c>
      <c r="B601" s="14">
        <v>757</v>
      </c>
      <c r="C601" s="15" t="s">
        <v>45</v>
      </c>
      <c r="D601" s="15" t="s">
        <v>19</v>
      </c>
      <c r="E601" s="15" t="s">
        <v>629</v>
      </c>
      <c r="F601" s="14"/>
      <c r="G601" s="102">
        <f t="shared" ref="G601:I602" si="148">G602</f>
        <v>0</v>
      </c>
      <c r="H601" s="74">
        <f t="shared" si="148"/>
        <v>0</v>
      </c>
      <c r="I601" s="74">
        <f t="shared" si="148"/>
        <v>0</v>
      </c>
      <c r="J601" s="1"/>
    </row>
    <row r="602" spans="1:11" ht="25.5" hidden="1">
      <c r="A602" s="16" t="s">
        <v>30</v>
      </c>
      <c r="B602" s="14">
        <v>757</v>
      </c>
      <c r="C602" s="15" t="s">
        <v>45</v>
      </c>
      <c r="D602" s="15" t="s">
        <v>19</v>
      </c>
      <c r="E602" s="15" t="s">
        <v>629</v>
      </c>
      <c r="F602" s="15" t="s">
        <v>31</v>
      </c>
      <c r="G602" s="110">
        <f t="shared" si="148"/>
        <v>0</v>
      </c>
      <c r="H602" s="25">
        <f t="shared" si="148"/>
        <v>0</v>
      </c>
      <c r="I602" s="25">
        <f t="shared" si="148"/>
        <v>0</v>
      </c>
      <c r="J602" s="1"/>
    </row>
    <row r="603" spans="1:11" hidden="1">
      <c r="A603" s="213" t="s">
        <v>32</v>
      </c>
      <c r="B603" s="14">
        <v>757</v>
      </c>
      <c r="C603" s="15" t="s">
        <v>45</v>
      </c>
      <c r="D603" s="15" t="s">
        <v>19</v>
      </c>
      <c r="E603" s="15" t="s">
        <v>629</v>
      </c>
      <c r="F603" s="15" t="s">
        <v>33</v>
      </c>
      <c r="G603" s="110"/>
      <c r="H603" s="25">
        <f>'прил 5'!H145</f>
        <v>0</v>
      </c>
      <c r="I603" s="25"/>
      <c r="J603" s="1"/>
    </row>
    <row r="604" spans="1:11" ht="31.5" customHeight="1">
      <c r="A604" s="211" t="s">
        <v>859</v>
      </c>
      <c r="B604" s="14">
        <v>757</v>
      </c>
      <c r="C604" s="15" t="s">
        <v>45</v>
      </c>
      <c r="D604" s="15" t="s">
        <v>19</v>
      </c>
      <c r="E604" s="15" t="s">
        <v>784</v>
      </c>
      <c r="F604" s="14"/>
      <c r="G604" s="8">
        <f>G605</f>
        <v>150000</v>
      </c>
      <c r="H604" s="8">
        <f t="shared" ref="H604:I604" si="149">H605</f>
        <v>0</v>
      </c>
      <c r="I604" s="8">
        <f t="shared" si="149"/>
        <v>0</v>
      </c>
      <c r="J604" s="1"/>
    </row>
    <row r="605" spans="1:11" ht="49.5" customHeight="1">
      <c r="A605" s="86" t="s">
        <v>30</v>
      </c>
      <c r="B605" s="14">
        <v>757</v>
      </c>
      <c r="C605" s="15" t="s">
        <v>45</v>
      </c>
      <c r="D605" s="15" t="s">
        <v>19</v>
      </c>
      <c r="E605" s="15" t="s">
        <v>784</v>
      </c>
      <c r="F605" s="15" t="s">
        <v>31</v>
      </c>
      <c r="G605" s="8">
        <f>G606</f>
        <v>150000</v>
      </c>
      <c r="H605" s="8">
        <f>H606</f>
        <v>0</v>
      </c>
      <c r="I605" s="8">
        <f>I606</f>
        <v>0</v>
      </c>
      <c r="J605" s="1"/>
    </row>
    <row r="606" spans="1:11">
      <c r="A606" s="86" t="s">
        <v>32</v>
      </c>
      <c r="B606" s="14">
        <v>757</v>
      </c>
      <c r="C606" s="15" t="s">
        <v>45</v>
      </c>
      <c r="D606" s="15" t="s">
        <v>19</v>
      </c>
      <c r="E606" s="15" t="s">
        <v>784</v>
      </c>
      <c r="F606" s="15" t="s">
        <v>33</v>
      </c>
      <c r="G606" s="8">
        <f>'прил 5'!G174</f>
        <v>150000</v>
      </c>
      <c r="H606" s="8"/>
      <c r="I606" s="8"/>
      <c r="J606" s="1"/>
    </row>
    <row r="607" spans="1:11" ht="31.5" customHeight="1">
      <c r="A607" s="211" t="s">
        <v>789</v>
      </c>
      <c r="B607" s="14">
        <v>757</v>
      </c>
      <c r="C607" s="15" t="s">
        <v>45</v>
      </c>
      <c r="D607" s="15" t="s">
        <v>19</v>
      </c>
      <c r="E607" s="15" t="s">
        <v>783</v>
      </c>
      <c r="F607" s="14"/>
      <c r="G607" s="8">
        <f>G608</f>
        <v>137000</v>
      </c>
      <c r="H607" s="8">
        <f t="shared" ref="H607:I607" si="150">H608</f>
        <v>0</v>
      </c>
      <c r="I607" s="8">
        <f t="shared" si="150"/>
        <v>0</v>
      </c>
      <c r="J607" s="1"/>
    </row>
    <row r="608" spans="1:11" ht="49.5" customHeight="1">
      <c r="A608" s="86" t="s">
        <v>30</v>
      </c>
      <c r="B608" s="14">
        <v>757</v>
      </c>
      <c r="C608" s="15" t="s">
        <v>45</v>
      </c>
      <c r="D608" s="15" t="s">
        <v>19</v>
      </c>
      <c r="E608" s="15" t="s">
        <v>783</v>
      </c>
      <c r="F608" s="15" t="s">
        <v>31</v>
      </c>
      <c r="G608" s="8">
        <f>G609</f>
        <v>137000</v>
      </c>
      <c r="H608" s="8">
        <f>H609</f>
        <v>0</v>
      </c>
      <c r="I608" s="8">
        <f>I609</f>
        <v>0</v>
      </c>
      <c r="J608" s="1"/>
    </row>
    <row r="609" spans="1:11">
      <c r="A609" s="86" t="s">
        <v>32</v>
      </c>
      <c r="B609" s="14">
        <v>757</v>
      </c>
      <c r="C609" s="15" t="s">
        <v>45</v>
      </c>
      <c r="D609" s="15" t="s">
        <v>19</v>
      </c>
      <c r="E609" s="15" t="s">
        <v>783</v>
      </c>
      <c r="F609" s="15" t="s">
        <v>33</v>
      </c>
      <c r="G609" s="8">
        <f>'прил 5'!G177</f>
        <v>137000</v>
      </c>
      <c r="H609" s="8">
        <v>0</v>
      </c>
      <c r="I609" s="8">
        <v>0</v>
      </c>
      <c r="J609" s="1"/>
    </row>
    <row r="610" spans="1:11" ht="27.75" customHeight="1">
      <c r="A610" s="16" t="s">
        <v>786</v>
      </c>
      <c r="B610" s="14">
        <v>757</v>
      </c>
      <c r="C610" s="15" t="s">
        <v>26</v>
      </c>
      <c r="D610" s="15" t="s">
        <v>71</v>
      </c>
      <c r="E610" s="15" t="s">
        <v>785</v>
      </c>
      <c r="F610" s="15"/>
      <c r="G610" s="74">
        <f>G611</f>
        <v>193600</v>
      </c>
      <c r="H610" s="74">
        <f t="shared" ref="H610:K611" si="151">H611</f>
        <v>0</v>
      </c>
      <c r="I610" s="74">
        <f t="shared" si="151"/>
        <v>0</v>
      </c>
      <c r="J610" s="1"/>
    </row>
    <row r="611" spans="1:11" ht="45.75" customHeight="1">
      <c r="A611" s="16" t="s">
        <v>30</v>
      </c>
      <c r="B611" s="14">
        <v>757</v>
      </c>
      <c r="C611" s="15" t="s">
        <v>26</v>
      </c>
      <c r="D611" s="15" t="s">
        <v>71</v>
      </c>
      <c r="E611" s="15" t="s">
        <v>785</v>
      </c>
      <c r="F611" s="15" t="s">
        <v>31</v>
      </c>
      <c r="G611" s="74">
        <f>G612</f>
        <v>193600</v>
      </c>
      <c r="H611" s="74">
        <f t="shared" si="151"/>
        <v>0</v>
      </c>
      <c r="I611" s="74">
        <f t="shared" si="151"/>
        <v>0</v>
      </c>
      <c r="J611" s="74">
        <f t="shared" si="151"/>
        <v>0</v>
      </c>
      <c r="K611" s="74">
        <f t="shared" si="151"/>
        <v>0</v>
      </c>
    </row>
    <row r="612" spans="1:11" ht="45.75" customHeight="1">
      <c r="A612" s="16" t="s">
        <v>32</v>
      </c>
      <c r="B612" s="14">
        <v>757</v>
      </c>
      <c r="C612" s="15" t="s">
        <v>26</v>
      </c>
      <c r="D612" s="15" t="s">
        <v>71</v>
      </c>
      <c r="E612" s="15" t="s">
        <v>785</v>
      </c>
      <c r="F612" s="15" t="s">
        <v>33</v>
      </c>
      <c r="G612" s="74">
        <f>'прил 5'!G67</f>
        <v>193600</v>
      </c>
      <c r="H612" s="74">
        <v>0</v>
      </c>
      <c r="I612" s="74"/>
      <c r="J612" s="1"/>
    </row>
    <row r="613" spans="1:11" ht="54.75" customHeight="1">
      <c r="A613" s="211" t="s">
        <v>788</v>
      </c>
      <c r="B613" s="14">
        <v>757</v>
      </c>
      <c r="C613" s="15" t="s">
        <v>45</v>
      </c>
      <c r="D613" s="15" t="s">
        <v>19</v>
      </c>
      <c r="E613" s="15" t="s">
        <v>787</v>
      </c>
      <c r="F613" s="14"/>
      <c r="G613" s="8">
        <f>G614</f>
        <v>10000</v>
      </c>
      <c r="H613" s="8">
        <f t="shared" ref="H613:I613" si="152">H614</f>
        <v>0</v>
      </c>
      <c r="I613" s="8">
        <f t="shared" si="152"/>
        <v>0</v>
      </c>
      <c r="J613" s="1"/>
    </row>
    <row r="614" spans="1:11" ht="49.5" customHeight="1">
      <c r="A614" s="86" t="s">
        <v>30</v>
      </c>
      <c r="B614" s="14">
        <v>757</v>
      </c>
      <c r="C614" s="15" t="s">
        <v>45</v>
      </c>
      <c r="D614" s="15" t="s">
        <v>19</v>
      </c>
      <c r="E614" s="15" t="s">
        <v>787</v>
      </c>
      <c r="F614" s="15" t="s">
        <v>31</v>
      </c>
      <c r="G614" s="8">
        <f>G615</f>
        <v>10000</v>
      </c>
      <c r="H614" s="8">
        <f>H615</f>
        <v>0</v>
      </c>
      <c r="I614" s="8">
        <f>I615</f>
        <v>0</v>
      </c>
      <c r="J614" s="1"/>
    </row>
    <row r="615" spans="1:11">
      <c r="A615" s="86" t="s">
        <v>32</v>
      </c>
      <c r="B615" s="14">
        <v>757</v>
      </c>
      <c r="C615" s="15" t="s">
        <v>45</v>
      </c>
      <c r="D615" s="15" t="s">
        <v>19</v>
      </c>
      <c r="E615" s="15" t="s">
        <v>787</v>
      </c>
      <c r="F615" s="15" t="s">
        <v>33</v>
      </c>
      <c r="G615" s="8">
        <f>'прил 5'!G180</f>
        <v>10000</v>
      </c>
      <c r="H615" s="8">
        <v>0</v>
      </c>
      <c r="I615" s="8">
        <v>0</v>
      </c>
      <c r="J615" s="1"/>
    </row>
    <row r="616" spans="1:11" ht="54.75" customHeight="1">
      <c r="A616" s="211" t="s">
        <v>824</v>
      </c>
      <c r="B616" s="14">
        <v>757</v>
      </c>
      <c r="C616" s="15" t="s">
        <v>45</v>
      </c>
      <c r="D616" s="15" t="s">
        <v>19</v>
      </c>
      <c r="E616" s="15" t="s">
        <v>823</v>
      </c>
      <c r="F616" s="14"/>
      <c r="G616" s="8">
        <f>G617</f>
        <v>168817</v>
      </c>
      <c r="H616" s="8">
        <f t="shared" ref="H616:I616" si="153">H617</f>
        <v>0</v>
      </c>
      <c r="I616" s="8">
        <f t="shared" si="153"/>
        <v>0</v>
      </c>
      <c r="J616" s="1"/>
    </row>
    <row r="617" spans="1:11" ht="49.5" customHeight="1">
      <c r="A617" s="86" t="s">
        <v>30</v>
      </c>
      <c r="B617" s="14">
        <v>757</v>
      </c>
      <c r="C617" s="15" t="s">
        <v>45</v>
      </c>
      <c r="D617" s="15" t="s">
        <v>19</v>
      </c>
      <c r="E617" s="15" t="s">
        <v>823</v>
      </c>
      <c r="F617" s="15" t="s">
        <v>31</v>
      </c>
      <c r="G617" s="8">
        <f>G618</f>
        <v>168817</v>
      </c>
      <c r="H617" s="8">
        <f>H618</f>
        <v>0</v>
      </c>
      <c r="I617" s="8">
        <f>I618</f>
        <v>0</v>
      </c>
      <c r="J617" s="1"/>
    </row>
    <row r="618" spans="1:11">
      <c r="A618" s="86" t="s">
        <v>32</v>
      </c>
      <c r="B618" s="14">
        <v>757</v>
      </c>
      <c r="C618" s="15" t="s">
        <v>45</v>
      </c>
      <c r="D618" s="15" t="s">
        <v>19</v>
      </c>
      <c r="E618" s="15" t="s">
        <v>823</v>
      </c>
      <c r="F618" s="15" t="s">
        <v>33</v>
      </c>
      <c r="G618" s="8">
        <v>168817</v>
      </c>
      <c r="H618" s="8">
        <v>0</v>
      </c>
      <c r="I618" s="8">
        <v>0</v>
      </c>
      <c r="J618" s="1"/>
    </row>
    <row r="619" spans="1:11" s="28" customFormat="1" ht="25.5">
      <c r="A619" s="13" t="s">
        <v>78</v>
      </c>
      <c r="B619" s="14">
        <v>757</v>
      </c>
      <c r="C619" s="15" t="s">
        <v>45</v>
      </c>
      <c r="D619" s="15" t="s">
        <v>55</v>
      </c>
      <c r="E619" s="15" t="s">
        <v>211</v>
      </c>
      <c r="F619" s="15"/>
      <c r="G619" s="108">
        <f>G620+G622+G624</f>
        <v>8051018.5199999996</v>
      </c>
      <c r="H619" s="29">
        <f>H620+H622+H624</f>
        <v>8354374</v>
      </c>
      <c r="I619" s="29">
        <f>I620+I622+I624</f>
        <v>8422558</v>
      </c>
      <c r="J619" s="150"/>
    </row>
    <row r="620" spans="1:11" s="32" customFormat="1" ht="51">
      <c r="A620" s="16" t="s">
        <v>56</v>
      </c>
      <c r="B620" s="14">
        <v>757</v>
      </c>
      <c r="C620" s="15" t="s">
        <v>45</v>
      </c>
      <c r="D620" s="15" t="s">
        <v>55</v>
      </c>
      <c r="E620" s="15" t="s">
        <v>211</v>
      </c>
      <c r="F620" s="15" t="s">
        <v>59</v>
      </c>
      <c r="G620" s="102">
        <f>G621</f>
        <v>7845126.5199999996</v>
      </c>
      <c r="H620" s="102">
        <f>H621</f>
        <v>8098482</v>
      </c>
      <c r="I620" s="102">
        <f>I621</f>
        <v>8166666</v>
      </c>
      <c r="J620" s="31"/>
    </row>
    <row r="621" spans="1:11" s="32" customFormat="1" ht="25.5">
      <c r="A621" s="16" t="s">
        <v>57</v>
      </c>
      <c r="B621" s="14">
        <v>757</v>
      </c>
      <c r="C621" s="15" t="s">
        <v>45</v>
      </c>
      <c r="D621" s="15" t="s">
        <v>55</v>
      </c>
      <c r="E621" s="15" t="s">
        <v>211</v>
      </c>
      <c r="F621" s="15" t="s">
        <v>60</v>
      </c>
      <c r="G621" s="102">
        <f>'прил 5'!G259</f>
        <v>7845126.5199999996</v>
      </c>
      <c r="H621" s="102">
        <f>'прил 5'!H259</f>
        <v>8098482</v>
      </c>
      <c r="I621" s="102">
        <f>'прил 5'!I259</f>
        <v>8166666</v>
      </c>
      <c r="J621" s="31"/>
    </row>
    <row r="622" spans="1:11" s="32" customFormat="1" ht="28.5" customHeight="1">
      <c r="A622" s="16" t="s">
        <v>36</v>
      </c>
      <c r="B622" s="14">
        <v>757</v>
      </c>
      <c r="C622" s="15" t="s">
        <v>45</v>
      </c>
      <c r="D622" s="15" t="s">
        <v>55</v>
      </c>
      <c r="E622" s="15" t="s">
        <v>211</v>
      </c>
      <c r="F622" s="15" t="s">
        <v>37</v>
      </c>
      <c r="G622" s="102">
        <f>G623</f>
        <v>205592</v>
      </c>
      <c r="H622" s="102">
        <f>H623</f>
        <v>255592</v>
      </c>
      <c r="I622" s="102">
        <f>I623</f>
        <v>255592</v>
      </c>
      <c r="J622" s="31"/>
    </row>
    <row r="623" spans="1:11" s="32" customFormat="1" ht="25.5">
      <c r="A623" s="16" t="s">
        <v>38</v>
      </c>
      <c r="B623" s="14">
        <v>757</v>
      </c>
      <c r="C623" s="15" t="s">
        <v>45</v>
      </c>
      <c r="D623" s="15" t="s">
        <v>55</v>
      </c>
      <c r="E623" s="15" t="s">
        <v>211</v>
      </c>
      <c r="F623" s="15" t="s">
        <v>39</v>
      </c>
      <c r="G623" s="102">
        <f>'прил 5'!G261</f>
        <v>205592</v>
      </c>
      <c r="H623" s="102">
        <f>'прил 5'!H261</f>
        <v>255592</v>
      </c>
      <c r="I623" s="102">
        <f>'прил 5'!I261</f>
        <v>255592</v>
      </c>
      <c r="J623" s="31"/>
    </row>
    <row r="624" spans="1:11" s="32" customFormat="1">
      <c r="A624" s="16" t="s">
        <v>64</v>
      </c>
      <c r="B624" s="14"/>
      <c r="C624" s="15"/>
      <c r="D624" s="15"/>
      <c r="E624" s="15" t="s">
        <v>211</v>
      </c>
      <c r="F624" s="15" t="s">
        <v>65</v>
      </c>
      <c r="G624" s="102">
        <f>G625</f>
        <v>300</v>
      </c>
      <c r="H624" s="102">
        <f>H625</f>
        <v>300</v>
      </c>
      <c r="I624" s="102">
        <f>I625</f>
        <v>300</v>
      </c>
      <c r="J624" s="31"/>
    </row>
    <row r="625" spans="1:10">
      <c r="A625" s="16" t="s">
        <v>67</v>
      </c>
      <c r="B625" s="14">
        <v>757</v>
      </c>
      <c r="C625" s="15" t="s">
        <v>45</v>
      </c>
      <c r="D625" s="15" t="s">
        <v>55</v>
      </c>
      <c r="E625" s="15" t="s">
        <v>211</v>
      </c>
      <c r="F625" s="15" t="s">
        <v>68</v>
      </c>
      <c r="G625" s="109">
        <f>'прил 5'!G263</f>
        <v>300</v>
      </c>
      <c r="H625" s="109">
        <f>'прил 5'!H263</f>
        <v>300</v>
      </c>
      <c r="I625" s="109">
        <f>'прил 5'!I263</f>
        <v>300</v>
      </c>
    </row>
    <row r="626" spans="1:10" ht="76.5" hidden="1">
      <c r="A626" s="16" t="s">
        <v>406</v>
      </c>
      <c r="B626" s="14">
        <v>757</v>
      </c>
      <c r="C626" s="15" t="s">
        <v>45</v>
      </c>
      <c r="D626" s="15" t="s">
        <v>19</v>
      </c>
      <c r="E626" s="15" t="s">
        <v>405</v>
      </c>
      <c r="F626" s="15"/>
      <c r="G626" s="89">
        <f>G627</f>
        <v>0</v>
      </c>
      <c r="H626" s="89">
        <f>H627</f>
        <v>0</v>
      </c>
      <c r="I626" s="89">
        <f>I627</f>
        <v>0</v>
      </c>
    </row>
    <row r="627" spans="1:10" hidden="1">
      <c r="A627" s="16" t="s">
        <v>32</v>
      </c>
      <c r="B627" s="14">
        <v>757</v>
      </c>
      <c r="C627" s="15" t="s">
        <v>45</v>
      </c>
      <c r="D627" s="15" t="s">
        <v>19</v>
      </c>
      <c r="E627" s="15" t="s">
        <v>405</v>
      </c>
      <c r="F627" s="15" t="s">
        <v>33</v>
      </c>
      <c r="G627" s="89">
        <f>'прил 5'!G197</f>
        <v>0</v>
      </c>
      <c r="H627" s="89">
        <f>'прил 5'!H197</f>
        <v>0</v>
      </c>
      <c r="I627" s="89">
        <f>'прил 5'!I197</f>
        <v>0</v>
      </c>
    </row>
    <row r="628" spans="1:10" ht="45" hidden="1" customHeight="1">
      <c r="A628" s="16" t="s">
        <v>620</v>
      </c>
      <c r="B628" s="15"/>
      <c r="C628" s="15"/>
      <c r="D628" s="15"/>
      <c r="E628" s="15" t="s">
        <v>562</v>
      </c>
      <c r="F628" s="15"/>
      <c r="G628" s="102">
        <f>G629</f>
        <v>0</v>
      </c>
      <c r="H628" s="89">
        <v>0</v>
      </c>
      <c r="I628" s="89">
        <v>0</v>
      </c>
    </row>
    <row r="629" spans="1:10" ht="34.5" hidden="1" customHeight="1">
      <c r="A629" s="16" t="s">
        <v>99</v>
      </c>
      <c r="B629" s="15"/>
      <c r="C629" s="15"/>
      <c r="D629" s="15"/>
      <c r="E629" s="15" t="s">
        <v>562</v>
      </c>
      <c r="F629" s="15" t="s">
        <v>359</v>
      </c>
      <c r="G629" s="102">
        <f>G630</f>
        <v>0</v>
      </c>
      <c r="H629" s="89">
        <v>0</v>
      </c>
      <c r="I629" s="89">
        <v>0</v>
      </c>
    </row>
    <row r="630" spans="1:10" ht="68.25" hidden="1" customHeight="1">
      <c r="A630" s="50" t="s">
        <v>434</v>
      </c>
      <c r="B630" s="15"/>
      <c r="C630" s="15"/>
      <c r="D630" s="15"/>
      <c r="E630" s="15" t="s">
        <v>562</v>
      </c>
      <c r="F630" s="15" t="s">
        <v>433</v>
      </c>
      <c r="G630" s="102">
        <f>'прил 5'!G137</f>
        <v>0</v>
      </c>
      <c r="H630" s="89">
        <v>0</v>
      </c>
      <c r="I630" s="89">
        <v>0</v>
      </c>
    </row>
    <row r="631" spans="1:10" ht="49.5" hidden="1" customHeight="1">
      <c r="A631" s="50" t="s">
        <v>621</v>
      </c>
      <c r="B631" s="15"/>
      <c r="C631" s="15"/>
      <c r="D631" s="15"/>
      <c r="E631" s="15" t="s">
        <v>563</v>
      </c>
      <c r="F631" s="15"/>
      <c r="G631" s="89">
        <f>G632</f>
        <v>0</v>
      </c>
      <c r="H631" s="89">
        <v>0</v>
      </c>
      <c r="I631" s="89">
        <v>0</v>
      </c>
    </row>
    <row r="632" spans="1:10" ht="39" hidden="1" customHeight="1">
      <c r="A632" s="16" t="s">
        <v>99</v>
      </c>
      <c r="B632" s="15"/>
      <c r="C632" s="15"/>
      <c r="D632" s="15"/>
      <c r="E632" s="15" t="s">
        <v>563</v>
      </c>
      <c r="F632" s="15" t="s">
        <v>359</v>
      </c>
      <c r="G632" s="89">
        <f>G633</f>
        <v>0</v>
      </c>
      <c r="H632" s="89">
        <v>0</v>
      </c>
      <c r="I632" s="89">
        <v>0</v>
      </c>
    </row>
    <row r="633" spans="1:10" ht="50.25" hidden="1" customHeight="1">
      <c r="A633" s="50" t="s">
        <v>434</v>
      </c>
      <c r="B633" s="15"/>
      <c r="C633" s="15"/>
      <c r="D633" s="15"/>
      <c r="E633" s="15" t="s">
        <v>564</v>
      </c>
      <c r="F633" s="15" t="s">
        <v>433</v>
      </c>
      <c r="G633" s="89">
        <f>'прил 5'!G142</f>
        <v>0</v>
      </c>
      <c r="H633" s="89">
        <v>0</v>
      </c>
      <c r="I633" s="89">
        <v>0</v>
      </c>
    </row>
    <row r="634" spans="1:10" ht="29.25" customHeight="1">
      <c r="A634" s="16" t="s">
        <v>689</v>
      </c>
      <c r="B634" s="15"/>
      <c r="C634" s="15"/>
      <c r="D634" s="15"/>
      <c r="E634" s="15" t="s">
        <v>790</v>
      </c>
      <c r="F634" s="15"/>
      <c r="G634" s="89">
        <f>G635</f>
        <v>42300</v>
      </c>
      <c r="H634" s="89">
        <f t="shared" ref="H634:I635" si="154">H635</f>
        <v>0</v>
      </c>
      <c r="I634" s="89">
        <f t="shared" si="154"/>
        <v>0</v>
      </c>
    </row>
    <row r="635" spans="1:10" ht="18.75" customHeight="1">
      <c r="A635" s="50" t="s">
        <v>623</v>
      </c>
      <c r="B635" s="15"/>
      <c r="C635" s="15"/>
      <c r="D635" s="15"/>
      <c r="E635" s="15" t="s">
        <v>790</v>
      </c>
      <c r="F635" s="15" t="s">
        <v>37</v>
      </c>
      <c r="G635" s="89">
        <f>G636</f>
        <v>42300</v>
      </c>
      <c r="H635" s="89">
        <f t="shared" si="154"/>
        <v>0</v>
      </c>
      <c r="I635" s="89">
        <f t="shared" si="154"/>
        <v>0</v>
      </c>
    </row>
    <row r="636" spans="1:10" ht="27" customHeight="1">
      <c r="A636" s="50" t="s">
        <v>38</v>
      </c>
      <c r="B636" s="15"/>
      <c r="C636" s="15"/>
      <c r="D636" s="15"/>
      <c r="E636" s="15" t="s">
        <v>790</v>
      </c>
      <c r="F636" s="15" t="s">
        <v>39</v>
      </c>
      <c r="G636" s="89">
        <f>'прил 5'!G905</f>
        <v>42300</v>
      </c>
      <c r="H636" s="89">
        <f>'прил 5'!H905</f>
        <v>0</v>
      </c>
      <c r="I636" s="89">
        <f>'прил 5'!I905</f>
        <v>0</v>
      </c>
    </row>
    <row r="637" spans="1:10" ht="66" hidden="1" customHeight="1">
      <c r="A637" s="16" t="s">
        <v>561</v>
      </c>
      <c r="B637" s="14">
        <v>757</v>
      </c>
      <c r="C637" s="15" t="s">
        <v>26</v>
      </c>
      <c r="D637" s="15" t="s">
        <v>71</v>
      </c>
      <c r="E637" s="15" t="s">
        <v>649</v>
      </c>
      <c r="F637" s="15"/>
      <c r="G637" s="74">
        <f>G638</f>
        <v>0</v>
      </c>
      <c r="H637" s="74">
        <f t="shared" ref="H637:I638" si="155">H638</f>
        <v>0</v>
      </c>
      <c r="I637" s="102">
        <f t="shared" si="155"/>
        <v>0</v>
      </c>
      <c r="J637" s="1"/>
    </row>
    <row r="638" spans="1:10" ht="33.75" hidden="1" customHeight="1">
      <c r="A638" s="16" t="s">
        <v>30</v>
      </c>
      <c r="B638" s="14">
        <v>757</v>
      </c>
      <c r="C638" s="15" t="s">
        <v>26</v>
      </c>
      <c r="D638" s="15" t="s">
        <v>71</v>
      </c>
      <c r="E638" s="15" t="s">
        <v>649</v>
      </c>
      <c r="F638" s="15" t="s">
        <v>31</v>
      </c>
      <c r="G638" s="74">
        <f>G639</f>
        <v>0</v>
      </c>
      <c r="H638" s="74">
        <f t="shared" si="155"/>
        <v>0</v>
      </c>
      <c r="I638" s="102">
        <f t="shared" si="155"/>
        <v>0</v>
      </c>
      <c r="J638" s="1"/>
    </row>
    <row r="639" spans="1:10" ht="27.75" hidden="1" customHeight="1">
      <c r="A639" s="16" t="s">
        <v>32</v>
      </c>
      <c r="B639" s="14">
        <v>757</v>
      </c>
      <c r="C639" s="15" t="s">
        <v>26</v>
      </c>
      <c r="D639" s="15" t="s">
        <v>71</v>
      </c>
      <c r="E639" s="15" t="s">
        <v>649</v>
      </c>
      <c r="F639" s="15" t="s">
        <v>33</v>
      </c>
      <c r="G639" s="74"/>
      <c r="H639" s="74"/>
      <c r="I639" s="102">
        <f>'прил 5'!I48</f>
        <v>0</v>
      </c>
      <c r="J639" s="1"/>
    </row>
    <row r="640" spans="1:10" ht="18" hidden="1" customHeight="1">
      <c r="A640" s="16" t="s">
        <v>687</v>
      </c>
      <c r="B640" s="14">
        <v>793</v>
      </c>
      <c r="C640" s="15" t="s">
        <v>19</v>
      </c>
      <c r="D640" s="15" t="s">
        <v>23</v>
      </c>
      <c r="E640" s="15" t="s">
        <v>686</v>
      </c>
      <c r="F640" s="15"/>
      <c r="G640" s="74">
        <f>G641</f>
        <v>0</v>
      </c>
      <c r="H640" s="74">
        <f t="shared" ref="H640:I641" si="156">H641</f>
        <v>0</v>
      </c>
      <c r="I640" s="74">
        <f t="shared" si="156"/>
        <v>0</v>
      </c>
      <c r="J640" s="1"/>
    </row>
    <row r="641" spans="1:11" ht="19.5" hidden="1" customHeight="1">
      <c r="A641" s="16" t="s">
        <v>334</v>
      </c>
      <c r="B641" s="14">
        <v>793</v>
      </c>
      <c r="C641" s="15" t="s">
        <v>19</v>
      </c>
      <c r="D641" s="15" t="s">
        <v>23</v>
      </c>
      <c r="E641" s="15" t="s">
        <v>686</v>
      </c>
      <c r="F641" s="15" t="s">
        <v>37</v>
      </c>
      <c r="G641" s="74">
        <f>G642</f>
        <v>0</v>
      </c>
      <c r="H641" s="74">
        <f t="shared" si="156"/>
        <v>0</v>
      </c>
      <c r="I641" s="74">
        <f t="shared" si="156"/>
        <v>0</v>
      </c>
      <c r="J641" s="1"/>
    </row>
    <row r="642" spans="1:11" ht="25.5" hidden="1" customHeight="1">
      <c r="A642" s="16" t="s">
        <v>38</v>
      </c>
      <c r="B642" s="14">
        <v>793</v>
      </c>
      <c r="C642" s="15" t="s">
        <v>19</v>
      </c>
      <c r="D642" s="15" t="s">
        <v>23</v>
      </c>
      <c r="E642" s="15" t="s">
        <v>686</v>
      </c>
      <c r="F642" s="15" t="s">
        <v>39</v>
      </c>
      <c r="G642" s="74">
        <f>'прил 5'!G908</f>
        <v>0</v>
      </c>
      <c r="H642" s="74">
        <f>'прил 5'!H908</f>
        <v>0</v>
      </c>
      <c r="I642" s="74">
        <f>'прил 5'!I908</f>
        <v>0</v>
      </c>
      <c r="J642" s="1"/>
    </row>
    <row r="643" spans="1:11" ht="81.75" hidden="1" customHeight="1">
      <c r="A643" s="16" t="s">
        <v>651</v>
      </c>
      <c r="B643" s="14">
        <v>757</v>
      </c>
      <c r="C643" s="15" t="s">
        <v>26</v>
      </c>
      <c r="D643" s="15" t="s">
        <v>71</v>
      </c>
      <c r="E643" s="15" t="s">
        <v>650</v>
      </c>
      <c r="F643" s="15"/>
      <c r="G643" s="74">
        <f>G644</f>
        <v>0</v>
      </c>
      <c r="H643" s="74">
        <f t="shared" ref="H643:I644" si="157">H644</f>
        <v>0</v>
      </c>
      <c r="I643" s="102">
        <f t="shared" si="157"/>
        <v>0</v>
      </c>
      <c r="J643" s="1"/>
    </row>
    <row r="644" spans="1:11" ht="47.25" hidden="1" customHeight="1">
      <c r="A644" s="16" t="s">
        <v>99</v>
      </c>
      <c r="B644" s="14">
        <v>757</v>
      </c>
      <c r="C644" s="15" t="s">
        <v>26</v>
      </c>
      <c r="D644" s="15" t="s">
        <v>71</v>
      </c>
      <c r="E644" s="15" t="s">
        <v>650</v>
      </c>
      <c r="F644" s="15" t="s">
        <v>359</v>
      </c>
      <c r="G644" s="74">
        <f>G645</f>
        <v>0</v>
      </c>
      <c r="H644" s="74">
        <f t="shared" si="157"/>
        <v>0</v>
      </c>
      <c r="I644" s="74">
        <f t="shared" si="157"/>
        <v>0</v>
      </c>
      <c r="J644" s="1"/>
    </row>
    <row r="645" spans="1:11" ht="98.25" hidden="1" customHeight="1">
      <c r="A645" s="50" t="s">
        <v>434</v>
      </c>
      <c r="B645" s="14">
        <v>757</v>
      </c>
      <c r="C645" s="15" t="s">
        <v>26</v>
      </c>
      <c r="D645" s="15" t="s">
        <v>71</v>
      </c>
      <c r="E645" s="15" t="s">
        <v>650</v>
      </c>
      <c r="F645" s="15" t="s">
        <v>433</v>
      </c>
      <c r="G645" s="74"/>
      <c r="H645" s="74">
        <v>0</v>
      </c>
      <c r="I645" s="74"/>
      <c r="J645" s="1"/>
    </row>
    <row r="646" spans="1:11" ht="19.5" hidden="1" customHeight="1">
      <c r="A646" s="16" t="s">
        <v>404</v>
      </c>
      <c r="B646" s="14">
        <v>757</v>
      </c>
      <c r="C646" s="15" t="s">
        <v>26</v>
      </c>
      <c r="D646" s="15" t="s">
        <v>71</v>
      </c>
      <c r="E646" s="15" t="s">
        <v>130</v>
      </c>
      <c r="F646" s="15"/>
      <c r="G646" s="102">
        <f>G647</f>
        <v>0</v>
      </c>
      <c r="H646" s="89">
        <v>0</v>
      </c>
      <c r="I646" s="89">
        <v>0</v>
      </c>
      <c r="J646" s="1"/>
    </row>
    <row r="647" spans="1:11" ht="39.75" hidden="1" customHeight="1">
      <c r="A647" s="16" t="s">
        <v>30</v>
      </c>
      <c r="B647" s="14">
        <v>757</v>
      </c>
      <c r="C647" s="15" t="s">
        <v>26</v>
      </c>
      <c r="D647" s="15" t="s">
        <v>71</v>
      </c>
      <c r="E647" s="15" t="s">
        <v>130</v>
      </c>
      <c r="F647" s="15" t="s">
        <v>31</v>
      </c>
      <c r="G647" s="102">
        <f>G648</f>
        <v>0</v>
      </c>
      <c r="H647" s="89">
        <v>0</v>
      </c>
      <c r="I647" s="89">
        <v>0</v>
      </c>
      <c r="J647" s="1"/>
    </row>
    <row r="648" spans="1:11" ht="20.25" hidden="1" customHeight="1">
      <c r="A648" s="16" t="s">
        <v>32</v>
      </c>
      <c r="B648" s="14">
        <v>757</v>
      </c>
      <c r="C648" s="15" t="s">
        <v>26</v>
      </c>
      <c r="D648" s="15" t="s">
        <v>71</v>
      </c>
      <c r="E648" s="15" t="s">
        <v>130</v>
      </c>
      <c r="F648" s="15" t="s">
        <v>33</v>
      </c>
      <c r="G648" s="102">
        <f>'прил 5'!G57+'прил 5'!G200</f>
        <v>0</v>
      </c>
      <c r="H648" s="89">
        <v>0</v>
      </c>
      <c r="I648" s="89">
        <v>0</v>
      </c>
      <c r="J648" s="1"/>
    </row>
    <row r="649" spans="1:11" ht="39" hidden="1" customHeight="1">
      <c r="A649" s="16" t="s">
        <v>191</v>
      </c>
      <c r="B649" s="14">
        <v>757</v>
      </c>
      <c r="C649" s="15" t="s">
        <v>45</v>
      </c>
      <c r="D649" s="15" t="s">
        <v>19</v>
      </c>
      <c r="E649" s="15" t="s">
        <v>190</v>
      </c>
      <c r="F649" s="15"/>
      <c r="G649" s="102">
        <f>G650</f>
        <v>0</v>
      </c>
      <c r="H649" s="74">
        <f t="shared" ref="H649:I650" si="158">H650</f>
        <v>0</v>
      </c>
      <c r="I649" s="74">
        <f t="shared" si="158"/>
        <v>0</v>
      </c>
      <c r="J649" s="1"/>
    </row>
    <row r="650" spans="1:11" ht="39.75" hidden="1" customHeight="1">
      <c r="A650" s="16" t="s">
        <v>30</v>
      </c>
      <c r="B650" s="14">
        <v>757</v>
      </c>
      <c r="C650" s="15" t="s">
        <v>45</v>
      </c>
      <c r="D650" s="15" t="s">
        <v>19</v>
      </c>
      <c r="E650" s="15" t="s">
        <v>190</v>
      </c>
      <c r="F650" s="15" t="s">
        <v>31</v>
      </c>
      <c r="G650" s="102">
        <f>G651</f>
        <v>0</v>
      </c>
      <c r="H650" s="74">
        <f t="shared" si="158"/>
        <v>0</v>
      </c>
      <c r="I650" s="74">
        <f t="shared" si="158"/>
        <v>0</v>
      </c>
      <c r="J650" s="1"/>
    </row>
    <row r="651" spans="1:11" ht="20.25" hidden="1" customHeight="1">
      <c r="A651" s="16" t="s">
        <v>32</v>
      </c>
      <c r="B651" s="14">
        <v>757</v>
      </c>
      <c r="C651" s="15" t="s">
        <v>45</v>
      </c>
      <c r="D651" s="15" t="s">
        <v>19</v>
      </c>
      <c r="E651" s="15" t="s">
        <v>190</v>
      </c>
      <c r="F651" s="15" t="s">
        <v>33</v>
      </c>
      <c r="G651" s="102">
        <v>0</v>
      </c>
      <c r="H651" s="74">
        <f>'прил 5'!H203</f>
        <v>0</v>
      </c>
      <c r="I651" s="74">
        <v>0</v>
      </c>
      <c r="J651" s="1"/>
    </row>
    <row r="652" spans="1:11" ht="87.75" hidden="1" customHeight="1">
      <c r="A652" s="16" t="s">
        <v>531</v>
      </c>
      <c r="B652" s="14">
        <v>757</v>
      </c>
      <c r="C652" s="15" t="s">
        <v>26</v>
      </c>
      <c r="D652" s="15" t="s">
        <v>71</v>
      </c>
      <c r="E652" s="15" t="s">
        <v>532</v>
      </c>
      <c r="F652" s="15"/>
      <c r="G652" s="102">
        <f>G653</f>
        <v>0</v>
      </c>
      <c r="H652" s="74">
        <f t="shared" ref="H652:K653" si="159">H653</f>
        <v>0</v>
      </c>
      <c r="I652" s="74">
        <f t="shared" si="159"/>
        <v>0</v>
      </c>
      <c r="J652" s="1"/>
    </row>
    <row r="653" spans="1:11" ht="45" hidden="1" customHeight="1">
      <c r="A653" s="16" t="s">
        <v>30</v>
      </c>
      <c r="B653" s="14">
        <v>757</v>
      </c>
      <c r="C653" s="15" t="s">
        <v>26</v>
      </c>
      <c r="D653" s="15" t="s">
        <v>71</v>
      </c>
      <c r="E653" s="15" t="s">
        <v>532</v>
      </c>
      <c r="F653" s="15" t="s">
        <v>31</v>
      </c>
      <c r="G653" s="102">
        <f>G654</f>
        <v>0</v>
      </c>
      <c r="H653" s="74">
        <f t="shared" si="159"/>
        <v>0</v>
      </c>
      <c r="I653" s="74">
        <f t="shared" si="159"/>
        <v>0</v>
      </c>
      <c r="J653" s="74">
        <f t="shared" si="159"/>
        <v>0</v>
      </c>
      <c r="K653" s="74">
        <f t="shared" si="159"/>
        <v>0</v>
      </c>
    </row>
    <row r="654" spans="1:11" ht="19.5" hidden="1" customHeight="1">
      <c r="A654" s="16" t="s">
        <v>32</v>
      </c>
      <c r="B654" s="14">
        <v>757</v>
      </c>
      <c r="C654" s="15" t="s">
        <v>26</v>
      </c>
      <c r="D654" s="15" t="s">
        <v>71</v>
      </c>
      <c r="E654" s="15" t="s">
        <v>532</v>
      </c>
      <c r="F654" s="15" t="s">
        <v>33</v>
      </c>
      <c r="G654" s="102">
        <v>0</v>
      </c>
      <c r="H654" s="74">
        <f>'прил 5'!H60</f>
        <v>0</v>
      </c>
      <c r="I654" s="74">
        <v>0</v>
      </c>
      <c r="J654" s="1"/>
    </row>
    <row r="655" spans="1:11" ht="36" hidden="1" customHeight="1">
      <c r="A655" s="16" t="s">
        <v>544</v>
      </c>
      <c r="B655" s="14">
        <v>757</v>
      </c>
      <c r="C655" s="15" t="s">
        <v>45</v>
      </c>
      <c r="D655" s="15" t="s">
        <v>19</v>
      </c>
      <c r="E655" s="15" t="s">
        <v>543</v>
      </c>
      <c r="F655" s="15"/>
      <c r="G655" s="102">
        <f>G656</f>
        <v>0</v>
      </c>
      <c r="H655" s="74">
        <f t="shared" ref="H655:K656" si="160">H656</f>
        <v>0</v>
      </c>
      <c r="I655" s="74">
        <f t="shared" si="160"/>
        <v>0</v>
      </c>
      <c r="J655" s="1"/>
    </row>
    <row r="656" spans="1:11" ht="45" hidden="1" customHeight="1">
      <c r="A656" s="16" t="s">
        <v>30</v>
      </c>
      <c r="B656" s="14">
        <v>757</v>
      </c>
      <c r="C656" s="15" t="s">
        <v>45</v>
      </c>
      <c r="D656" s="15" t="s">
        <v>19</v>
      </c>
      <c r="E656" s="15" t="s">
        <v>543</v>
      </c>
      <c r="F656" s="15" t="s">
        <v>31</v>
      </c>
      <c r="G656" s="102">
        <f>G657</f>
        <v>0</v>
      </c>
      <c r="H656" s="74">
        <f t="shared" si="160"/>
        <v>0</v>
      </c>
      <c r="I656" s="74">
        <f t="shared" si="160"/>
        <v>0</v>
      </c>
      <c r="J656" s="74">
        <f t="shared" si="160"/>
        <v>0</v>
      </c>
      <c r="K656" s="74">
        <f t="shared" si="160"/>
        <v>0</v>
      </c>
    </row>
    <row r="657" spans="1:10" ht="19.5" hidden="1" customHeight="1">
      <c r="A657" s="16" t="s">
        <v>32</v>
      </c>
      <c r="B657" s="14">
        <v>757</v>
      </c>
      <c r="C657" s="15" t="s">
        <v>45</v>
      </c>
      <c r="D657" s="15" t="s">
        <v>19</v>
      </c>
      <c r="E657" s="15" t="s">
        <v>543</v>
      </c>
      <c r="F657" s="15" t="s">
        <v>33</v>
      </c>
      <c r="G657" s="102">
        <v>0</v>
      </c>
      <c r="H657" s="74">
        <f>'прил 5'!H222</f>
        <v>0</v>
      </c>
      <c r="I657" s="74">
        <f>'прил 5'!I222</f>
        <v>0</v>
      </c>
      <c r="J657" s="1"/>
    </row>
    <row r="658" spans="1:10" ht="82.5" hidden="1" customHeight="1">
      <c r="A658" s="16" t="s">
        <v>596</v>
      </c>
      <c r="B658" s="14">
        <v>757</v>
      </c>
      <c r="C658" s="15" t="s">
        <v>45</v>
      </c>
      <c r="D658" s="15" t="s">
        <v>19</v>
      </c>
      <c r="E658" s="15" t="s">
        <v>595</v>
      </c>
      <c r="F658" s="15"/>
      <c r="G658" s="89">
        <f>G659+G664+G667+G670</f>
        <v>0</v>
      </c>
      <c r="H658" s="8">
        <f t="shared" ref="H658:I658" si="161">H659</f>
        <v>0</v>
      </c>
      <c r="I658" s="8">
        <f t="shared" si="161"/>
        <v>0</v>
      </c>
      <c r="J658" s="1"/>
    </row>
    <row r="659" spans="1:10" ht="91.5" hidden="1" customHeight="1">
      <c r="A659" s="23" t="s">
        <v>594</v>
      </c>
      <c r="B659" s="14">
        <v>757</v>
      </c>
      <c r="C659" s="15" t="s">
        <v>45</v>
      </c>
      <c r="D659" s="15" t="s">
        <v>19</v>
      </c>
      <c r="E659" s="15" t="s">
        <v>593</v>
      </c>
      <c r="F659" s="14"/>
      <c r="G659" s="89">
        <f>G660+G662</f>
        <v>0</v>
      </c>
      <c r="H659" s="89">
        <v>0</v>
      </c>
      <c r="I659" s="89">
        <v>0</v>
      </c>
      <c r="J659" s="1"/>
    </row>
    <row r="660" spans="1:10" ht="25.5" hidden="1">
      <c r="A660" s="16" t="s">
        <v>30</v>
      </c>
      <c r="B660" s="14">
        <v>757</v>
      </c>
      <c r="C660" s="15" t="s">
        <v>45</v>
      </c>
      <c r="D660" s="15" t="s">
        <v>19</v>
      </c>
      <c r="E660" s="15" t="s">
        <v>593</v>
      </c>
      <c r="F660" s="15" t="s">
        <v>31</v>
      </c>
      <c r="G660" s="89">
        <f>G661</f>
        <v>0</v>
      </c>
      <c r="H660" s="8">
        <f>H661</f>
        <v>0</v>
      </c>
      <c r="I660" s="8">
        <f>I661</f>
        <v>0</v>
      </c>
      <c r="J660" s="1"/>
    </row>
    <row r="661" spans="1:10" hidden="1">
      <c r="A661" s="16" t="s">
        <v>32</v>
      </c>
      <c r="B661" s="14">
        <v>757</v>
      </c>
      <c r="C661" s="15" t="s">
        <v>45</v>
      </c>
      <c r="D661" s="15" t="s">
        <v>19</v>
      </c>
      <c r="E661" s="15" t="s">
        <v>593</v>
      </c>
      <c r="F661" s="15" t="s">
        <v>33</v>
      </c>
      <c r="G661" s="89">
        <f>'прил 5'!G155</f>
        <v>0</v>
      </c>
      <c r="H661" s="89">
        <v>0</v>
      </c>
      <c r="I661" s="89">
        <v>0</v>
      </c>
      <c r="J661" s="1"/>
    </row>
    <row r="662" spans="1:10" hidden="1">
      <c r="A662" s="16" t="s">
        <v>163</v>
      </c>
      <c r="B662" s="14">
        <v>757</v>
      </c>
      <c r="C662" s="15" t="s">
        <v>45</v>
      </c>
      <c r="D662" s="15" t="s">
        <v>19</v>
      </c>
      <c r="E662" s="15" t="s">
        <v>593</v>
      </c>
      <c r="F662" s="15" t="s">
        <v>164</v>
      </c>
      <c r="G662" s="89">
        <f>G663</f>
        <v>0</v>
      </c>
      <c r="H662" s="89">
        <v>0</v>
      </c>
      <c r="I662" s="89">
        <v>0</v>
      </c>
      <c r="J662" s="1"/>
    </row>
    <row r="663" spans="1:10" hidden="1">
      <c r="A663" s="16" t="s">
        <v>177</v>
      </c>
      <c r="B663" s="14">
        <v>757</v>
      </c>
      <c r="C663" s="15" t="s">
        <v>45</v>
      </c>
      <c r="D663" s="15" t="s">
        <v>19</v>
      </c>
      <c r="E663" s="15" t="s">
        <v>593</v>
      </c>
      <c r="F663" s="15" t="s">
        <v>178</v>
      </c>
      <c r="G663" s="89">
        <f>'прил 5'!G157</f>
        <v>0</v>
      </c>
      <c r="H663" s="89">
        <v>0</v>
      </c>
      <c r="I663" s="89">
        <v>0</v>
      </c>
      <c r="J663" s="1"/>
    </row>
    <row r="664" spans="1:10" ht="91.5" hidden="1" customHeight="1">
      <c r="A664" s="23" t="s">
        <v>598</v>
      </c>
      <c r="B664" s="14">
        <v>757</v>
      </c>
      <c r="C664" s="15" t="s">
        <v>45</v>
      </c>
      <c r="D664" s="15" t="s">
        <v>19</v>
      </c>
      <c r="E664" s="15" t="s">
        <v>597</v>
      </c>
      <c r="F664" s="14"/>
      <c r="G664" s="89">
        <f>G665</f>
        <v>0</v>
      </c>
      <c r="H664" s="89">
        <v>0</v>
      </c>
      <c r="I664" s="89">
        <v>0</v>
      </c>
      <c r="J664" s="1"/>
    </row>
    <row r="665" spans="1:10" ht="25.5" hidden="1">
      <c r="A665" s="16" t="s">
        <v>30</v>
      </c>
      <c r="B665" s="14">
        <v>757</v>
      </c>
      <c r="C665" s="15" t="s">
        <v>45</v>
      </c>
      <c r="D665" s="15" t="s">
        <v>19</v>
      </c>
      <c r="E665" s="15" t="s">
        <v>597</v>
      </c>
      <c r="F665" s="15" t="s">
        <v>31</v>
      </c>
      <c r="G665" s="89">
        <f>G666</f>
        <v>0</v>
      </c>
      <c r="H665" s="8">
        <f>H666</f>
        <v>0</v>
      </c>
      <c r="I665" s="8">
        <f>I666</f>
        <v>0</v>
      </c>
      <c r="J665" s="1"/>
    </row>
    <row r="666" spans="1:10" hidden="1">
      <c r="A666" s="16" t="s">
        <v>32</v>
      </c>
      <c r="B666" s="14">
        <v>757</v>
      </c>
      <c r="C666" s="15" t="s">
        <v>45</v>
      </c>
      <c r="D666" s="15" t="s">
        <v>19</v>
      </c>
      <c r="E666" s="15" t="s">
        <v>597</v>
      </c>
      <c r="F666" s="15" t="s">
        <v>33</v>
      </c>
      <c r="G666" s="89">
        <f>'прил 5'!G160</f>
        <v>0</v>
      </c>
      <c r="H666" s="89">
        <v>0</v>
      </c>
      <c r="I666" s="89">
        <v>0</v>
      </c>
      <c r="J666" s="1"/>
    </row>
    <row r="667" spans="1:10" ht="91.5" hidden="1" customHeight="1">
      <c r="A667" s="23" t="s">
        <v>599</v>
      </c>
      <c r="B667" s="14">
        <v>757</v>
      </c>
      <c r="C667" s="15" t="s">
        <v>45</v>
      </c>
      <c r="D667" s="15" t="s">
        <v>19</v>
      </c>
      <c r="E667" s="15" t="s">
        <v>600</v>
      </c>
      <c r="F667" s="14"/>
      <c r="G667" s="89">
        <f>G668</f>
        <v>0</v>
      </c>
      <c r="H667" s="89">
        <v>0</v>
      </c>
      <c r="I667" s="89">
        <v>0</v>
      </c>
      <c r="J667" s="1"/>
    </row>
    <row r="668" spans="1:10" ht="25.5" hidden="1">
      <c r="A668" s="16" t="s">
        <v>30</v>
      </c>
      <c r="B668" s="14">
        <v>757</v>
      </c>
      <c r="C668" s="15" t="s">
        <v>45</v>
      </c>
      <c r="D668" s="15" t="s">
        <v>19</v>
      </c>
      <c r="E668" s="15" t="s">
        <v>600</v>
      </c>
      <c r="F668" s="15" t="s">
        <v>31</v>
      </c>
      <c r="G668" s="89">
        <f>G669</f>
        <v>0</v>
      </c>
      <c r="H668" s="8">
        <f>H669</f>
        <v>0</v>
      </c>
      <c r="I668" s="8">
        <f>I669</f>
        <v>0</v>
      </c>
      <c r="J668" s="1"/>
    </row>
    <row r="669" spans="1:10" hidden="1">
      <c r="A669" s="16" t="s">
        <v>32</v>
      </c>
      <c r="B669" s="14">
        <v>757</v>
      </c>
      <c r="C669" s="15" t="s">
        <v>45</v>
      </c>
      <c r="D669" s="15" t="s">
        <v>19</v>
      </c>
      <c r="E669" s="15" t="s">
        <v>600</v>
      </c>
      <c r="F669" s="15" t="s">
        <v>33</v>
      </c>
      <c r="G669" s="89">
        <f>'прил 5'!G163</f>
        <v>0</v>
      </c>
      <c r="H669" s="89">
        <v>0</v>
      </c>
      <c r="I669" s="89">
        <v>0</v>
      </c>
      <c r="J669" s="1"/>
    </row>
    <row r="670" spans="1:10" ht="68.25" hidden="1" customHeight="1">
      <c r="A670" s="23" t="s">
        <v>602</v>
      </c>
      <c r="B670" s="14">
        <v>757</v>
      </c>
      <c r="C670" s="15" t="s">
        <v>45</v>
      </c>
      <c r="D670" s="15" t="s">
        <v>19</v>
      </c>
      <c r="E670" s="15" t="s">
        <v>601</v>
      </c>
      <c r="F670" s="14"/>
      <c r="G670" s="89">
        <f>G673+G671</f>
        <v>0</v>
      </c>
      <c r="H670" s="89">
        <f t="shared" ref="H670:I670" si="162">H673+H671</f>
        <v>0</v>
      </c>
      <c r="I670" s="89">
        <f t="shared" si="162"/>
        <v>0</v>
      </c>
      <c r="J670" s="1"/>
    </row>
    <row r="671" spans="1:10" ht="19.5" hidden="1" customHeight="1">
      <c r="A671" s="198" t="s">
        <v>163</v>
      </c>
      <c r="B671" s="14">
        <v>757</v>
      </c>
      <c r="C671" s="15" t="s">
        <v>45</v>
      </c>
      <c r="D671" s="15" t="s">
        <v>19</v>
      </c>
      <c r="E671" s="15" t="s">
        <v>601</v>
      </c>
      <c r="F671" s="14">
        <v>500</v>
      </c>
      <c r="G671" s="89">
        <f>G672</f>
        <v>0</v>
      </c>
      <c r="H671" s="74"/>
      <c r="I671" s="74"/>
      <c r="J671" s="1"/>
    </row>
    <row r="672" spans="1:10" ht="21.75" hidden="1" customHeight="1">
      <c r="A672" s="198" t="s">
        <v>185</v>
      </c>
      <c r="B672" s="14">
        <v>757</v>
      </c>
      <c r="C672" s="15" t="s">
        <v>45</v>
      </c>
      <c r="D672" s="15" t="s">
        <v>19</v>
      </c>
      <c r="E672" s="15" t="s">
        <v>601</v>
      </c>
      <c r="F672" s="14">
        <v>520</v>
      </c>
      <c r="G672" s="89">
        <f>'прил 5'!G167</f>
        <v>0</v>
      </c>
      <c r="H672" s="74"/>
      <c r="I672" s="74"/>
      <c r="J672" s="1"/>
    </row>
    <row r="673" spans="1:11" hidden="1">
      <c r="A673" s="16" t="s">
        <v>64</v>
      </c>
      <c r="B673" s="14">
        <v>757</v>
      </c>
      <c r="C673" s="15" t="s">
        <v>45</v>
      </c>
      <c r="D673" s="15" t="s">
        <v>19</v>
      </c>
      <c r="E673" s="15" t="s">
        <v>601</v>
      </c>
      <c r="F673" s="15" t="s">
        <v>65</v>
      </c>
      <c r="G673" s="89">
        <f>G674</f>
        <v>0</v>
      </c>
      <c r="H673" s="8">
        <f>H674</f>
        <v>0</v>
      </c>
      <c r="I673" s="8">
        <f>I674</f>
        <v>0</v>
      </c>
      <c r="J673" s="1"/>
    </row>
    <row r="674" spans="1:11" hidden="1">
      <c r="A674" s="16" t="s">
        <v>187</v>
      </c>
      <c r="B674" s="14">
        <v>757</v>
      </c>
      <c r="C674" s="15" t="s">
        <v>45</v>
      </c>
      <c r="D674" s="15" t="s">
        <v>19</v>
      </c>
      <c r="E674" s="15" t="s">
        <v>601</v>
      </c>
      <c r="F674" s="15" t="s">
        <v>188</v>
      </c>
      <c r="G674" s="89">
        <f>'прил 5'!G171</f>
        <v>0</v>
      </c>
      <c r="H674" s="89">
        <v>0</v>
      </c>
      <c r="I674" s="89">
        <v>0</v>
      </c>
      <c r="J674" s="1"/>
    </row>
    <row r="675" spans="1:11" ht="84" customHeight="1">
      <c r="A675" s="16" t="s">
        <v>531</v>
      </c>
      <c r="B675" s="14">
        <v>757</v>
      </c>
      <c r="C675" s="15" t="s">
        <v>26</v>
      </c>
      <c r="D675" s="15" t="s">
        <v>71</v>
      </c>
      <c r="E675" s="15" t="s">
        <v>712</v>
      </c>
      <c r="F675" s="15"/>
      <c r="G675" s="74">
        <f>G676</f>
        <v>4116634.67</v>
      </c>
      <c r="H675" s="74">
        <v>0</v>
      </c>
      <c r="I675" s="74">
        <v>0</v>
      </c>
      <c r="J675" s="1"/>
    </row>
    <row r="676" spans="1:11" ht="60" customHeight="1">
      <c r="A676" s="16" t="s">
        <v>30</v>
      </c>
      <c r="B676" s="14">
        <v>757</v>
      </c>
      <c r="C676" s="15" t="s">
        <v>26</v>
      </c>
      <c r="D676" s="15" t="s">
        <v>71</v>
      </c>
      <c r="E676" s="15" t="s">
        <v>712</v>
      </c>
      <c r="F676" s="15" t="s">
        <v>31</v>
      </c>
      <c r="G676" s="74">
        <f>G677</f>
        <v>4116634.67</v>
      </c>
      <c r="H676" s="74">
        <v>0</v>
      </c>
      <c r="I676" s="74">
        <v>0</v>
      </c>
      <c r="J676" s="74">
        <f t="shared" ref="J676:K676" si="163">J677</f>
        <v>0</v>
      </c>
      <c r="K676" s="74">
        <f t="shared" si="163"/>
        <v>0</v>
      </c>
    </row>
    <row r="677" spans="1:11" ht="60" customHeight="1">
      <c r="A677" s="16" t="s">
        <v>32</v>
      </c>
      <c r="B677" s="14">
        <v>757</v>
      </c>
      <c r="C677" s="15" t="s">
        <v>26</v>
      </c>
      <c r="D677" s="15" t="s">
        <v>71</v>
      </c>
      <c r="E677" s="15" t="s">
        <v>712</v>
      </c>
      <c r="F677" s="15" t="s">
        <v>33</v>
      </c>
      <c r="G677" s="74">
        <v>4116634.67</v>
      </c>
      <c r="H677" s="74">
        <v>0</v>
      </c>
      <c r="I677" s="74">
        <v>0</v>
      </c>
      <c r="J677" s="1"/>
    </row>
    <row r="678" spans="1:11" ht="84" customHeight="1">
      <c r="A678" s="16" t="s">
        <v>544</v>
      </c>
      <c r="B678" s="14">
        <v>757</v>
      </c>
      <c r="C678" s="15" t="s">
        <v>45</v>
      </c>
      <c r="D678" s="15" t="s">
        <v>19</v>
      </c>
      <c r="E678" s="15" t="s">
        <v>713</v>
      </c>
      <c r="F678" s="15"/>
      <c r="G678" s="74">
        <f>G679</f>
        <v>7278474.1100000003</v>
      </c>
      <c r="H678" s="74">
        <f t="shared" ref="H678:I678" si="164">H679</f>
        <v>13429647.060000001</v>
      </c>
      <c r="I678" s="74">
        <f t="shared" si="164"/>
        <v>0</v>
      </c>
      <c r="J678" s="1"/>
    </row>
    <row r="679" spans="1:11" ht="60" customHeight="1">
      <c r="A679" s="16" t="s">
        <v>30</v>
      </c>
      <c r="B679" s="14">
        <v>757</v>
      </c>
      <c r="C679" s="15" t="s">
        <v>45</v>
      </c>
      <c r="D679" s="15" t="s">
        <v>19</v>
      </c>
      <c r="E679" s="15" t="s">
        <v>713</v>
      </c>
      <c r="F679" s="15" t="s">
        <v>31</v>
      </c>
      <c r="G679" s="74">
        <f>G680</f>
        <v>7278474.1100000003</v>
      </c>
      <c r="H679" s="74">
        <f t="shared" ref="H679:I679" si="165">H680</f>
        <v>13429647.060000001</v>
      </c>
      <c r="I679" s="74">
        <f t="shared" si="165"/>
        <v>0</v>
      </c>
      <c r="J679" s="74">
        <f t="shared" ref="J679:K679" si="166">J680</f>
        <v>0</v>
      </c>
      <c r="K679" s="74">
        <f t="shared" si="166"/>
        <v>0</v>
      </c>
    </row>
    <row r="680" spans="1:11" ht="60" customHeight="1">
      <c r="A680" s="16" t="s">
        <v>32</v>
      </c>
      <c r="B680" s="14">
        <v>757</v>
      </c>
      <c r="C680" s="15" t="s">
        <v>45</v>
      </c>
      <c r="D680" s="15" t="s">
        <v>19</v>
      </c>
      <c r="E680" s="15" t="s">
        <v>713</v>
      </c>
      <c r="F680" s="15" t="s">
        <v>33</v>
      </c>
      <c r="G680" s="74">
        <v>7278474.1100000003</v>
      </c>
      <c r="H680" s="74">
        <v>13429647.060000001</v>
      </c>
      <c r="I680" s="74">
        <v>0</v>
      </c>
      <c r="J680" s="1"/>
    </row>
    <row r="681" spans="1:11" ht="84" customHeight="1">
      <c r="A681" s="16" t="s">
        <v>717</v>
      </c>
      <c r="B681" s="14">
        <v>757</v>
      </c>
      <c r="C681" s="15" t="s">
        <v>45</v>
      </c>
      <c r="D681" s="15" t="s">
        <v>19</v>
      </c>
      <c r="E681" s="15" t="s">
        <v>716</v>
      </c>
      <c r="F681" s="15"/>
      <c r="G681" s="74">
        <f>G682</f>
        <v>0</v>
      </c>
      <c r="H681" s="74">
        <f t="shared" ref="H681:K682" si="167">H682</f>
        <v>0</v>
      </c>
      <c r="I681" s="74">
        <f t="shared" si="167"/>
        <v>5231764.71</v>
      </c>
      <c r="J681" s="1"/>
    </row>
    <row r="682" spans="1:11" ht="60" customHeight="1">
      <c r="A682" s="16" t="s">
        <v>30</v>
      </c>
      <c r="B682" s="14">
        <v>757</v>
      </c>
      <c r="C682" s="15" t="s">
        <v>45</v>
      </c>
      <c r="D682" s="15" t="s">
        <v>19</v>
      </c>
      <c r="E682" s="15" t="s">
        <v>716</v>
      </c>
      <c r="F682" s="15" t="s">
        <v>31</v>
      </c>
      <c r="G682" s="74">
        <f>G683</f>
        <v>0</v>
      </c>
      <c r="H682" s="74">
        <f t="shared" si="167"/>
        <v>0</v>
      </c>
      <c r="I682" s="74">
        <f t="shared" si="167"/>
        <v>5231764.71</v>
      </c>
      <c r="J682" s="74">
        <f t="shared" si="167"/>
        <v>0</v>
      </c>
      <c r="K682" s="74">
        <f t="shared" si="167"/>
        <v>0</v>
      </c>
    </row>
    <row r="683" spans="1:11" ht="60" customHeight="1">
      <c r="A683" s="16" t="s">
        <v>32</v>
      </c>
      <c r="B683" s="14">
        <v>757</v>
      </c>
      <c r="C683" s="15" t="s">
        <v>45</v>
      </c>
      <c r="D683" s="15" t="s">
        <v>19</v>
      </c>
      <c r="E683" s="15" t="s">
        <v>716</v>
      </c>
      <c r="F683" s="15" t="s">
        <v>33</v>
      </c>
      <c r="G683" s="74">
        <v>0</v>
      </c>
      <c r="H683" s="74">
        <v>0</v>
      </c>
      <c r="I683" s="74">
        <v>5231764.71</v>
      </c>
      <c r="J683" s="1"/>
    </row>
    <row r="684" spans="1:11" ht="84" customHeight="1">
      <c r="A684" s="16" t="s">
        <v>715</v>
      </c>
      <c r="B684" s="14">
        <v>757</v>
      </c>
      <c r="C684" s="15" t="s">
        <v>26</v>
      </c>
      <c r="D684" s="15" t="s">
        <v>71</v>
      </c>
      <c r="E684" s="15" t="s">
        <v>714</v>
      </c>
      <c r="F684" s="15"/>
      <c r="G684" s="74">
        <f>G685</f>
        <v>0</v>
      </c>
      <c r="H684" s="74">
        <f>H685</f>
        <v>14511206.98</v>
      </c>
      <c r="I684" s="74">
        <f>I685</f>
        <v>0</v>
      </c>
      <c r="J684" s="1"/>
    </row>
    <row r="685" spans="1:11" ht="60" customHeight="1">
      <c r="A685" s="16" t="s">
        <v>30</v>
      </c>
      <c r="B685" s="14">
        <v>757</v>
      </c>
      <c r="C685" s="15" t="s">
        <v>26</v>
      </c>
      <c r="D685" s="15" t="s">
        <v>71</v>
      </c>
      <c r="E685" s="15" t="s">
        <v>714</v>
      </c>
      <c r="F685" s="15" t="s">
        <v>31</v>
      </c>
      <c r="G685" s="74">
        <f>G686</f>
        <v>0</v>
      </c>
      <c r="H685" s="74">
        <f t="shared" ref="H685:K685" si="168">H686</f>
        <v>14511206.98</v>
      </c>
      <c r="I685" s="74">
        <f t="shared" si="168"/>
        <v>0</v>
      </c>
      <c r="J685" s="74">
        <f t="shared" si="168"/>
        <v>0</v>
      </c>
      <c r="K685" s="74">
        <f t="shared" si="168"/>
        <v>0</v>
      </c>
    </row>
    <row r="686" spans="1:11" ht="60" customHeight="1">
      <c r="A686" s="16" t="s">
        <v>32</v>
      </c>
      <c r="B686" s="14">
        <v>757</v>
      </c>
      <c r="C686" s="15" t="s">
        <v>26</v>
      </c>
      <c r="D686" s="15" t="s">
        <v>71</v>
      </c>
      <c r="E686" s="15" t="s">
        <v>714</v>
      </c>
      <c r="F686" s="15" t="s">
        <v>33</v>
      </c>
      <c r="G686" s="74">
        <v>0</v>
      </c>
      <c r="H686" s="74">
        <v>14511206.98</v>
      </c>
      <c r="I686" s="74">
        <v>0</v>
      </c>
      <c r="J686" s="1"/>
    </row>
    <row r="687" spans="1:11" ht="37.5" customHeight="1">
      <c r="A687" s="16" t="s">
        <v>191</v>
      </c>
      <c r="B687" s="14">
        <v>757</v>
      </c>
      <c r="C687" s="15" t="s">
        <v>45</v>
      </c>
      <c r="D687" s="15" t="s">
        <v>19</v>
      </c>
      <c r="E687" s="15" t="s">
        <v>190</v>
      </c>
      <c r="F687" s="15"/>
      <c r="G687" s="8">
        <f>G688</f>
        <v>1319392.3999999999</v>
      </c>
      <c r="H687" s="8">
        <f t="shared" ref="H687:I688" si="169">H688</f>
        <v>0</v>
      </c>
      <c r="I687" s="8">
        <f t="shared" si="169"/>
        <v>1470600</v>
      </c>
      <c r="J687" s="1"/>
    </row>
    <row r="688" spans="1:11" ht="25.5">
      <c r="A688" s="16" t="s">
        <v>30</v>
      </c>
      <c r="B688" s="14">
        <v>757</v>
      </c>
      <c r="C688" s="15" t="s">
        <v>45</v>
      </c>
      <c r="D688" s="15" t="s">
        <v>19</v>
      </c>
      <c r="E688" s="15" t="s">
        <v>190</v>
      </c>
      <c r="F688" s="15" t="s">
        <v>31</v>
      </c>
      <c r="G688" s="8">
        <f>G689</f>
        <v>1319392.3999999999</v>
      </c>
      <c r="H688" s="8">
        <f t="shared" si="169"/>
        <v>0</v>
      </c>
      <c r="I688" s="8">
        <f t="shared" si="169"/>
        <v>1470600</v>
      </c>
      <c r="J688" s="1"/>
    </row>
    <row r="689" spans="1:11">
      <c r="A689" s="16" t="s">
        <v>32</v>
      </c>
      <c r="B689" s="14">
        <v>757</v>
      </c>
      <c r="C689" s="15" t="s">
        <v>45</v>
      </c>
      <c r="D689" s="15" t="s">
        <v>19</v>
      </c>
      <c r="E689" s="15" t="s">
        <v>190</v>
      </c>
      <c r="F689" s="15" t="s">
        <v>33</v>
      </c>
      <c r="G689" s="8">
        <f>'прил 5'!G225</f>
        <v>1319392.3999999999</v>
      </c>
      <c r="H689" s="8">
        <f>'прил 5'!H225</f>
        <v>0</v>
      </c>
      <c r="I689" s="8">
        <f>'прил 5'!I225</f>
        <v>1470600</v>
      </c>
      <c r="J689" s="1"/>
    </row>
    <row r="690" spans="1:11" ht="101.25" hidden="1" customHeight="1">
      <c r="A690" s="16" t="s">
        <v>279</v>
      </c>
      <c r="B690" s="14">
        <v>757</v>
      </c>
      <c r="C690" s="15" t="s">
        <v>26</v>
      </c>
      <c r="D690" s="15" t="s">
        <v>71</v>
      </c>
      <c r="E690" s="15" t="s">
        <v>810</v>
      </c>
      <c r="F690" s="15"/>
      <c r="G690" s="74">
        <f>G691</f>
        <v>0</v>
      </c>
      <c r="H690" s="74">
        <f t="shared" ref="H690:K691" si="170">H691</f>
        <v>0</v>
      </c>
      <c r="I690" s="74">
        <f t="shared" si="170"/>
        <v>0</v>
      </c>
      <c r="J690" s="1"/>
    </row>
    <row r="691" spans="1:11" ht="47.25" hidden="1" customHeight="1">
      <c r="A691" s="16" t="s">
        <v>30</v>
      </c>
      <c r="B691" s="14">
        <v>757</v>
      </c>
      <c r="C691" s="15" t="s">
        <v>26</v>
      </c>
      <c r="D691" s="15" t="s">
        <v>71</v>
      </c>
      <c r="E691" s="15" t="s">
        <v>810</v>
      </c>
      <c r="F691" s="15" t="s">
        <v>31</v>
      </c>
      <c r="G691" s="74">
        <f>G692</f>
        <v>0</v>
      </c>
      <c r="H691" s="74">
        <f t="shared" si="170"/>
        <v>0</v>
      </c>
      <c r="I691" s="74">
        <f t="shared" si="170"/>
        <v>0</v>
      </c>
      <c r="J691" s="74">
        <f t="shared" si="170"/>
        <v>0</v>
      </c>
      <c r="K691" s="74">
        <f t="shared" si="170"/>
        <v>0</v>
      </c>
    </row>
    <row r="692" spans="1:11" ht="41.25" hidden="1" customHeight="1">
      <c r="A692" s="16" t="s">
        <v>32</v>
      </c>
      <c r="B692" s="14">
        <v>757</v>
      </c>
      <c r="C692" s="15" t="s">
        <v>26</v>
      </c>
      <c r="D692" s="15" t="s">
        <v>71</v>
      </c>
      <c r="E692" s="15" t="s">
        <v>810</v>
      </c>
      <c r="F692" s="15" t="s">
        <v>33</v>
      </c>
      <c r="G692" s="74"/>
      <c r="H692" s="74">
        <v>0</v>
      </c>
      <c r="I692" s="74"/>
      <c r="J692" s="1"/>
    </row>
    <row r="693" spans="1:11" ht="101.25" customHeight="1">
      <c r="A693" s="16" t="s">
        <v>279</v>
      </c>
      <c r="B693" s="14">
        <v>757</v>
      </c>
      <c r="C693" s="15" t="s">
        <v>26</v>
      </c>
      <c r="D693" s="15" t="s">
        <v>71</v>
      </c>
      <c r="E693" s="15" t="s">
        <v>613</v>
      </c>
      <c r="F693" s="15"/>
      <c r="G693" s="74">
        <f>G694+G697</f>
        <v>2981791.43</v>
      </c>
      <c r="H693" s="74">
        <f t="shared" ref="H693:K694" si="171">H694</f>
        <v>0</v>
      </c>
      <c r="I693" s="74">
        <f t="shared" si="171"/>
        <v>0</v>
      </c>
      <c r="J693" s="1"/>
    </row>
    <row r="694" spans="1:11" ht="47.25" customHeight="1">
      <c r="A694" s="16" t="s">
        <v>30</v>
      </c>
      <c r="B694" s="14">
        <v>757</v>
      </c>
      <c r="C694" s="15" t="s">
        <v>26</v>
      </c>
      <c r="D694" s="15" t="s">
        <v>71</v>
      </c>
      <c r="E694" s="15" t="s">
        <v>613</v>
      </c>
      <c r="F694" s="15" t="s">
        <v>31</v>
      </c>
      <c r="G694" s="74">
        <f>G695</f>
        <v>2981791.43</v>
      </c>
      <c r="H694" s="74">
        <f t="shared" si="171"/>
        <v>0</v>
      </c>
      <c r="I694" s="74">
        <f t="shared" si="171"/>
        <v>0</v>
      </c>
      <c r="J694" s="74">
        <f t="shared" si="171"/>
        <v>0</v>
      </c>
      <c r="K694" s="74">
        <f t="shared" si="171"/>
        <v>0</v>
      </c>
    </row>
    <row r="695" spans="1:11" ht="41.25" customHeight="1">
      <c r="A695" s="16" t="s">
        <v>32</v>
      </c>
      <c r="B695" s="14">
        <v>757</v>
      </c>
      <c r="C695" s="15" t="s">
        <v>26</v>
      </c>
      <c r="D695" s="15" t="s">
        <v>71</v>
      </c>
      <c r="E695" s="15" t="s">
        <v>613</v>
      </c>
      <c r="F695" s="15" t="s">
        <v>33</v>
      </c>
      <c r="G695" s="74">
        <f>'прил 5'!G73</f>
        <v>2981791.43</v>
      </c>
      <c r="H695" s="74">
        <f>'прил 5'!H73</f>
        <v>0</v>
      </c>
      <c r="I695" s="74">
        <f>'прил 5'!I73</f>
        <v>0</v>
      </c>
      <c r="J695" s="1"/>
    </row>
    <row r="696" spans="1:11" ht="47.25" hidden="1" customHeight="1">
      <c r="A696" s="86" t="s">
        <v>64</v>
      </c>
      <c r="B696" s="14">
        <v>757</v>
      </c>
      <c r="C696" s="15" t="s">
        <v>26</v>
      </c>
      <c r="D696" s="15" t="s">
        <v>71</v>
      </c>
      <c r="E696" s="15" t="s">
        <v>613</v>
      </c>
      <c r="F696" s="15" t="s">
        <v>65</v>
      </c>
      <c r="G696" s="74">
        <f>G697</f>
        <v>0</v>
      </c>
      <c r="H696" s="74">
        <f t="shared" ref="H696:K696" si="172">H697</f>
        <v>0</v>
      </c>
      <c r="I696" s="74">
        <f t="shared" si="172"/>
        <v>0</v>
      </c>
      <c r="J696" s="74">
        <f t="shared" si="172"/>
        <v>0</v>
      </c>
      <c r="K696" s="74">
        <f t="shared" si="172"/>
        <v>0</v>
      </c>
    </row>
    <row r="697" spans="1:11" ht="41.25" hidden="1" customHeight="1">
      <c r="A697" s="86" t="s">
        <v>187</v>
      </c>
      <c r="B697" s="14">
        <v>757</v>
      </c>
      <c r="C697" s="15" t="s">
        <v>26</v>
      </c>
      <c r="D697" s="15" t="s">
        <v>71</v>
      </c>
      <c r="E697" s="15" t="s">
        <v>613</v>
      </c>
      <c r="F697" s="15" t="s">
        <v>188</v>
      </c>
      <c r="G697" s="74">
        <f>'прил 5'!G75</f>
        <v>0</v>
      </c>
      <c r="H697" s="74">
        <f>'прил 5'!H75</f>
        <v>0</v>
      </c>
      <c r="I697" s="74">
        <f>'прил 5'!I75</f>
        <v>0</v>
      </c>
      <c r="J697" s="1"/>
    </row>
    <row r="698" spans="1:11" ht="84" customHeight="1">
      <c r="A698" s="16" t="s">
        <v>812</v>
      </c>
      <c r="B698" s="14">
        <v>757</v>
      </c>
      <c r="C698" s="15" t="s">
        <v>45</v>
      </c>
      <c r="D698" s="15" t="s">
        <v>19</v>
      </c>
      <c r="E698" s="15" t="s">
        <v>811</v>
      </c>
      <c r="F698" s="15"/>
      <c r="G698" s="74">
        <f>G699</f>
        <v>0</v>
      </c>
      <c r="H698" s="74">
        <f t="shared" ref="H698:K699" si="173">H699</f>
        <v>0</v>
      </c>
      <c r="I698" s="74">
        <f t="shared" si="173"/>
        <v>0</v>
      </c>
      <c r="J698" s="1"/>
    </row>
    <row r="699" spans="1:11" ht="60" customHeight="1">
      <c r="A699" s="86" t="s">
        <v>64</v>
      </c>
      <c r="B699" s="14">
        <v>757</v>
      </c>
      <c r="C699" s="15" t="s">
        <v>45</v>
      </c>
      <c r="D699" s="15" t="s">
        <v>19</v>
      </c>
      <c r="E699" s="15" t="s">
        <v>877</v>
      </c>
      <c r="F699" s="15" t="s">
        <v>65</v>
      </c>
      <c r="G699" s="74">
        <f>G700</f>
        <v>0</v>
      </c>
      <c r="H699" s="74">
        <f t="shared" si="173"/>
        <v>0</v>
      </c>
      <c r="I699" s="74">
        <f t="shared" si="173"/>
        <v>0</v>
      </c>
      <c r="J699" s="74">
        <f t="shared" si="173"/>
        <v>0</v>
      </c>
      <c r="K699" s="74">
        <f t="shared" si="173"/>
        <v>0</v>
      </c>
    </row>
    <row r="700" spans="1:11" ht="60" customHeight="1">
      <c r="A700" s="86" t="s">
        <v>187</v>
      </c>
      <c r="B700" s="14">
        <v>757</v>
      </c>
      <c r="C700" s="15" t="s">
        <v>45</v>
      </c>
      <c r="D700" s="15" t="s">
        <v>19</v>
      </c>
      <c r="E700" s="15" t="s">
        <v>811</v>
      </c>
      <c r="F700" s="15" t="s">
        <v>188</v>
      </c>
      <c r="G700" s="74">
        <f>'прил 5'!G237</f>
        <v>0</v>
      </c>
      <c r="H700" s="74">
        <v>0</v>
      </c>
      <c r="I700" s="74">
        <v>0</v>
      </c>
      <c r="J700" s="1"/>
    </row>
    <row r="701" spans="1:11" ht="84" customHeight="1">
      <c r="A701" s="16" t="s">
        <v>812</v>
      </c>
      <c r="B701" s="14">
        <v>757</v>
      </c>
      <c r="C701" s="15" t="s">
        <v>45</v>
      </c>
      <c r="D701" s="15" t="s">
        <v>19</v>
      </c>
      <c r="E701" s="15" t="s">
        <v>595</v>
      </c>
      <c r="F701" s="15"/>
      <c r="G701" s="74">
        <f>G702</f>
        <v>4349748.6100000003</v>
      </c>
      <c r="H701" s="74">
        <f t="shared" ref="H701:K702" si="174">H702</f>
        <v>0</v>
      </c>
      <c r="I701" s="74">
        <f t="shared" si="174"/>
        <v>0</v>
      </c>
      <c r="J701" s="1"/>
    </row>
    <row r="702" spans="1:11" ht="60" customHeight="1">
      <c r="A702" s="16" t="s">
        <v>30</v>
      </c>
      <c r="B702" s="14">
        <v>757</v>
      </c>
      <c r="C702" s="15" t="s">
        <v>45</v>
      </c>
      <c r="D702" s="15" t="s">
        <v>19</v>
      </c>
      <c r="E702" s="15" t="s">
        <v>595</v>
      </c>
      <c r="F702" s="15" t="s">
        <v>31</v>
      </c>
      <c r="G702" s="74">
        <f>G703</f>
        <v>4349748.6100000003</v>
      </c>
      <c r="H702" s="74">
        <f t="shared" si="174"/>
        <v>0</v>
      </c>
      <c r="I702" s="74">
        <f t="shared" si="174"/>
        <v>0</v>
      </c>
      <c r="J702" s="74">
        <f t="shared" si="174"/>
        <v>0</v>
      </c>
      <c r="K702" s="74">
        <f t="shared" si="174"/>
        <v>0</v>
      </c>
    </row>
    <row r="703" spans="1:11" ht="60" customHeight="1">
      <c r="A703" s="16" t="s">
        <v>32</v>
      </c>
      <c r="B703" s="14">
        <v>757</v>
      </c>
      <c r="C703" s="15" t="s">
        <v>45</v>
      </c>
      <c r="D703" s="15" t="s">
        <v>19</v>
      </c>
      <c r="E703" s="15" t="s">
        <v>595</v>
      </c>
      <c r="F703" s="15" t="s">
        <v>33</v>
      </c>
      <c r="G703" s="74">
        <f>'прил 5'!G240</f>
        <v>4349748.6100000003</v>
      </c>
      <c r="H703" s="74">
        <v>0</v>
      </c>
      <c r="I703" s="74">
        <v>0</v>
      </c>
      <c r="J703" s="1"/>
    </row>
    <row r="704" spans="1:11" s="145" customFormat="1" ht="36.75" customHeight="1">
      <c r="A704" s="135" t="s">
        <v>503</v>
      </c>
      <c r="B704" s="127">
        <v>757</v>
      </c>
      <c r="C704" s="128" t="s">
        <v>73</v>
      </c>
      <c r="D704" s="128" t="s">
        <v>28</v>
      </c>
      <c r="E704" s="128" t="s">
        <v>202</v>
      </c>
      <c r="F704" s="128"/>
      <c r="G704" s="129">
        <f>G705+G708+G711+G714+G717+G722</f>
        <v>3407972</v>
      </c>
      <c r="H704" s="129">
        <f t="shared" ref="H704:I704" si="175">H705+H708+H711+H714</f>
        <v>910000</v>
      </c>
      <c r="I704" s="129">
        <f t="shared" si="175"/>
        <v>962000</v>
      </c>
      <c r="J704" s="160">
        <v>18813863</v>
      </c>
    </row>
    <row r="705" spans="1:10" s="28" customFormat="1" ht="27.75" customHeight="1">
      <c r="A705" s="37" t="s">
        <v>74</v>
      </c>
      <c r="B705" s="14">
        <v>757</v>
      </c>
      <c r="C705" s="15" t="s">
        <v>73</v>
      </c>
      <c r="D705" s="15" t="s">
        <v>28</v>
      </c>
      <c r="E705" s="15" t="s">
        <v>213</v>
      </c>
      <c r="F705" s="15"/>
      <c r="G705" s="102">
        <f t="shared" ref="G705:I706" si="176">G706</f>
        <v>380000</v>
      </c>
      <c r="H705" s="102">
        <f t="shared" si="176"/>
        <v>910000</v>
      </c>
      <c r="I705" s="102">
        <f t="shared" si="176"/>
        <v>962000</v>
      </c>
      <c r="J705" s="150">
        <v>419925</v>
      </c>
    </row>
    <row r="706" spans="1:10" s="32" customFormat="1" ht="28.5" customHeight="1">
      <c r="A706" s="16" t="s">
        <v>36</v>
      </c>
      <c r="B706" s="14">
        <v>757</v>
      </c>
      <c r="C706" s="15" t="s">
        <v>73</v>
      </c>
      <c r="D706" s="15" t="s">
        <v>28</v>
      </c>
      <c r="E706" s="15" t="s">
        <v>213</v>
      </c>
      <c r="F706" s="15" t="s">
        <v>37</v>
      </c>
      <c r="G706" s="102">
        <f t="shared" si="176"/>
        <v>380000</v>
      </c>
      <c r="H706" s="102">
        <f t="shared" si="176"/>
        <v>910000</v>
      </c>
      <c r="I706" s="102">
        <f t="shared" si="176"/>
        <v>962000</v>
      </c>
      <c r="J706" s="31">
        <f>SUM(J704:J705)</f>
        <v>19233788</v>
      </c>
    </row>
    <row r="707" spans="1:10" s="32" customFormat="1" ht="25.5">
      <c r="A707" s="16" t="s">
        <v>38</v>
      </c>
      <c r="B707" s="14">
        <v>757</v>
      </c>
      <c r="C707" s="15" t="s">
        <v>73</v>
      </c>
      <c r="D707" s="15" t="s">
        <v>28</v>
      </c>
      <c r="E707" s="15" t="s">
        <v>213</v>
      </c>
      <c r="F707" s="15" t="s">
        <v>39</v>
      </c>
      <c r="G707" s="102">
        <f>'прил 5'!G296</f>
        <v>380000</v>
      </c>
      <c r="H707" s="102">
        <f>'прил 5'!H296</f>
        <v>910000</v>
      </c>
      <c r="I707" s="102">
        <f>'прил 5'!I296</f>
        <v>962000</v>
      </c>
      <c r="J707" s="31"/>
    </row>
    <row r="708" spans="1:10" ht="46.5" hidden="1" customHeight="1">
      <c r="A708" s="16" t="s">
        <v>116</v>
      </c>
      <c r="B708" s="14">
        <v>757</v>
      </c>
      <c r="C708" s="15" t="s">
        <v>26</v>
      </c>
      <c r="D708" s="15" t="s">
        <v>28</v>
      </c>
      <c r="E708" s="15" t="s">
        <v>203</v>
      </c>
      <c r="F708" s="14"/>
      <c r="G708" s="102">
        <f t="shared" ref="G708:I709" si="177">G709</f>
        <v>0</v>
      </c>
      <c r="H708" s="102">
        <f t="shared" si="177"/>
        <v>0</v>
      </c>
      <c r="I708" s="102">
        <f t="shared" si="177"/>
        <v>0</v>
      </c>
    </row>
    <row r="709" spans="1:10" ht="25.5" hidden="1">
      <c r="A709" s="16" t="s">
        <v>30</v>
      </c>
      <c r="B709" s="14">
        <v>757</v>
      </c>
      <c r="C709" s="15" t="s">
        <v>26</v>
      </c>
      <c r="D709" s="15" t="s">
        <v>28</v>
      </c>
      <c r="E709" s="15" t="s">
        <v>203</v>
      </c>
      <c r="F709" s="14">
        <v>600</v>
      </c>
      <c r="G709" s="102">
        <f t="shared" si="177"/>
        <v>0</v>
      </c>
      <c r="H709" s="102">
        <f t="shared" si="177"/>
        <v>0</v>
      </c>
      <c r="I709" s="102">
        <f t="shared" si="177"/>
        <v>0</v>
      </c>
    </row>
    <row r="710" spans="1:10" hidden="1">
      <c r="A710" s="16" t="s">
        <v>32</v>
      </c>
      <c r="B710" s="14">
        <v>757</v>
      </c>
      <c r="C710" s="15" t="s">
        <v>26</v>
      </c>
      <c r="D710" s="15" t="s">
        <v>28</v>
      </c>
      <c r="E710" s="15" t="s">
        <v>203</v>
      </c>
      <c r="F710" s="14">
        <v>610</v>
      </c>
      <c r="G710" s="74">
        <f>'прил 5'!G282</f>
        <v>0</v>
      </c>
      <c r="H710" s="74">
        <f>'прил 5'!H282</f>
        <v>0</v>
      </c>
      <c r="I710" s="74">
        <f>'прил 5'!I282</f>
        <v>0</v>
      </c>
    </row>
    <row r="711" spans="1:10" ht="36" hidden="1" customHeight="1">
      <c r="A711" s="16" t="s">
        <v>639</v>
      </c>
      <c r="B711" s="15" t="s">
        <v>97</v>
      </c>
      <c r="C711" s="15" t="s">
        <v>26</v>
      </c>
      <c r="D711" s="15" t="s">
        <v>71</v>
      </c>
      <c r="E711" s="15" t="s">
        <v>567</v>
      </c>
      <c r="F711" s="15"/>
      <c r="G711" s="74">
        <f t="shared" ref="G711:I712" si="178">G712</f>
        <v>0</v>
      </c>
      <c r="H711" s="74">
        <f t="shared" si="178"/>
        <v>0</v>
      </c>
      <c r="I711" s="74">
        <f t="shared" si="178"/>
        <v>0</v>
      </c>
      <c r="J711" s="1"/>
    </row>
    <row r="712" spans="1:10" ht="25.5" hidden="1">
      <c r="A712" s="16" t="s">
        <v>30</v>
      </c>
      <c r="B712" s="15" t="s">
        <v>97</v>
      </c>
      <c r="C712" s="15" t="s">
        <v>26</v>
      </c>
      <c r="D712" s="15" t="s">
        <v>71</v>
      </c>
      <c r="E712" s="15" t="s">
        <v>567</v>
      </c>
      <c r="F712" s="15" t="s">
        <v>31</v>
      </c>
      <c r="G712" s="74">
        <f t="shared" si="178"/>
        <v>0</v>
      </c>
      <c r="H712" s="74">
        <f t="shared" si="178"/>
        <v>0</v>
      </c>
      <c r="I712" s="74">
        <f t="shared" si="178"/>
        <v>0</v>
      </c>
      <c r="J712" s="1"/>
    </row>
    <row r="713" spans="1:10" ht="19.5" hidden="1" customHeight="1">
      <c r="A713" s="16" t="s">
        <v>32</v>
      </c>
      <c r="B713" s="15" t="s">
        <v>97</v>
      </c>
      <c r="C713" s="15" t="s">
        <v>26</v>
      </c>
      <c r="D713" s="15" t="s">
        <v>71</v>
      </c>
      <c r="E713" s="15" t="s">
        <v>567</v>
      </c>
      <c r="F713" s="15" t="s">
        <v>33</v>
      </c>
      <c r="G713" s="74">
        <f>'прил 5'!G649+'прил 5'!G284</f>
        <v>0</v>
      </c>
      <c r="H713" s="74">
        <f>'прил 5'!H649+'прил 5'!H284</f>
        <v>0</v>
      </c>
      <c r="I713" s="74">
        <f>'прил 5'!I649+'прил 5'!I284</f>
        <v>0</v>
      </c>
      <c r="J713" s="1"/>
    </row>
    <row r="714" spans="1:10" s="32" customFormat="1" ht="65.25" hidden="1" customHeight="1">
      <c r="A714" s="16" t="s">
        <v>636</v>
      </c>
      <c r="B714" s="14">
        <v>757</v>
      </c>
      <c r="C714" s="15" t="s">
        <v>73</v>
      </c>
      <c r="D714" s="15" t="s">
        <v>19</v>
      </c>
      <c r="E714" s="15" t="s">
        <v>635</v>
      </c>
      <c r="F714" s="15"/>
      <c r="G714" s="74">
        <f>G715</f>
        <v>0</v>
      </c>
      <c r="H714" s="74"/>
      <c r="I714" s="74"/>
    </row>
    <row r="715" spans="1:10" s="32" customFormat="1" ht="25.5" hidden="1" customHeight="1">
      <c r="A715" s="16" t="s">
        <v>30</v>
      </c>
      <c r="B715" s="14">
        <v>757</v>
      </c>
      <c r="C715" s="15" t="s">
        <v>73</v>
      </c>
      <c r="D715" s="15" t="s">
        <v>19</v>
      </c>
      <c r="E715" s="15" t="s">
        <v>635</v>
      </c>
      <c r="F715" s="15" t="s">
        <v>31</v>
      </c>
      <c r="G715" s="74">
        <f>G716</f>
        <v>0</v>
      </c>
      <c r="H715" s="74">
        <v>0</v>
      </c>
      <c r="I715" s="74">
        <v>0</v>
      </c>
    </row>
    <row r="716" spans="1:10" s="32" customFormat="1" ht="17.25" hidden="1" customHeight="1">
      <c r="A716" s="16" t="s">
        <v>32</v>
      </c>
      <c r="B716" s="14">
        <v>757</v>
      </c>
      <c r="C716" s="15" t="s">
        <v>73</v>
      </c>
      <c r="D716" s="15" t="s">
        <v>19</v>
      </c>
      <c r="E716" s="15" t="s">
        <v>635</v>
      </c>
      <c r="F716" s="15" t="s">
        <v>33</v>
      </c>
      <c r="G716" s="74">
        <f>'прил 5'!G287</f>
        <v>0</v>
      </c>
      <c r="H716" s="74">
        <f>'прил 5'!H287</f>
        <v>0</v>
      </c>
      <c r="I716" s="74">
        <f>'прил 5'!I287</f>
        <v>0</v>
      </c>
    </row>
    <row r="717" spans="1:10" s="28" customFormat="1" ht="27.75" hidden="1" customHeight="1">
      <c r="A717" s="37" t="s">
        <v>728</v>
      </c>
      <c r="B717" s="14">
        <v>757</v>
      </c>
      <c r="C717" s="15" t="s">
        <v>26</v>
      </c>
      <c r="D717" s="15" t="s">
        <v>71</v>
      </c>
      <c r="E717" s="15" t="s">
        <v>727</v>
      </c>
      <c r="F717" s="15"/>
      <c r="G717" s="74">
        <f>G718</f>
        <v>0</v>
      </c>
      <c r="H717" s="74">
        <f t="shared" ref="H717:I717" si="179">H718</f>
        <v>0</v>
      </c>
      <c r="I717" s="74">
        <f t="shared" si="179"/>
        <v>0</v>
      </c>
    </row>
    <row r="718" spans="1:10" s="32" customFormat="1" ht="28.5" hidden="1" customHeight="1">
      <c r="A718" s="16" t="s">
        <v>30</v>
      </c>
      <c r="B718" s="14">
        <v>757</v>
      </c>
      <c r="C718" s="15" t="s">
        <v>26</v>
      </c>
      <c r="D718" s="15" t="s">
        <v>71</v>
      </c>
      <c r="E718" s="15" t="s">
        <v>727</v>
      </c>
      <c r="F718" s="15" t="s">
        <v>31</v>
      </c>
      <c r="G718" s="74">
        <f>G719</f>
        <v>0</v>
      </c>
      <c r="H718" s="74">
        <f>H719</f>
        <v>0</v>
      </c>
      <c r="I718" s="74">
        <f>I719</f>
        <v>0</v>
      </c>
    </row>
    <row r="719" spans="1:10" s="32" customFormat="1" hidden="1">
      <c r="A719" s="16" t="s">
        <v>32</v>
      </c>
      <c r="B719" s="14">
        <v>757</v>
      </c>
      <c r="C719" s="15" t="s">
        <v>26</v>
      </c>
      <c r="D719" s="15" t="s">
        <v>71</v>
      </c>
      <c r="E719" s="15" t="s">
        <v>727</v>
      </c>
      <c r="F719" s="15" t="s">
        <v>33</v>
      </c>
      <c r="G719" s="74">
        <f>'прил 5'!G661</f>
        <v>0</v>
      </c>
      <c r="H719" s="74"/>
      <c r="I719" s="74"/>
      <c r="J719" s="31">
        <f>J723-G723</f>
        <v>280000</v>
      </c>
    </row>
    <row r="720" spans="1:10" s="28" customFormat="1" ht="27.75" customHeight="1">
      <c r="A720" s="37" t="s">
        <v>639</v>
      </c>
      <c r="B720" s="15" t="s">
        <v>97</v>
      </c>
      <c r="C720" s="15" t="s">
        <v>26</v>
      </c>
      <c r="D720" s="15" t="s">
        <v>71</v>
      </c>
      <c r="E720" s="15" t="s">
        <v>567</v>
      </c>
      <c r="F720" s="15"/>
      <c r="G720" s="74">
        <f>G721</f>
        <v>3027972</v>
      </c>
      <c r="H720" s="74">
        <f t="shared" ref="H720:I720" si="180">H721</f>
        <v>0</v>
      </c>
      <c r="I720" s="74">
        <f t="shared" si="180"/>
        <v>0</v>
      </c>
    </row>
    <row r="721" spans="1:10" s="32" customFormat="1" ht="28.5" customHeight="1">
      <c r="A721" s="16" t="s">
        <v>30</v>
      </c>
      <c r="B721" s="15" t="s">
        <v>97</v>
      </c>
      <c r="C721" s="15" t="s">
        <v>26</v>
      </c>
      <c r="D721" s="15" t="s">
        <v>71</v>
      </c>
      <c r="E721" s="15" t="s">
        <v>567</v>
      </c>
      <c r="F721" s="15" t="s">
        <v>31</v>
      </c>
      <c r="G721" s="74">
        <f>G722</f>
        <v>3027972</v>
      </c>
      <c r="H721" s="74">
        <f>H722</f>
        <v>0</v>
      </c>
      <c r="I721" s="74">
        <f>I722</f>
        <v>0</v>
      </c>
    </row>
    <row r="722" spans="1:10" s="32" customFormat="1">
      <c r="A722" s="16" t="s">
        <v>32</v>
      </c>
      <c r="B722" s="15" t="s">
        <v>97</v>
      </c>
      <c r="C722" s="15" t="s">
        <v>26</v>
      </c>
      <c r="D722" s="15" t="s">
        <v>71</v>
      </c>
      <c r="E722" s="15" t="s">
        <v>567</v>
      </c>
      <c r="F722" s="15" t="s">
        <v>33</v>
      </c>
      <c r="G722" s="74">
        <v>3027972</v>
      </c>
      <c r="H722" s="74">
        <v>0</v>
      </c>
      <c r="I722" s="74">
        <v>0</v>
      </c>
      <c r="J722" s="31">
        <f>J726-G726</f>
        <v>0</v>
      </c>
    </row>
    <row r="723" spans="1:10" s="136" customFormat="1" ht="51.75" customHeight="1">
      <c r="A723" s="131" t="s">
        <v>495</v>
      </c>
      <c r="B723" s="127">
        <v>793</v>
      </c>
      <c r="C723" s="128" t="s">
        <v>55</v>
      </c>
      <c r="D723" s="128" t="s">
        <v>90</v>
      </c>
      <c r="E723" s="127" t="s">
        <v>267</v>
      </c>
      <c r="F723" s="127"/>
      <c r="G723" s="129">
        <f>G724</f>
        <v>0</v>
      </c>
      <c r="H723" s="129">
        <f t="shared" ref="H723:I726" si="181">H724</f>
        <v>180000</v>
      </c>
      <c r="I723" s="129">
        <f t="shared" si="181"/>
        <v>180000</v>
      </c>
      <c r="J723" s="157">
        <v>280000</v>
      </c>
    </row>
    <row r="724" spans="1:10" ht="36" customHeight="1">
      <c r="A724" s="16" t="s">
        <v>118</v>
      </c>
      <c r="B724" s="14">
        <v>793</v>
      </c>
      <c r="C724" s="15" t="s">
        <v>55</v>
      </c>
      <c r="D724" s="15" t="s">
        <v>90</v>
      </c>
      <c r="E724" s="14" t="s">
        <v>267</v>
      </c>
      <c r="F724" s="14"/>
      <c r="G724" s="102">
        <f>G725</f>
        <v>0</v>
      </c>
      <c r="H724" s="102">
        <f t="shared" si="181"/>
        <v>180000</v>
      </c>
      <c r="I724" s="102">
        <f t="shared" si="181"/>
        <v>180000</v>
      </c>
    </row>
    <row r="725" spans="1:10" ht="39" customHeight="1">
      <c r="A725" s="16" t="s">
        <v>380</v>
      </c>
      <c r="B725" s="14">
        <v>793</v>
      </c>
      <c r="C725" s="15" t="s">
        <v>55</v>
      </c>
      <c r="D725" s="15" t="s">
        <v>90</v>
      </c>
      <c r="E725" s="14" t="s">
        <v>268</v>
      </c>
      <c r="F725" s="14"/>
      <c r="G725" s="102">
        <f>G726</f>
        <v>0</v>
      </c>
      <c r="H725" s="102">
        <f t="shared" si="181"/>
        <v>180000</v>
      </c>
      <c r="I725" s="102">
        <f t="shared" si="181"/>
        <v>180000</v>
      </c>
    </row>
    <row r="726" spans="1:10" ht="27.75" customHeight="1">
      <c r="A726" s="16" t="s">
        <v>334</v>
      </c>
      <c r="B726" s="14">
        <v>793</v>
      </c>
      <c r="C726" s="15" t="s">
        <v>55</v>
      </c>
      <c r="D726" s="15" t="s">
        <v>90</v>
      </c>
      <c r="E726" s="14" t="s">
        <v>268</v>
      </c>
      <c r="F726" s="14">
        <v>200</v>
      </c>
      <c r="G726" s="102">
        <f>G727</f>
        <v>0</v>
      </c>
      <c r="H726" s="102">
        <f t="shared" si="181"/>
        <v>180000</v>
      </c>
      <c r="I726" s="102">
        <f t="shared" si="181"/>
        <v>180000</v>
      </c>
    </row>
    <row r="727" spans="1:10" ht="27.75" customHeight="1">
      <c r="A727" s="16" t="s">
        <v>38</v>
      </c>
      <c r="B727" s="14">
        <v>793</v>
      </c>
      <c r="C727" s="15" t="s">
        <v>55</v>
      </c>
      <c r="D727" s="15" t="s">
        <v>90</v>
      </c>
      <c r="E727" s="14" t="s">
        <v>268</v>
      </c>
      <c r="F727" s="14">
        <v>240</v>
      </c>
      <c r="G727" s="102">
        <f>'прил 5'!G1098</f>
        <v>0</v>
      </c>
      <c r="H727" s="102">
        <f>'прил 5'!H1098</f>
        <v>180000</v>
      </c>
      <c r="I727" s="102">
        <f>'прил 5'!I1098</f>
        <v>180000</v>
      </c>
    </row>
    <row r="728" spans="1:10" s="132" customFormat="1" ht="35.25" customHeight="1">
      <c r="A728" s="131" t="s">
        <v>499</v>
      </c>
      <c r="B728" s="127">
        <v>757</v>
      </c>
      <c r="C728" s="128" t="s">
        <v>26</v>
      </c>
      <c r="D728" s="128" t="s">
        <v>26</v>
      </c>
      <c r="E728" s="128" t="s">
        <v>204</v>
      </c>
      <c r="F728" s="128"/>
      <c r="G728" s="129">
        <f>G729+G734</f>
        <v>487030</v>
      </c>
      <c r="H728" s="129">
        <f t="shared" ref="H728:I728" si="182">H729</f>
        <v>339640</v>
      </c>
      <c r="I728" s="129">
        <f t="shared" si="182"/>
        <v>343640</v>
      </c>
      <c r="J728" s="158">
        <v>30000</v>
      </c>
    </row>
    <row r="729" spans="1:10" s="18" customFormat="1">
      <c r="A729" s="16" t="s">
        <v>350</v>
      </c>
      <c r="B729" s="14">
        <v>757</v>
      </c>
      <c r="C729" s="15" t="s">
        <v>26</v>
      </c>
      <c r="D729" s="15" t="s">
        <v>26</v>
      </c>
      <c r="E729" s="15" t="s">
        <v>205</v>
      </c>
      <c r="F729" s="15"/>
      <c r="G729" s="102">
        <f>G730+G732</f>
        <v>305780</v>
      </c>
      <c r="H729" s="102">
        <f t="shared" ref="H729:I729" si="183">H730+H732</f>
        <v>339640</v>
      </c>
      <c r="I729" s="102">
        <f t="shared" si="183"/>
        <v>343640</v>
      </c>
      <c r="J729" s="17">
        <v>100000</v>
      </c>
    </row>
    <row r="730" spans="1:10" s="18" customFormat="1" ht="25.5">
      <c r="A730" s="16" t="s">
        <v>36</v>
      </c>
      <c r="B730" s="14">
        <v>757</v>
      </c>
      <c r="C730" s="15" t="s">
        <v>26</v>
      </c>
      <c r="D730" s="15" t="s">
        <v>26</v>
      </c>
      <c r="E730" s="15" t="s">
        <v>205</v>
      </c>
      <c r="F730" s="15" t="s">
        <v>37</v>
      </c>
      <c r="G730" s="102">
        <f>G731</f>
        <v>102700</v>
      </c>
      <c r="H730" s="102">
        <f>H731</f>
        <v>131950</v>
      </c>
      <c r="I730" s="102">
        <f>I731</f>
        <v>131950</v>
      </c>
      <c r="J730" s="17"/>
    </row>
    <row r="731" spans="1:10" s="18" customFormat="1" ht="25.5">
      <c r="A731" s="16" t="s">
        <v>38</v>
      </c>
      <c r="B731" s="14">
        <v>757</v>
      </c>
      <c r="C731" s="15" t="s">
        <v>26</v>
      </c>
      <c r="D731" s="15" t="s">
        <v>26</v>
      </c>
      <c r="E731" s="15" t="s">
        <v>205</v>
      </c>
      <c r="F731" s="15" t="s">
        <v>39</v>
      </c>
      <c r="G731" s="102">
        <f>'прил 5'!G115</f>
        <v>102700</v>
      </c>
      <c r="H731" s="102">
        <f>'прил 5'!H115</f>
        <v>131950</v>
      </c>
      <c r="I731" s="102">
        <f>'прил 5'!I115</f>
        <v>131950</v>
      </c>
      <c r="J731" s="17"/>
    </row>
    <row r="732" spans="1:10" s="18" customFormat="1" ht="25.5">
      <c r="A732" s="16" t="s">
        <v>30</v>
      </c>
      <c r="B732" s="15" t="s">
        <v>97</v>
      </c>
      <c r="C732" s="15" t="s">
        <v>26</v>
      </c>
      <c r="D732" s="15" t="s">
        <v>71</v>
      </c>
      <c r="E732" s="15" t="s">
        <v>205</v>
      </c>
      <c r="F732" s="15" t="s">
        <v>31</v>
      </c>
      <c r="G732" s="74">
        <f>G733</f>
        <v>203080</v>
      </c>
      <c r="H732" s="74">
        <f t="shared" ref="H732:I732" si="184">H733</f>
        <v>207690</v>
      </c>
      <c r="I732" s="74">
        <f t="shared" si="184"/>
        <v>211690</v>
      </c>
      <c r="J732" s="17"/>
    </row>
    <row r="733" spans="1:10" s="18" customFormat="1">
      <c r="A733" s="16" t="s">
        <v>32</v>
      </c>
      <c r="B733" s="15" t="s">
        <v>97</v>
      </c>
      <c r="C733" s="15" t="s">
        <v>26</v>
      </c>
      <c r="D733" s="15" t="s">
        <v>71</v>
      </c>
      <c r="E733" s="15" t="s">
        <v>205</v>
      </c>
      <c r="F733" s="15" t="s">
        <v>33</v>
      </c>
      <c r="G733" s="74">
        <f>'прил 5'!G117+'прил 5'!G713</f>
        <v>203080</v>
      </c>
      <c r="H733" s="74">
        <f>'прил 5'!H117+'прил 5'!H713</f>
        <v>207690</v>
      </c>
      <c r="I733" s="74">
        <f>'прил 5'!I117+'прил 5'!I713</f>
        <v>211690</v>
      </c>
      <c r="J733" s="17"/>
    </row>
    <row r="734" spans="1:10" s="18" customFormat="1" ht="25.5">
      <c r="A734" s="86" t="s">
        <v>308</v>
      </c>
      <c r="B734" s="14">
        <v>757</v>
      </c>
      <c r="C734" s="15" t="s">
        <v>26</v>
      </c>
      <c r="D734" s="15" t="s">
        <v>26</v>
      </c>
      <c r="E734" s="15" t="s">
        <v>842</v>
      </c>
      <c r="F734" s="15"/>
      <c r="G734" s="102">
        <f>G735</f>
        <v>181250</v>
      </c>
      <c r="H734" s="74"/>
      <c r="I734" s="74"/>
    </row>
    <row r="735" spans="1:10" s="18" customFormat="1" ht="25.5">
      <c r="A735" s="86" t="s">
        <v>36</v>
      </c>
      <c r="B735" s="14">
        <v>757</v>
      </c>
      <c r="C735" s="15" t="s">
        <v>26</v>
      </c>
      <c r="D735" s="15" t="s">
        <v>26</v>
      </c>
      <c r="E735" s="15" t="s">
        <v>842</v>
      </c>
      <c r="F735" s="15" t="s">
        <v>37</v>
      </c>
      <c r="G735" s="102">
        <f>G736</f>
        <v>181250</v>
      </c>
      <c r="H735" s="74"/>
      <c r="I735" s="74"/>
    </row>
    <row r="736" spans="1:10" s="18" customFormat="1" ht="25.5">
      <c r="A736" s="86" t="s">
        <v>38</v>
      </c>
      <c r="B736" s="14">
        <v>757</v>
      </c>
      <c r="C736" s="15" t="s">
        <v>26</v>
      </c>
      <c r="D736" s="15" t="s">
        <v>26</v>
      </c>
      <c r="E736" s="15" t="s">
        <v>842</v>
      </c>
      <c r="F736" s="15" t="s">
        <v>39</v>
      </c>
      <c r="G736" s="74">
        <f>'прил 5'!G120</f>
        <v>181250</v>
      </c>
      <c r="H736" s="74"/>
      <c r="I736" s="74"/>
    </row>
    <row r="737" spans="1:15" s="136" customFormat="1" ht="51">
      <c r="A737" s="131" t="s">
        <v>490</v>
      </c>
      <c r="B737" s="127">
        <v>793</v>
      </c>
      <c r="C737" s="128" t="s">
        <v>71</v>
      </c>
      <c r="D737" s="128" t="s">
        <v>319</v>
      </c>
      <c r="E737" s="128" t="s">
        <v>262</v>
      </c>
      <c r="F737" s="128"/>
      <c r="G737" s="129">
        <f>G738+G741+G744</f>
        <v>89100</v>
      </c>
      <c r="H737" s="129">
        <f t="shared" ref="H737:I737" si="185">H738+H741+H744</f>
        <v>295000</v>
      </c>
      <c r="I737" s="129">
        <f t="shared" si="185"/>
        <v>5000</v>
      </c>
      <c r="J737" s="157">
        <v>100000</v>
      </c>
    </row>
    <row r="738" spans="1:15" ht="63.75">
      <c r="A738" s="16" t="s">
        <v>540</v>
      </c>
      <c r="B738" s="14">
        <v>793</v>
      </c>
      <c r="C738" s="15" t="s">
        <v>71</v>
      </c>
      <c r="D738" s="15" t="s">
        <v>319</v>
      </c>
      <c r="E738" s="15" t="s">
        <v>263</v>
      </c>
      <c r="F738" s="15"/>
      <c r="G738" s="102">
        <f t="shared" ref="G738:I739" si="186">G739</f>
        <v>74100</v>
      </c>
      <c r="H738" s="102">
        <f t="shared" si="186"/>
        <v>200000</v>
      </c>
      <c r="I738" s="102">
        <f t="shared" si="186"/>
        <v>0</v>
      </c>
    </row>
    <row r="739" spans="1:15" ht="25.5">
      <c r="A739" s="16" t="s">
        <v>38</v>
      </c>
      <c r="B739" s="14">
        <v>793</v>
      </c>
      <c r="C739" s="15" t="s">
        <v>71</v>
      </c>
      <c r="D739" s="15" t="s">
        <v>319</v>
      </c>
      <c r="E739" s="15" t="s">
        <v>263</v>
      </c>
      <c r="F739" s="15" t="s">
        <v>37</v>
      </c>
      <c r="G739" s="102">
        <f t="shared" si="186"/>
        <v>74100</v>
      </c>
      <c r="H739" s="102">
        <f t="shared" si="186"/>
        <v>200000</v>
      </c>
      <c r="I739" s="102">
        <f t="shared" si="186"/>
        <v>0</v>
      </c>
    </row>
    <row r="740" spans="1:15" ht="33" customHeight="1">
      <c r="A740" s="16" t="s">
        <v>38</v>
      </c>
      <c r="B740" s="14">
        <v>793</v>
      </c>
      <c r="C740" s="15" t="s">
        <v>71</v>
      </c>
      <c r="D740" s="15" t="s">
        <v>319</v>
      </c>
      <c r="E740" s="15" t="s">
        <v>263</v>
      </c>
      <c r="F740" s="15" t="s">
        <v>39</v>
      </c>
      <c r="G740" s="102">
        <f>'прил 5'!G1015</f>
        <v>74100</v>
      </c>
      <c r="H740" s="102">
        <f>'прил 5'!H1015</f>
        <v>200000</v>
      </c>
      <c r="I740" s="102">
        <f>'прил 5'!I1015</f>
        <v>0</v>
      </c>
    </row>
    <row r="741" spans="1:15" ht="38.25">
      <c r="A741" s="16" t="s">
        <v>430</v>
      </c>
      <c r="B741" s="14">
        <v>793</v>
      </c>
      <c r="C741" s="15" t="s">
        <v>71</v>
      </c>
      <c r="D741" s="15" t="s">
        <v>319</v>
      </c>
      <c r="E741" s="15" t="s">
        <v>429</v>
      </c>
      <c r="F741" s="15"/>
      <c r="G741" s="74">
        <f>G742</f>
        <v>15000</v>
      </c>
      <c r="H741" s="74">
        <f t="shared" ref="H741:I741" si="187">H742</f>
        <v>5000</v>
      </c>
      <c r="I741" s="74">
        <f t="shared" si="187"/>
        <v>5000</v>
      </c>
      <c r="J741" s="1"/>
    </row>
    <row r="742" spans="1:15" ht="25.5">
      <c r="A742" s="16" t="s">
        <v>38</v>
      </c>
      <c r="B742" s="14">
        <v>793</v>
      </c>
      <c r="C742" s="15" t="s">
        <v>71</v>
      </c>
      <c r="D742" s="15" t="s">
        <v>319</v>
      </c>
      <c r="E742" s="15" t="s">
        <v>429</v>
      </c>
      <c r="F742" s="15" t="s">
        <v>37</v>
      </c>
      <c r="G742" s="74">
        <f>G743</f>
        <v>15000</v>
      </c>
      <c r="H742" s="74">
        <f t="shared" ref="H742:O742" si="188">H743</f>
        <v>5000</v>
      </c>
      <c r="I742" s="74">
        <f t="shared" si="188"/>
        <v>5000</v>
      </c>
      <c r="J742" s="74">
        <f t="shared" si="188"/>
        <v>0</v>
      </c>
      <c r="K742" s="74">
        <f t="shared" si="188"/>
        <v>0</v>
      </c>
      <c r="L742" s="74">
        <f t="shared" si="188"/>
        <v>0</v>
      </c>
      <c r="M742" s="74">
        <f t="shared" si="188"/>
        <v>0</v>
      </c>
      <c r="N742" s="74">
        <f t="shared" si="188"/>
        <v>0</v>
      </c>
      <c r="O742" s="74">
        <f t="shared" si="188"/>
        <v>0</v>
      </c>
    </row>
    <row r="743" spans="1:15" ht="25.5">
      <c r="A743" s="16" t="s">
        <v>38</v>
      </c>
      <c r="B743" s="14">
        <v>793</v>
      </c>
      <c r="C743" s="15" t="s">
        <v>71</v>
      </c>
      <c r="D743" s="15" t="s">
        <v>319</v>
      </c>
      <c r="E743" s="15" t="s">
        <v>429</v>
      </c>
      <c r="F743" s="15" t="s">
        <v>39</v>
      </c>
      <c r="G743" s="74">
        <f>'прил 5'!G1018</f>
        <v>15000</v>
      </c>
      <c r="H743" s="74">
        <f>'прил 5'!H1018</f>
        <v>5000</v>
      </c>
      <c r="I743" s="74">
        <f>'прил 5'!I1018</f>
        <v>5000</v>
      </c>
      <c r="J743" s="1"/>
    </row>
    <row r="744" spans="1:15" ht="46.5" customHeight="1">
      <c r="A744" s="57" t="s">
        <v>519</v>
      </c>
      <c r="B744" s="14">
        <v>793</v>
      </c>
      <c r="C744" s="15" t="s">
        <v>71</v>
      </c>
      <c r="D744" s="15" t="s">
        <v>319</v>
      </c>
      <c r="E744" s="15" t="s">
        <v>822</v>
      </c>
      <c r="F744" s="15"/>
      <c r="G744" s="74">
        <f>G745</f>
        <v>0</v>
      </c>
      <c r="H744" s="74">
        <f t="shared" ref="H744:I744" si="189">H745</f>
        <v>90000</v>
      </c>
      <c r="I744" s="74">
        <f t="shared" si="189"/>
        <v>0</v>
      </c>
      <c r="J744" s="1"/>
    </row>
    <row r="745" spans="1:15">
      <c r="A745" s="16" t="s">
        <v>334</v>
      </c>
      <c r="B745" s="14">
        <v>793</v>
      </c>
      <c r="C745" s="15" t="s">
        <v>71</v>
      </c>
      <c r="D745" s="15" t="s">
        <v>319</v>
      </c>
      <c r="E745" s="15" t="s">
        <v>822</v>
      </c>
      <c r="F745" s="15" t="s">
        <v>37</v>
      </c>
      <c r="G745" s="74">
        <f>G746</f>
        <v>0</v>
      </c>
      <c r="H745" s="74">
        <f>H746</f>
        <v>90000</v>
      </c>
      <c r="I745" s="74">
        <f>I746</f>
        <v>0</v>
      </c>
      <c r="J745" s="1"/>
    </row>
    <row r="746" spans="1:15" ht="25.5">
      <c r="A746" s="16" t="s">
        <v>38</v>
      </c>
      <c r="B746" s="14">
        <v>793</v>
      </c>
      <c r="C746" s="15" t="s">
        <v>71</v>
      </c>
      <c r="D746" s="15" t="s">
        <v>319</v>
      </c>
      <c r="E746" s="15" t="s">
        <v>822</v>
      </c>
      <c r="F746" s="15" t="s">
        <v>39</v>
      </c>
      <c r="G746" s="74">
        <f>'прил 5'!G1021</f>
        <v>0</v>
      </c>
      <c r="H746" s="74">
        <f>'прил 5'!H1021</f>
        <v>90000</v>
      </c>
      <c r="I746" s="74">
        <v>0</v>
      </c>
      <c r="J746" s="1"/>
    </row>
    <row r="747" spans="1:15" s="132" customFormat="1" ht="30" customHeight="1">
      <c r="A747" s="147" t="s">
        <v>501</v>
      </c>
      <c r="B747" s="128" t="s">
        <v>97</v>
      </c>
      <c r="C747" s="128" t="s">
        <v>26</v>
      </c>
      <c r="D747" s="128" t="s">
        <v>19</v>
      </c>
      <c r="E747" s="128" t="s">
        <v>227</v>
      </c>
      <c r="F747" s="128"/>
      <c r="G747" s="129">
        <f>G748</f>
        <v>1341026</v>
      </c>
      <c r="H747" s="129">
        <f>H748</f>
        <v>1595974</v>
      </c>
      <c r="I747" s="129">
        <f>I748</f>
        <v>1655974</v>
      </c>
      <c r="J747" s="158">
        <v>100000</v>
      </c>
    </row>
    <row r="748" spans="1:15" s="18" customFormat="1" ht="25.5">
      <c r="A748" s="16" t="s">
        <v>103</v>
      </c>
      <c r="B748" s="15" t="s">
        <v>97</v>
      </c>
      <c r="C748" s="15" t="s">
        <v>26</v>
      </c>
      <c r="D748" s="15" t="s">
        <v>19</v>
      </c>
      <c r="E748" s="15" t="s">
        <v>228</v>
      </c>
      <c r="F748" s="15"/>
      <c r="G748" s="102">
        <f>G749+G751</f>
        <v>1341026</v>
      </c>
      <c r="H748" s="102">
        <f>H749+H751</f>
        <v>1595974</v>
      </c>
      <c r="I748" s="102">
        <f>I749+I751</f>
        <v>1655974</v>
      </c>
      <c r="J748" s="17">
        <v>50000</v>
      </c>
    </row>
    <row r="749" spans="1:15" s="18" customFormat="1" ht="25.5" customHeight="1">
      <c r="A749" s="16" t="s">
        <v>364</v>
      </c>
      <c r="B749" s="14">
        <v>793</v>
      </c>
      <c r="C749" s="15" t="s">
        <v>70</v>
      </c>
      <c r="D749" s="15" t="s">
        <v>71</v>
      </c>
      <c r="E749" s="15" t="s">
        <v>228</v>
      </c>
      <c r="F749" s="15" t="s">
        <v>155</v>
      </c>
      <c r="G749" s="102">
        <f>G750</f>
        <v>1260000</v>
      </c>
      <c r="H749" s="102">
        <f>H750</f>
        <v>1260000</v>
      </c>
      <c r="I749" s="102">
        <f>I750</f>
        <v>1320000</v>
      </c>
      <c r="J749" s="17">
        <v>630000</v>
      </c>
    </row>
    <row r="750" spans="1:15" s="18" customFormat="1" ht="25.5">
      <c r="A750" s="16" t="s">
        <v>156</v>
      </c>
      <c r="B750" s="14">
        <v>793</v>
      </c>
      <c r="C750" s="15" t="s">
        <v>70</v>
      </c>
      <c r="D750" s="15" t="s">
        <v>71</v>
      </c>
      <c r="E750" s="15" t="s">
        <v>228</v>
      </c>
      <c r="F750" s="15" t="s">
        <v>157</v>
      </c>
      <c r="G750" s="102">
        <f>'прил 5'!G1152</f>
        <v>1260000</v>
      </c>
      <c r="H750" s="102">
        <f>'прил 5'!H1152</f>
        <v>1260000</v>
      </c>
      <c r="I750" s="102">
        <f>'прил 5'!I1152</f>
        <v>1320000</v>
      </c>
      <c r="J750" s="17">
        <f>SUM(J747:J749)</f>
        <v>780000</v>
      </c>
    </row>
    <row r="751" spans="1:15" s="18" customFormat="1" ht="25.5">
      <c r="A751" s="16" t="s">
        <v>30</v>
      </c>
      <c r="B751" s="15" t="s">
        <v>97</v>
      </c>
      <c r="C751" s="15" t="s">
        <v>26</v>
      </c>
      <c r="D751" s="15" t="s">
        <v>19</v>
      </c>
      <c r="E751" s="15" t="s">
        <v>228</v>
      </c>
      <c r="F751" s="15" t="s">
        <v>31</v>
      </c>
      <c r="G751" s="102">
        <f>G752</f>
        <v>81026</v>
      </c>
      <c r="H751" s="102">
        <f>H752</f>
        <v>335974</v>
      </c>
      <c r="I751" s="102">
        <f>I752</f>
        <v>335974</v>
      </c>
      <c r="J751" s="17"/>
    </row>
    <row r="752" spans="1:15" s="18" customFormat="1">
      <c r="A752" s="16" t="s">
        <v>32</v>
      </c>
      <c r="B752" s="15" t="s">
        <v>97</v>
      </c>
      <c r="C752" s="15" t="s">
        <v>26</v>
      </c>
      <c r="D752" s="15" t="s">
        <v>19</v>
      </c>
      <c r="E752" s="15" t="s">
        <v>228</v>
      </c>
      <c r="F752" s="15" t="s">
        <v>33</v>
      </c>
      <c r="G752" s="102">
        <f>'прил 5'!G424+'прил 5'!G554</f>
        <v>81026</v>
      </c>
      <c r="H752" s="102">
        <f>'прил 5'!H424+'прил 5'!H554</f>
        <v>335974</v>
      </c>
      <c r="I752" s="102">
        <f>'прил 5'!I424+'прил 5'!I554</f>
        <v>335974</v>
      </c>
      <c r="J752" s="17"/>
    </row>
    <row r="753" spans="1:16" s="136" customFormat="1" ht="38.25">
      <c r="A753" s="131" t="s">
        <v>502</v>
      </c>
      <c r="B753" s="127">
        <v>793</v>
      </c>
      <c r="C753" s="128" t="s">
        <v>71</v>
      </c>
      <c r="D753" s="128" t="s">
        <v>319</v>
      </c>
      <c r="E753" s="128" t="s">
        <v>264</v>
      </c>
      <c r="F753" s="128"/>
      <c r="G753" s="129">
        <f>G754</f>
        <v>175000</v>
      </c>
      <c r="H753" s="129">
        <f>H756+H757</f>
        <v>175000</v>
      </c>
      <c r="I753" s="129">
        <f>I756+I757</f>
        <v>175000</v>
      </c>
      <c r="J753" s="157">
        <v>100000</v>
      </c>
      <c r="P753" s="157"/>
    </row>
    <row r="754" spans="1:16" ht="38.25">
      <c r="A754" s="16" t="s">
        <v>347</v>
      </c>
      <c r="B754" s="14">
        <v>793</v>
      </c>
      <c r="C754" s="15" t="s">
        <v>71</v>
      </c>
      <c r="D754" s="15" t="s">
        <v>319</v>
      </c>
      <c r="E754" s="15" t="s">
        <v>265</v>
      </c>
      <c r="F754" s="15"/>
      <c r="G754" s="102">
        <f>G755+G757</f>
        <v>175000</v>
      </c>
      <c r="H754" s="102">
        <f t="shared" ref="H754:I754" si="190">H755+H757</f>
        <v>175000</v>
      </c>
      <c r="I754" s="102">
        <f t="shared" si="190"/>
        <v>175000</v>
      </c>
      <c r="J754" s="2">
        <v>75000</v>
      </c>
    </row>
    <row r="755" spans="1:16" ht="25.5">
      <c r="A755" s="16" t="s">
        <v>38</v>
      </c>
      <c r="B755" s="14">
        <v>793</v>
      </c>
      <c r="C755" s="15" t="s">
        <v>71</v>
      </c>
      <c r="D755" s="15" t="s">
        <v>319</v>
      </c>
      <c r="E755" s="15" t="s">
        <v>265</v>
      </c>
      <c r="F755" s="15" t="s">
        <v>37</v>
      </c>
      <c r="G755" s="102">
        <f>G756</f>
        <v>75000</v>
      </c>
      <c r="H755" s="102">
        <f t="shared" ref="H755:I755" si="191">H756</f>
        <v>75000</v>
      </c>
      <c r="I755" s="102">
        <f t="shared" si="191"/>
        <v>75000</v>
      </c>
    </row>
    <row r="756" spans="1:16" ht="31.5" customHeight="1">
      <c r="A756" s="16" t="s">
        <v>38</v>
      </c>
      <c r="B756" s="14">
        <v>793</v>
      </c>
      <c r="C756" s="15" t="s">
        <v>71</v>
      </c>
      <c r="D756" s="15" t="s">
        <v>319</v>
      </c>
      <c r="E756" s="15" t="s">
        <v>265</v>
      </c>
      <c r="F756" s="15" t="s">
        <v>39</v>
      </c>
      <c r="G756" s="102">
        <f>'прил 5'!G1025+'прил 5'!G365</f>
        <v>75000</v>
      </c>
      <c r="H756" s="102">
        <f>'прил 5'!H365+'прил 5'!H1025</f>
        <v>75000</v>
      </c>
      <c r="I756" s="102">
        <f>'прил 5'!I365+'прил 5'!I1025</f>
        <v>75000</v>
      </c>
    </row>
    <row r="757" spans="1:16" s="18" customFormat="1" ht="25.5">
      <c r="A757" s="16" t="s">
        <v>30</v>
      </c>
      <c r="B757" s="14">
        <v>774</v>
      </c>
      <c r="C757" s="15" t="s">
        <v>71</v>
      </c>
      <c r="D757" s="15" t="s">
        <v>319</v>
      </c>
      <c r="E757" s="15" t="s">
        <v>265</v>
      </c>
      <c r="F757" s="15" t="s">
        <v>31</v>
      </c>
      <c r="G757" s="74">
        <f t="shared" ref="G757:I757" si="192">G758</f>
        <v>100000</v>
      </c>
      <c r="H757" s="74">
        <f t="shared" si="192"/>
        <v>100000</v>
      </c>
      <c r="I757" s="74">
        <f t="shared" si="192"/>
        <v>100000</v>
      </c>
    </row>
    <row r="758" spans="1:16" s="18" customFormat="1">
      <c r="A758" s="16" t="s">
        <v>32</v>
      </c>
      <c r="B758" s="14">
        <v>774</v>
      </c>
      <c r="C758" s="15" t="s">
        <v>71</v>
      </c>
      <c r="D758" s="15" t="s">
        <v>319</v>
      </c>
      <c r="E758" s="15" t="s">
        <v>265</v>
      </c>
      <c r="F758" s="15" t="s">
        <v>33</v>
      </c>
      <c r="G758" s="74">
        <f>'прил 5'!G367</f>
        <v>100000</v>
      </c>
      <c r="H758" s="74">
        <f>'прил 5'!H367</f>
        <v>100000</v>
      </c>
      <c r="I758" s="74">
        <f>'прил 5'!I367</f>
        <v>100000</v>
      </c>
      <c r="L758" s="17"/>
    </row>
    <row r="759" spans="1:16" s="145" customFormat="1" ht="45" customHeight="1">
      <c r="A759" s="131" t="s">
        <v>459</v>
      </c>
      <c r="B759" s="127">
        <v>792</v>
      </c>
      <c r="C759" s="128" t="s">
        <v>19</v>
      </c>
      <c r="D759" s="128" t="s">
        <v>55</v>
      </c>
      <c r="E759" s="128" t="s">
        <v>237</v>
      </c>
      <c r="F759" s="133"/>
      <c r="G759" s="129">
        <f>G760+G768+G772</f>
        <v>63166223.100000009</v>
      </c>
      <c r="H759" s="129">
        <f>H760+H768+H772</f>
        <v>45567655.439999998</v>
      </c>
      <c r="I759" s="129">
        <f>I760+I768+I772</f>
        <v>45699166.960000001</v>
      </c>
      <c r="J759" s="160">
        <v>1012500</v>
      </c>
      <c r="P759" s="196"/>
    </row>
    <row r="760" spans="1:16" s="46" customFormat="1" ht="51" customHeight="1">
      <c r="A760" s="16" t="s">
        <v>169</v>
      </c>
      <c r="B760" s="14">
        <v>792</v>
      </c>
      <c r="C760" s="15" t="s">
        <v>19</v>
      </c>
      <c r="D760" s="15" t="s">
        <v>168</v>
      </c>
      <c r="E760" s="15" t="s">
        <v>239</v>
      </c>
      <c r="F760" s="15"/>
      <c r="G760" s="102">
        <f>G761</f>
        <v>13175994.200000001</v>
      </c>
      <c r="H760" s="102">
        <f t="shared" ref="H760:I760" si="193">H761</f>
        <v>13364190</v>
      </c>
      <c r="I760" s="102">
        <f t="shared" si="193"/>
        <v>13365627</v>
      </c>
      <c r="J760" s="151">
        <v>11992167</v>
      </c>
    </row>
    <row r="761" spans="1:16" s="46" customFormat="1" ht="34.5" customHeight="1">
      <c r="A761" s="16" t="s">
        <v>78</v>
      </c>
      <c r="B761" s="14">
        <v>792</v>
      </c>
      <c r="C761" s="15" t="s">
        <v>19</v>
      </c>
      <c r="D761" s="15" t="s">
        <v>168</v>
      </c>
      <c r="E761" s="15" t="s">
        <v>240</v>
      </c>
      <c r="F761" s="15"/>
      <c r="G761" s="102">
        <f>G762+G764+G766</f>
        <v>13175994.200000001</v>
      </c>
      <c r="H761" s="102">
        <f t="shared" ref="H761:I761" si="194">H762+H764+H766</f>
        <v>13364190</v>
      </c>
      <c r="I761" s="102">
        <f t="shared" si="194"/>
        <v>13365627</v>
      </c>
      <c r="J761" s="151">
        <v>967059</v>
      </c>
    </row>
    <row r="762" spans="1:16" s="46" customFormat="1" ht="51">
      <c r="A762" s="16" t="s">
        <v>56</v>
      </c>
      <c r="B762" s="14">
        <v>792</v>
      </c>
      <c r="C762" s="15" t="s">
        <v>19</v>
      </c>
      <c r="D762" s="15" t="s">
        <v>168</v>
      </c>
      <c r="E762" s="15" t="s">
        <v>240</v>
      </c>
      <c r="F762" s="15" t="s">
        <v>59</v>
      </c>
      <c r="G762" s="102">
        <f>G763</f>
        <v>11947659.710000001</v>
      </c>
      <c r="H762" s="102">
        <f>H763</f>
        <v>12172658</v>
      </c>
      <c r="I762" s="102">
        <f>I763</f>
        <v>12174095</v>
      </c>
      <c r="J762" s="151">
        <v>26000</v>
      </c>
      <c r="P762" s="151"/>
    </row>
    <row r="763" spans="1:16" s="46" customFormat="1" ht="25.5">
      <c r="A763" s="16" t="s">
        <v>57</v>
      </c>
      <c r="B763" s="14">
        <v>792</v>
      </c>
      <c r="C763" s="15" t="s">
        <v>19</v>
      </c>
      <c r="D763" s="15" t="s">
        <v>168</v>
      </c>
      <c r="E763" s="15" t="s">
        <v>240</v>
      </c>
      <c r="F763" s="15" t="s">
        <v>60</v>
      </c>
      <c r="G763" s="102">
        <f>'прил 5'!G771</f>
        <v>11947659.710000001</v>
      </c>
      <c r="H763" s="102">
        <f>'прил 5'!H771</f>
        <v>12172658</v>
      </c>
      <c r="I763" s="102">
        <f>'прил 5'!I771</f>
        <v>12174095</v>
      </c>
      <c r="J763" s="151">
        <v>3043600</v>
      </c>
    </row>
    <row r="764" spans="1:16" s="46" customFormat="1" ht="25.5">
      <c r="A764" s="16" t="s">
        <v>36</v>
      </c>
      <c r="B764" s="14">
        <v>792</v>
      </c>
      <c r="C764" s="15" t="s">
        <v>19</v>
      </c>
      <c r="D764" s="15" t="s">
        <v>168</v>
      </c>
      <c r="E764" s="15" t="s">
        <v>240</v>
      </c>
      <c r="F764" s="15" t="s">
        <v>37</v>
      </c>
      <c r="G764" s="102">
        <f>G765</f>
        <v>1203334.49</v>
      </c>
      <c r="H764" s="102">
        <f>H765</f>
        <v>1165532</v>
      </c>
      <c r="I764" s="102">
        <f>I765</f>
        <v>1165532</v>
      </c>
      <c r="J764" s="151">
        <v>50000</v>
      </c>
    </row>
    <row r="765" spans="1:16" s="46" customFormat="1" ht="25.5">
      <c r="A765" s="16" t="s">
        <v>38</v>
      </c>
      <c r="B765" s="14">
        <v>792</v>
      </c>
      <c r="C765" s="15" t="s">
        <v>19</v>
      </c>
      <c r="D765" s="15" t="s">
        <v>168</v>
      </c>
      <c r="E765" s="15" t="s">
        <v>240</v>
      </c>
      <c r="F765" s="15" t="s">
        <v>39</v>
      </c>
      <c r="G765" s="102">
        <f>'прил 5'!G773</f>
        <v>1203334.49</v>
      </c>
      <c r="H765" s="102">
        <f>'прил 5'!H773</f>
        <v>1165532</v>
      </c>
      <c r="I765" s="102">
        <f>'прил 5'!I773</f>
        <v>1165532</v>
      </c>
      <c r="J765" s="151">
        <v>15487188</v>
      </c>
    </row>
    <row r="766" spans="1:16" s="46" customFormat="1">
      <c r="A766" s="30" t="s">
        <v>64</v>
      </c>
      <c r="B766" s="14">
        <v>792</v>
      </c>
      <c r="C766" s="15" t="s">
        <v>19</v>
      </c>
      <c r="D766" s="15" t="s">
        <v>168</v>
      </c>
      <c r="E766" s="15" t="s">
        <v>240</v>
      </c>
      <c r="F766" s="15" t="s">
        <v>65</v>
      </c>
      <c r="G766" s="74">
        <f>G767</f>
        <v>25000</v>
      </c>
      <c r="H766" s="74">
        <f>H767</f>
        <v>26000</v>
      </c>
      <c r="I766" s="74">
        <f>I767</f>
        <v>26000</v>
      </c>
      <c r="J766" s="151">
        <v>4802400</v>
      </c>
    </row>
    <row r="767" spans="1:16" s="46" customFormat="1">
      <c r="A767" s="30" t="s">
        <v>150</v>
      </c>
      <c r="B767" s="14">
        <v>792</v>
      </c>
      <c r="C767" s="15" t="s">
        <v>19</v>
      </c>
      <c r="D767" s="15" t="s">
        <v>168</v>
      </c>
      <c r="E767" s="15" t="s">
        <v>240</v>
      </c>
      <c r="F767" s="15" t="s">
        <v>68</v>
      </c>
      <c r="G767" s="74">
        <f>'прил 5'!G775</f>
        <v>25000</v>
      </c>
      <c r="H767" s="74">
        <f>'прил 5'!H775</f>
        <v>26000</v>
      </c>
      <c r="I767" s="74">
        <f>'прил 5'!I775</f>
        <v>26000</v>
      </c>
      <c r="J767" s="151">
        <v>16556640</v>
      </c>
    </row>
    <row r="768" spans="1:16" s="28" customFormat="1" ht="25.5">
      <c r="A768" s="16" t="s">
        <v>312</v>
      </c>
      <c r="B768" s="14">
        <v>792</v>
      </c>
      <c r="C768" s="15" t="s">
        <v>23</v>
      </c>
      <c r="D768" s="15" t="s">
        <v>19</v>
      </c>
      <c r="E768" s="15" t="s">
        <v>243</v>
      </c>
      <c r="F768" s="39"/>
      <c r="G768" s="102">
        <f>G769</f>
        <v>5220000</v>
      </c>
      <c r="H768" s="102">
        <f t="shared" ref="H768:I770" si="195">H769</f>
        <v>5220000</v>
      </c>
      <c r="I768" s="102">
        <f t="shared" si="195"/>
        <v>5220000</v>
      </c>
      <c r="J768" s="150">
        <v>3200000</v>
      </c>
    </row>
    <row r="769" spans="1:10">
      <c r="A769" s="16" t="s">
        <v>313</v>
      </c>
      <c r="B769" s="14">
        <v>792</v>
      </c>
      <c r="C769" s="15" t="s">
        <v>23</v>
      </c>
      <c r="D769" s="15" t="s">
        <v>19</v>
      </c>
      <c r="E769" s="15" t="s">
        <v>244</v>
      </c>
      <c r="F769" s="15"/>
      <c r="G769" s="102">
        <f>G770</f>
        <v>5220000</v>
      </c>
      <c r="H769" s="102">
        <f t="shared" si="195"/>
        <v>5220000</v>
      </c>
      <c r="I769" s="102">
        <f t="shared" si="195"/>
        <v>5220000</v>
      </c>
      <c r="J769" s="2">
        <f>SUM(J759:J768)</f>
        <v>57137554</v>
      </c>
    </row>
    <row r="770" spans="1:10">
      <c r="A770" s="16" t="s">
        <v>314</v>
      </c>
      <c r="B770" s="14">
        <v>792</v>
      </c>
      <c r="C770" s="15" t="s">
        <v>23</v>
      </c>
      <c r="D770" s="15" t="s">
        <v>19</v>
      </c>
      <c r="E770" s="15" t="s">
        <v>244</v>
      </c>
      <c r="F770" s="15" t="s">
        <v>315</v>
      </c>
      <c r="G770" s="102">
        <f>G771</f>
        <v>5220000</v>
      </c>
      <c r="H770" s="102">
        <f t="shared" si="195"/>
        <v>5220000</v>
      </c>
      <c r="I770" s="102">
        <f t="shared" si="195"/>
        <v>5220000</v>
      </c>
      <c r="J770" s="2">
        <f>H759-J769</f>
        <v>-11569898.560000002</v>
      </c>
    </row>
    <row r="771" spans="1:10">
      <c r="A771" s="16" t="s">
        <v>316</v>
      </c>
      <c r="B771" s="14">
        <v>792</v>
      </c>
      <c r="C771" s="15" t="s">
        <v>23</v>
      </c>
      <c r="D771" s="15" t="s">
        <v>19</v>
      </c>
      <c r="E771" s="15" t="s">
        <v>244</v>
      </c>
      <c r="F771" s="15" t="s">
        <v>317</v>
      </c>
      <c r="G771" s="102">
        <f>'прил 5'!G805+'прил 5'!G1187</f>
        <v>5220000</v>
      </c>
      <c r="H771" s="102">
        <f>'прил 5'!H805+'прил 5'!H1187</f>
        <v>5220000</v>
      </c>
      <c r="I771" s="102">
        <f>'прил 5'!I805+'прил 5'!I1187</f>
        <v>5220000</v>
      </c>
    </row>
    <row r="772" spans="1:10" s="18" customFormat="1" ht="38.25">
      <c r="A772" s="16" t="s">
        <v>162</v>
      </c>
      <c r="B772" s="14">
        <v>792</v>
      </c>
      <c r="C772" s="15" t="s">
        <v>319</v>
      </c>
      <c r="D772" s="15" t="s">
        <v>19</v>
      </c>
      <c r="E772" s="15" t="s">
        <v>238</v>
      </c>
      <c r="F772" s="15"/>
      <c r="G772" s="102">
        <f>G781+G785+G788+G773+G776</f>
        <v>44770228.900000006</v>
      </c>
      <c r="H772" s="102">
        <f t="shared" ref="H772:I772" si="196">H781+H785+H788+H773+H776</f>
        <v>26983465.440000001</v>
      </c>
      <c r="I772" s="102">
        <f t="shared" si="196"/>
        <v>27113539.960000001</v>
      </c>
      <c r="J772" s="17"/>
    </row>
    <row r="773" spans="1:10" s="28" customFormat="1" ht="25.5">
      <c r="A773" s="16" t="s">
        <v>174</v>
      </c>
      <c r="B773" s="14">
        <v>792</v>
      </c>
      <c r="C773" s="15" t="s">
        <v>28</v>
      </c>
      <c r="D773" s="15" t="s">
        <v>71</v>
      </c>
      <c r="E773" s="15" t="s">
        <v>396</v>
      </c>
      <c r="F773" s="39"/>
      <c r="G773" s="102">
        <f t="shared" ref="G773:I774" si="197">G774</f>
        <v>3343489.7</v>
      </c>
      <c r="H773" s="102">
        <f t="shared" si="197"/>
        <v>3378621</v>
      </c>
      <c r="I773" s="102">
        <f t="shared" si="197"/>
        <v>3514692</v>
      </c>
      <c r="J773" s="150"/>
    </row>
    <row r="774" spans="1:10">
      <c r="A774" s="16" t="s">
        <v>163</v>
      </c>
      <c r="B774" s="14">
        <v>792</v>
      </c>
      <c r="C774" s="15" t="s">
        <v>28</v>
      </c>
      <c r="D774" s="15" t="s">
        <v>71</v>
      </c>
      <c r="E774" s="15" t="s">
        <v>396</v>
      </c>
      <c r="F774" s="15" t="s">
        <v>164</v>
      </c>
      <c r="G774" s="102">
        <f t="shared" si="197"/>
        <v>3343489.7</v>
      </c>
      <c r="H774" s="102">
        <f t="shared" si="197"/>
        <v>3378621</v>
      </c>
      <c r="I774" s="102">
        <f t="shared" si="197"/>
        <v>3514692</v>
      </c>
    </row>
    <row r="775" spans="1:10">
      <c r="A775" s="16" t="s">
        <v>165</v>
      </c>
      <c r="B775" s="14">
        <v>792</v>
      </c>
      <c r="C775" s="15" t="s">
        <v>28</v>
      </c>
      <c r="D775" s="15" t="s">
        <v>71</v>
      </c>
      <c r="E775" s="15" t="s">
        <v>396</v>
      </c>
      <c r="F775" s="15" t="s">
        <v>166</v>
      </c>
      <c r="G775" s="102">
        <f>'прил 5'!G787</f>
        <v>3343489.7</v>
      </c>
      <c r="H775" s="102">
        <f>'прил 5'!H787</f>
        <v>3378621</v>
      </c>
      <c r="I775" s="102">
        <f>'прил 5'!I787</f>
        <v>3514692</v>
      </c>
    </row>
    <row r="776" spans="1:10" ht="63.75">
      <c r="A776" s="16" t="s">
        <v>707</v>
      </c>
      <c r="B776" s="14">
        <v>792</v>
      </c>
      <c r="C776" s="15" t="s">
        <v>19</v>
      </c>
      <c r="D776" s="15" t="s">
        <v>55</v>
      </c>
      <c r="E776" s="15" t="s">
        <v>705</v>
      </c>
      <c r="F776" s="15"/>
      <c r="G776" s="102">
        <f t="shared" ref="G776:I777" si="198">G777</f>
        <v>1417500</v>
      </c>
      <c r="H776" s="102">
        <f t="shared" si="198"/>
        <v>1417500</v>
      </c>
      <c r="I776" s="102">
        <f t="shared" si="198"/>
        <v>1417500</v>
      </c>
    </row>
    <row r="777" spans="1:10">
      <c r="A777" s="16" t="s">
        <v>163</v>
      </c>
      <c r="B777" s="14">
        <v>792</v>
      </c>
      <c r="C777" s="15" t="s">
        <v>19</v>
      </c>
      <c r="D777" s="15" t="s">
        <v>55</v>
      </c>
      <c r="E777" s="15" t="s">
        <v>705</v>
      </c>
      <c r="F777" s="15" t="s">
        <v>164</v>
      </c>
      <c r="G777" s="102">
        <f t="shared" si="198"/>
        <v>1417500</v>
      </c>
      <c r="H777" s="102">
        <f t="shared" si="198"/>
        <v>1417500</v>
      </c>
      <c r="I777" s="102">
        <f t="shared" si="198"/>
        <v>1417500</v>
      </c>
    </row>
    <row r="778" spans="1:10">
      <c r="A778" s="16" t="s">
        <v>165</v>
      </c>
      <c r="B778" s="14">
        <v>792</v>
      </c>
      <c r="C778" s="15" t="s">
        <v>19</v>
      </c>
      <c r="D778" s="15" t="s">
        <v>55</v>
      </c>
      <c r="E778" s="15" t="s">
        <v>705</v>
      </c>
      <c r="F778" s="15" t="s">
        <v>166</v>
      </c>
      <c r="G778" s="102">
        <f>'прил 5'!G765</f>
        <v>1417500</v>
      </c>
      <c r="H778" s="102">
        <f>'прил 5'!H765</f>
        <v>1417500</v>
      </c>
      <c r="I778" s="102">
        <f>'прил 5'!I765</f>
        <v>1417500</v>
      </c>
    </row>
    <row r="779" spans="1:10" s="28" customFormat="1" ht="29.25" customHeight="1">
      <c r="A779" s="16" t="s">
        <v>324</v>
      </c>
      <c r="B779" s="14">
        <v>792</v>
      </c>
      <c r="C779" s="15" t="s">
        <v>319</v>
      </c>
      <c r="D779" s="15" t="s">
        <v>19</v>
      </c>
      <c r="E779" s="15" t="s">
        <v>245</v>
      </c>
      <c r="F779" s="15"/>
      <c r="G779" s="102">
        <f t="shared" ref="G779:I780" si="199">G780</f>
        <v>6140661.2000000002</v>
      </c>
      <c r="H779" s="102">
        <f t="shared" si="199"/>
        <v>4918525.4400000004</v>
      </c>
      <c r="I779" s="102">
        <f t="shared" si="199"/>
        <v>4912528.96</v>
      </c>
      <c r="J779" s="150"/>
    </row>
    <row r="780" spans="1:10" s="28" customFormat="1">
      <c r="A780" s="16" t="s">
        <v>163</v>
      </c>
      <c r="B780" s="14">
        <v>792</v>
      </c>
      <c r="C780" s="15" t="s">
        <v>319</v>
      </c>
      <c r="D780" s="15" t="s">
        <v>19</v>
      </c>
      <c r="E780" s="15" t="s">
        <v>245</v>
      </c>
      <c r="F780" s="15" t="s">
        <v>164</v>
      </c>
      <c r="G780" s="102">
        <f t="shared" si="199"/>
        <v>6140661.2000000002</v>
      </c>
      <c r="H780" s="102">
        <f t="shared" si="199"/>
        <v>4918525.4400000004</v>
      </c>
      <c r="I780" s="102">
        <f t="shared" si="199"/>
        <v>4912528.96</v>
      </c>
      <c r="J780" s="150"/>
    </row>
    <row r="781" spans="1:10" s="3" customFormat="1">
      <c r="A781" s="16" t="s">
        <v>322</v>
      </c>
      <c r="B781" s="14">
        <v>792</v>
      </c>
      <c r="C781" s="15" t="s">
        <v>319</v>
      </c>
      <c r="D781" s="15" t="s">
        <v>19</v>
      </c>
      <c r="E781" s="15" t="s">
        <v>245</v>
      </c>
      <c r="F781" s="15" t="s">
        <v>323</v>
      </c>
      <c r="G781" s="102">
        <f>'прил 5'!G815</f>
        <v>6140661.2000000002</v>
      </c>
      <c r="H781" s="102">
        <f>'прил 5'!H815</f>
        <v>4918525.4400000004</v>
      </c>
      <c r="I781" s="102">
        <f>'прил 5'!I815</f>
        <v>4912528.96</v>
      </c>
      <c r="J781" s="152"/>
    </row>
    <row r="782" spans="1:10" s="3" customFormat="1" hidden="1">
      <c r="A782" s="16" t="s">
        <v>7</v>
      </c>
      <c r="B782" s="14">
        <v>792</v>
      </c>
      <c r="C782" s="15" t="s">
        <v>319</v>
      </c>
      <c r="D782" s="15" t="s">
        <v>19</v>
      </c>
      <c r="E782" s="15" t="s">
        <v>245</v>
      </c>
      <c r="F782" s="15" t="s">
        <v>6</v>
      </c>
      <c r="G782" s="102"/>
      <c r="H782" s="102"/>
      <c r="I782" s="102"/>
      <c r="J782" s="152"/>
    </row>
    <row r="783" spans="1:10" s="18" customFormat="1" ht="25.5">
      <c r="A783" s="16" t="s">
        <v>321</v>
      </c>
      <c r="B783" s="14">
        <v>792</v>
      </c>
      <c r="C783" s="15" t="s">
        <v>319</v>
      </c>
      <c r="D783" s="15" t="s">
        <v>19</v>
      </c>
      <c r="E783" s="15" t="s">
        <v>293</v>
      </c>
      <c r="F783" s="15"/>
      <c r="G783" s="102">
        <f t="shared" ref="G783:I784" si="200">G784</f>
        <v>17268819</v>
      </c>
      <c r="H783" s="102">
        <f t="shared" si="200"/>
        <v>17268819</v>
      </c>
      <c r="I783" s="102">
        <f t="shared" si="200"/>
        <v>17268819</v>
      </c>
      <c r="J783" s="17"/>
    </row>
    <row r="784" spans="1:10" s="18" customFormat="1">
      <c r="A784" s="16" t="s">
        <v>163</v>
      </c>
      <c r="B784" s="14">
        <v>792</v>
      </c>
      <c r="C784" s="15" t="s">
        <v>319</v>
      </c>
      <c r="D784" s="15" t="s">
        <v>19</v>
      </c>
      <c r="E784" s="15" t="s">
        <v>293</v>
      </c>
      <c r="F784" s="15" t="s">
        <v>164</v>
      </c>
      <c r="G784" s="102">
        <f t="shared" si="200"/>
        <v>17268819</v>
      </c>
      <c r="H784" s="102">
        <f t="shared" si="200"/>
        <v>17268819</v>
      </c>
      <c r="I784" s="102">
        <f t="shared" si="200"/>
        <v>17268819</v>
      </c>
      <c r="J784" s="17"/>
    </row>
    <row r="785" spans="1:16" s="18" customFormat="1">
      <c r="A785" s="16" t="s">
        <v>322</v>
      </c>
      <c r="B785" s="14">
        <v>792</v>
      </c>
      <c r="C785" s="15" t="s">
        <v>319</v>
      </c>
      <c r="D785" s="15" t="s">
        <v>19</v>
      </c>
      <c r="E785" s="15" t="s">
        <v>293</v>
      </c>
      <c r="F785" s="15" t="s">
        <v>323</v>
      </c>
      <c r="G785" s="102">
        <f>'прил 5'!G812</f>
        <v>17268819</v>
      </c>
      <c r="H785" s="102">
        <f>'прил 5'!H812</f>
        <v>17268819</v>
      </c>
      <c r="I785" s="102">
        <f>'прил 5'!I812</f>
        <v>17268819</v>
      </c>
      <c r="J785" s="17"/>
    </row>
    <row r="786" spans="1:16" s="3" customFormat="1" ht="25.5">
      <c r="A786" s="16" t="s">
        <v>494</v>
      </c>
      <c r="B786" s="14"/>
      <c r="C786" s="15"/>
      <c r="D786" s="15"/>
      <c r="E786" s="15" t="s">
        <v>246</v>
      </c>
      <c r="F786" s="15"/>
      <c r="G786" s="102">
        <f t="shared" ref="G786:I787" si="201">G787</f>
        <v>16599759</v>
      </c>
      <c r="H786" s="102">
        <f t="shared" si="201"/>
        <v>0</v>
      </c>
      <c r="I786" s="102">
        <f t="shared" si="201"/>
        <v>0</v>
      </c>
      <c r="J786" s="152"/>
    </row>
    <row r="787" spans="1:16" s="3" customFormat="1">
      <c r="A787" s="16" t="s">
        <v>163</v>
      </c>
      <c r="B787" s="14">
        <v>792</v>
      </c>
      <c r="C787" s="15" t="s">
        <v>319</v>
      </c>
      <c r="D787" s="15" t="s">
        <v>71</v>
      </c>
      <c r="E787" s="15" t="s">
        <v>246</v>
      </c>
      <c r="F787" s="15" t="s">
        <v>164</v>
      </c>
      <c r="G787" s="102">
        <f t="shared" si="201"/>
        <v>16599759</v>
      </c>
      <c r="H787" s="102">
        <f t="shared" si="201"/>
        <v>0</v>
      </c>
      <c r="I787" s="102">
        <f t="shared" si="201"/>
        <v>0</v>
      </c>
      <c r="J787" s="152"/>
    </row>
    <row r="788" spans="1:16" s="3" customFormat="1">
      <c r="A788" s="16" t="s">
        <v>185</v>
      </c>
      <c r="B788" s="14">
        <v>792</v>
      </c>
      <c r="C788" s="15" t="s">
        <v>319</v>
      </c>
      <c r="D788" s="15" t="s">
        <v>71</v>
      </c>
      <c r="E788" s="15" t="s">
        <v>246</v>
      </c>
      <c r="F788" s="15" t="s">
        <v>186</v>
      </c>
      <c r="G788" s="102">
        <f>'прил 5'!G821</f>
        <v>16599759</v>
      </c>
      <c r="H788" s="102">
        <f>'прил 5'!H821</f>
        <v>0</v>
      </c>
      <c r="I788" s="102">
        <f>'прил 5'!I821</f>
        <v>0</v>
      </c>
      <c r="J788" s="152"/>
    </row>
    <row r="789" spans="1:16" s="145" customFormat="1" ht="51">
      <c r="A789" s="148" t="s">
        <v>504</v>
      </c>
      <c r="B789" s="127">
        <v>793</v>
      </c>
      <c r="C789" s="128" t="s">
        <v>71</v>
      </c>
      <c r="D789" s="128" t="s">
        <v>127</v>
      </c>
      <c r="E789" s="128" t="s">
        <v>259</v>
      </c>
      <c r="F789" s="133"/>
      <c r="G789" s="129">
        <f>G796+G801+G804+G810+G813+G795+G790+G807</f>
        <v>4949328.3600000003</v>
      </c>
      <c r="H789" s="129">
        <f>H795+H800+H803+H806+H809+H812</f>
        <v>290000</v>
      </c>
      <c r="I789" s="129">
        <f>I795+I800+I803+I806+I809+I812</f>
        <v>30000</v>
      </c>
      <c r="J789" s="160">
        <v>162500</v>
      </c>
      <c r="P789" s="196"/>
    </row>
    <row r="790" spans="1:16" s="28" customFormat="1" ht="25.5" hidden="1">
      <c r="A790" s="40" t="s">
        <v>641</v>
      </c>
      <c r="B790" s="14">
        <v>793</v>
      </c>
      <c r="C790" s="15" t="s">
        <v>71</v>
      </c>
      <c r="D790" s="15" t="s">
        <v>70</v>
      </c>
      <c r="E790" s="15" t="s">
        <v>678</v>
      </c>
      <c r="F790" s="39"/>
      <c r="G790" s="102">
        <f>G791</f>
        <v>0</v>
      </c>
      <c r="H790" s="74"/>
      <c r="I790" s="74"/>
    </row>
    <row r="791" spans="1:16" s="28" customFormat="1" hidden="1">
      <c r="A791" s="16" t="s">
        <v>163</v>
      </c>
      <c r="B791" s="14">
        <v>793</v>
      </c>
      <c r="C791" s="15" t="s">
        <v>71</v>
      </c>
      <c r="D791" s="15" t="s">
        <v>70</v>
      </c>
      <c r="E791" s="15" t="s">
        <v>678</v>
      </c>
      <c r="F791" s="15" t="s">
        <v>164</v>
      </c>
      <c r="G791" s="102">
        <f>G792</f>
        <v>0</v>
      </c>
      <c r="H791" s="74"/>
      <c r="I791" s="74"/>
    </row>
    <row r="792" spans="1:16" s="28" customFormat="1" hidden="1">
      <c r="A792" s="16" t="s">
        <v>177</v>
      </c>
      <c r="B792" s="14">
        <v>793</v>
      </c>
      <c r="C792" s="15" t="s">
        <v>71</v>
      </c>
      <c r="D792" s="15" t="s">
        <v>70</v>
      </c>
      <c r="E792" s="15" t="s">
        <v>678</v>
      </c>
      <c r="F792" s="15" t="s">
        <v>178</v>
      </c>
      <c r="G792" s="102">
        <f>'прил 5'!G984</f>
        <v>0</v>
      </c>
      <c r="H792" s="74"/>
      <c r="I792" s="74"/>
    </row>
    <row r="793" spans="1:16" s="28" customFormat="1" ht="54.75" customHeight="1">
      <c r="A793" s="40" t="s">
        <v>345</v>
      </c>
      <c r="B793" s="14">
        <v>793</v>
      </c>
      <c r="C793" s="15" t="s">
        <v>71</v>
      </c>
      <c r="D793" s="15" t="s">
        <v>127</v>
      </c>
      <c r="E793" s="15" t="s">
        <v>144</v>
      </c>
      <c r="F793" s="39"/>
      <c r="G793" s="74">
        <f>G794</f>
        <v>60489.880000000005</v>
      </c>
      <c r="H793" s="74">
        <f t="shared" ref="H793:I793" si="202">H794</f>
        <v>30000</v>
      </c>
      <c r="I793" s="74">
        <f t="shared" si="202"/>
        <v>30000</v>
      </c>
    </row>
    <row r="794" spans="1:16" s="28" customFormat="1">
      <c r="A794" s="16" t="s">
        <v>334</v>
      </c>
      <c r="B794" s="14">
        <v>793</v>
      </c>
      <c r="C794" s="15" t="s">
        <v>71</v>
      </c>
      <c r="D794" s="15" t="s">
        <v>127</v>
      </c>
      <c r="E794" s="15" t="s">
        <v>144</v>
      </c>
      <c r="F794" s="15" t="s">
        <v>37</v>
      </c>
      <c r="G794" s="74">
        <f>G795</f>
        <v>60489.880000000005</v>
      </c>
      <c r="H794" s="74">
        <f t="shared" ref="H794:I794" si="203">H795</f>
        <v>30000</v>
      </c>
      <c r="I794" s="74">
        <f t="shared" si="203"/>
        <v>30000</v>
      </c>
    </row>
    <row r="795" spans="1:16" s="28" customFormat="1" ht="25.5">
      <c r="A795" s="16" t="s">
        <v>38</v>
      </c>
      <c r="B795" s="14">
        <v>793</v>
      </c>
      <c r="C795" s="15" t="s">
        <v>71</v>
      </c>
      <c r="D795" s="15" t="s">
        <v>127</v>
      </c>
      <c r="E795" s="15" t="s">
        <v>144</v>
      </c>
      <c r="F795" s="15" t="s">
        <v>39</v>
      </c>
      <c r="G795" s="74">
        <f>'прил 5'!G992</f>
        <v>60489.880000000005</v>
      </c>
      <c r="H795" s="74">
        <f>'прил 5'!H955+'прил 5'!H992</f>
        <v>30000</v>
      </c>
      <c r="I795" s="74">
        <f>'прил 5'!I955+'прил 5'!I992</f>
        <v>30000</v>
      </c>
    </row>
    <row r="796" spans="1:16" ht="57.75" customHeight="1">
      <c r="A796" s="57" t="s">
        <v>517</v>
      </c>
      <c r="B796" s="14">
        <v>793</v>
      </c>
      <c r="C796" s="15" t="s">
        <v>71</v>
      </c>
      <c r="D796" s="15" t="s">
        <v>127</v>
      </c>
      <c r="E796" s="15" t="s">
        <v>260</v>
      </c>
      <c r="F796" s="15"/>
      <c r="G796" s="74">
        <f>G797+G799</f>
        <v>50000</v>
      </c>
      <c r="H796" s="74">
        <f>H797+H799</f>
        <v>50000</v>
      </c>
      <c r="I796" s="74">
        <f>I797+I799</f>
        <v>0</v>
      </c>
      <c r="J796" s="2">
        <v>50000</v>
      </c>
    </row>
    <row r="797" spans="1:16" hidden="1">
      <c r="A797" s="16" t="s">
        <v>334</v>
      </c>
      <c r="B797" s="14">
        <v>793</v>
      </c>
      <c r="C797" s="15" t="s">
        <v>71</v>
      </c>
      <c r="D797" s="15" t="s">
        <v>127</v>
      </c>
      <c r="E797" s="15" t="s">
        <v>260</v>
      </c>
      <c r="F797" s="15" t="s">
        <v>37</v>
      </c>
      <c r="G797" s="74">
        <f>G798</f>
        <v>0</v>
      </c>
      <c r="H797" s="74">
        <f t="shared" ref="H797:O797" si="204">H798</f>
        <v>0</v>
      </c>
      <c r="I797" s="74">
        <f t="shared" si="204"/>
        <v>0</v>
      </c>
      <c r="J797" s="74">
        <f t="shared" si="204"/>
        <v>60000</v>
      </c>
      <c r="K797" s="74">
        <f t="shared" si="204"/>
        <v>0</v>
      </c>
      <c r="L797" s="74">
        <f t="shared" si="204"/>
        <v>0</v>
      </c>
      <c r="M797" s="74">
        <f t="shared" si="204"/>
        <v>0</v>
      </c>
      <c r="N797" s="74">
        <f t="shared" si="204"/>
        <v>0</v>
      </c>
      <c r="O797" s="74">
        <f t="shared" si="204"/>
        <v>0</v>
      </c>
    </row>
    <row r="798" spans="1:16" ht="25.5" hidden="1">
      <c r="A798" s="16" t="s">
        <v>38</v>
      </c>
      <c r="B798" s="14">
        <v>793</v>
      </c>
      <c r="C798" s="15" t="s">
        <v>71</v>
      </c>
      <c r="D798" s="15" t="s">
        <v>127</v>
      </c>
      <c r="E798" s="15" t="s">
        <v>260</v>
      </c>
      <c r="F798" s="15" t="s">
        <v>39</v>
      </c>
      <c r="G798" s="74">
        <f>'прил 5'!G958+'прил 5'!G995</f>
        <v>0</v>
      </c>
      <c r="H798" s="74">
        <f>'прил 5'!H958+'прил 5'!H995</f>
        <v>0</v>
      </c>
      <c r="I798" s="74">
        <f>'прил 5'!I958+'прил 5'!I995</f>
        <v>0</v>
      </c>
      <c r="J798" s="2">
        <v>60000</v>
      </c>
    </row>
    <row r="799" spans="1:16" ht="18" customHeight="1">
      <c r="A799" s="16" t="s">
        <v>119</v>
      </c>
      <c r="B799" s="14">
        <v>793</v>
      </c>
      <c r="C799" s="15" t="s">
        <v>71</v>
      </c>
      <c r="D799" s="15" t="s">
        <v>127</v>
      </c>
      <c r="E799" s="15" t="s">
        <v>261</v>
      </c>
      <c r="F799" s="15" t="s">
        <v>65</v>
      </c>
      <c r="G799" s="74">
        <f>G800</f>
        <v>50000</v>
      </c>
      <c r="H799" s="74">
        <f>H800</f>
        <v>50000</v>
      </c>
      <c r="I799" s="74">
        <f>I800</f>
        <v>0</v>
      </c>
    </row>
    <row r="800" spans="1:16" ht="18.75" customHeight="1">
      <c r="A800" s="16" t="s">
        <v>187</v>
      </c>
      <c r="B800" s="14"/>
      <c r="C800" s="15"/>
      <c r="D800" s="15"/>
      <c r="E800" s="15" t="s">
        <v>261</v>
      </c>
      <c r="F800" s="15" t="s">
        <v>188</v>
      </c>
      <c r="G800" s="74">
        <f>'прил 5'!G960+'прил 5'!G997</f>
        <v>50000</v>
      </c>
      <c r="H800" s="74">
        <f>'прил 5'!H960+'прил 5'!H997</f>
        <v>50000</v>
      </c>
      <c r="I800" s="74">
        <f>'прил 5'!I960+'прил 5'!I997</f>
        <v>0</v>
      </c>
      <c r="J800" s="74">
        <f>'прил 5'!J960+'прил 5'!J997</f>
        <v>0</v>
      </c>
      <c r="K800" s="74">
        <f>'прил 5'!K960+'прил 5'!K997</f>
        <v>0</v>
      </c>
      <c r="L800" s="74">
        <f>'прил 5'!L960+'прил 5'!L997</f>
        <v>0</v>
      </c>
      <c r="M800" s="74">
        <f>'прил 5'!M960+'прил 5'!M997</f>
        <v>0</v>
      </c>
      <c r="N800" s="74">
        <f>'прил 5'!N960+'прил 5'!N997</f>
        <v>0</v>
      </c>
      <c r="O800" s="74">
        <f>'прил 5'!O960+'прил 5'!O997</f>
        <v>0</v>
      </c>
    </row>
    <row r="801" spans="1:16" ht="21" customHeight="1">
      <c r="A801" s="16" t="s">
        <v>193</v>
      </c>
      <c r="B801" s="14">
        <v>793</v>
      </c>
      <c r="C801" s="15" t="s">
        <v>71</v>
      </c>
      <c r="D801" s="15" t="s">
        <v>70</v>
      </c>
      <c r="E801" s="15" t="s">
        <v>142</v>
      </c>
      <c r="F801" s="15"/>
      <c r="G801" s="74">
        <f t="shared" ref="G801:G802" si="205">G802</f>
        <v>0</v>
      </c>
      <c r="H801" s="118">
        <f>H802</f>
        <v>70000</v>
      </c>
      <c r="I801" s="118">
        <f>I802</f>
        <v>0</v>
      </c>
    </row>
    <row r="802" spans="1:16" ht="24.75" customHeight="1">
      <c r="A802" s="16" t="s">
        <v>334</v>
      </c>
      <c r="B802" s="14">
        <v>793</v>
      </c>
      <c r="C802" s="15" t="s">
        <v>71</v>
      </c>
      <c r="D802" s="15" t="s">
        <v>70</v>
      </c>
      <c r="E802" s="15" t="s">
        <v>142</v>
      </c>
      <c r="F802" s="15" t="s">
        <v>37</v>
      </c>
      <c r="G802" s="74">
        <f t="shared" si="205"/>
        <v>0</v>
      </c>
      <c r="H802" s="118">
        <f>H803</f>
        <v>70000</v>
      </c>
      <c r="I802" s="118">
        <f>I803</f>
        <v>0</v>
      </c>
      <c r="J802" s="2">
        <f>J800-H789</f>
        <v>-290000</v>
      </c>
    </row>
    <row r="803" spans="1:16" ht="25.5">
      <c r="A803" s="16" t="s">
        <v>38</v>
      </c>
      <c r="B803" s="14">
        <v>793</v>
      </c>
      <c r="C803" s="15" t="s">
        <v>71</v>
      </c>
      <c r="D803" s="15" t="s">
        <v>70</v>
      </c>
      <c r="E803" s="15" t="s">
        <v>142</v>
      </c>
      <c r="F803" s="15" t="s">
        <v>39</v>
      </c>
      <c r="G803" s="74">
        <f>'прил 5'!G989</f>
        <v>0</v>
      </c>
      <c r="H803" s="74">
        <f>'прил 5'!H989</f>
        <v>70000</v>
      </c>
      <c r="I803" s="74">
        <f>'прил 5'!I989</f>
        <v>0</v>
      </c>
      <c r="J803" s="74">
        <f>'прил 5'!J989</f>
        <v>0</v>
      </c>
      <c r="K803" s="74">
        <f>'прил 5'!K989</f>
        <v>0</v>
      </c>
      <c r="L803" s="74">
        <f>'прил 5'!L989</f>
        <v>0</v>
      </c>
      <c r="M803" s="74">
        <f>'прил 5'!M989</f>
        <v>0</v>
      </c>
      <c r="N803" s="74">
        <f>'прил 5'!N989</f>
        <v>0</v>
      </c>
      <c r="O803" s="74">
        <f>'прил 5'!O989</f>
        <v>0</v>
      </c>
    </row>
    <row r="804" spans="1:16" ht="38.25" customHeight="1">
      <c r="A804" s="16" t="s">
        <v>466</v>
      </c>
      <c r="B804" s="14">
        <v>793</v>
      </c>
      <c r="C804" s="15" t="s">
        <v>71</v>
      </c>
      <c r="D804" s="15" t="s">
        <v>127</v>
      </c>
      <c r="E804" s="15" t="s">
        <v>467</v>
      </c>
      <c r="F804" s="15"/>
      <c r="G804" s="74">
        <f t="shared" ref="G804:I805" si="206">G805</f>
        <v>57935</v>
      </c>
      <c r="H804" s="118">
        <f t="shared" si="206"/>
        <v>67500</v>
      </c>
      <c r="I804" s="118">
        <f t="shared" si="206"/>
        <v>0</v>
      </c>
    </row>
    <row r="805" spans="1:16" ht="21.75" customHeight="1">
      <c r="A805" s="16" t="s">
        <v>38</v>
      </c>
      <c r="B805" s="14">
        <v>793</v>
      </c>
      <c r="C805" s="15" t="s">
        <v>71</v>
      </c>
      <c r="D805" s="15" t="s">
        <v>127</v>
      </c>
      <c r="E805" s="15" t="s">
        <v>467</v>
      </c>
      <c r="F805" s="15" t="s">
        <v>37</v>
      </c>
      <c r="G805" s="74">
        <f t="shared" si="206"/>
        <v>57935</v>
      </c>
      <c r="H805" s="118">
        <f t="shared" si="206"/>
        <v>67500</v>
      </c>
      <c r="I805" s="118">
        <f t="shared" si="206"/>
        <v>0</v>
      </c>
    </row>
    <row r="806" spans="1:16" ht="25.5">
      <c r="A806" s="16" t="s">
        <v>38</v>
      </c>
      <c r="B806" s="14">
        <v>793</v>
      </c>
      <c r="C806" s="15" t="s">
        <v>71</v>
      </c>
      <c r="D806" s="15" t="s">
        <v>127</v>
      </c>
      <c r="E806" s="15" t="s">
        <v>467</v>
      </c>
      <c r="F806" s="15" t="s">
        <v>39</v>
      </c>
      <c r="G806" s="74">
        <f>'прил 5'!G963</f>
        <v>57935</v>
      </c>
      <c r="H806" s="74">
        <f>'прил 5'!H963</f>
        <v>67500</v>
      </c>
      <c r="I806" s="74">
        <f>'прил 5'!I963</f>
        <v>0</v>
      </c>
    </row>
    <row r="807" spans="1:16" ht="38.25" customHeight="1">
      <c r="A807" s="16" t="s">
        <v>838</v>
      </c>
      <c r="B807" s="14">
        <v>793</v>
      </c>
      <c r="C807" s="15" t="s">
        <v>71</v>
      </c>
      <c r="D807" s="15" t="s">
        <v>127</v>
      </c>
      <c r="E807" s="15" t="s">
        <v>837</v>
      </c>
      <c r="F807" s="15"/>
      <c r="G807" s="74">
        <f>G808</f>
        <v>75915</v>
      </c>
      <c r="H807" s="74">
        <f t="shared" ref="H807:I808" si="207">H808</f>
        <v>0</v>
      </c>
      <c r="I807" s="74">
        <f t="shared" si="207"/>
        <v>0</v>
      </c>
      <c r="J807" s="1"/>
    </row>
    <row r="808" spans="1:16" ht="28.5" customHeight="1">
      <c r="A808" s="16" t="s">
        <v>38</v>
      </c>
      <c r="B808" s="14">
        <v>793</v>
      </c>
      <c r="C808" s="15" t="s">
        <v>71</v>
      </c>
      <c r="D808" s="15" t="s">
        <v>127</v>
      </c>
      <c r="E808" s="15" t="s">
        <v>837</v>
      </c>
      <c r="F808" s="15" t="s">
        <v>37</v>
      </c>
      <c r="G808" s="74">
        <f>G809</f>
        <v>75915</v>
      </c>
      <c r="H808" s="74">
        <f t="shared" si="207"/>
        <v>0</v>
      </c>
      <c r="I808" s="74">
        <f t="shared" si="207"/>
        <v>0</v>
      </c>
      <c r="J808" s="1"/>
    </row>
    <row r="809" spans="1:16" ht="25.5">
      <c r="A809" s="16" t="s">
        <v>38</v>
      </c>
      <c r="B809" s="14">
        <v>793</v>
      </c>
      <c r="C809" s="15" t="s">
        <v>71</v>
      </c>
      <c r="D809" s="15" t="s">
        <v>127</v>
      </c>
      <c r="E809" s="15" t="s">
        <v>837</v>
      </c>
      <c r="F809" s="15" t="s">
        <v>39</v>
      </c>
      <c r="G809" s="74">
        <f>'прил 5'!G966</f>
        <v>75915</v>
      </c>
      <c r="H809" s="74">
        <v>0</v>
      </c>
      <c r="I809" s="74">
        <v>0</v>
      </c>
      <c r="J809" s="1"/>
    </row>
    <row r="810" spans="1:16" ht="46.5" customHeight="1">
      <c r="A810" s="57" t="s">
        <v>826</v>
      </c>
      <c r="B810" s="14">
        <v>793</v>
      </c>
      <c r="C810" s="15" t="s">
        <v>71</v>
      </c>
      <c r="D810" s="15" t="s">
        <v>127</v>
      </c>
      <c r="E810" s="15" t="s">
        <v>516</v>
      </c>
      <c r="F810" s="15"/>
      <c r="G810" s="74">
        <f>G812</f>
        <v>4704988.4800000004</v>
      </c>
      <c r="H810" s="74">
        <f t="shared" ref="H810:I810" si="208">H812</f>
        <v>72500</v>
      </c>
      <c r="I810" s="74">
        <f t="shared" si="208"/>
        <v>0</v>
      </c>
      <c r="J810" s="1"/>
    </row>
    <row r="811" spans="1:16">
      <c r="A811" s="16" t="s">
        <v>334</v>
      </c>
      <c r="B811" s="14">
        <v>793</v>
      </c>
      <c r="C811" s="15" t="s">
        <v>71</v>
      </c>
      <c r="D811" s="15" t="s">
        <v>127</v>
      </c>
      <c r="E811" s="15" t="s">
        <v>516</v>
      </c>
      <c r="F811" s="15" t="s">
        <v>37</v>
      </c>
      <c r="G811" s="74">
        <f>G812</f>
        <v>4704988.4800000004</v>
      </c>
      <c r="H811" s="74">
        <f>H812</f>
        <v>72500</v>
      </c>
      <c r="I811" s="74">
        <f>I812</f>
        <v>0</v>
      </c>
      <c r="J811" s="1"/>
    </row>
    <row r="812" spans="1:16" ht="25.5">
      <c r="A812" s="16" t="s">
        <v>38</v>
      </c>
      <c r="B812" s="14">
        <v>793</v>
      </c>
      <c r="C812" s="15" t="s">
        <v>71</v>
      </c>
      <c r="D812" s="15" t="s">
        <v>127</v>
      </c>
      <c r="E812" s="15" t="s">
        <v>516</v>
      </c>
      <c r="F812" s="15" t="s">
        <v>39</v>
      </c>
      <c r="G812" s="74">
        <f>'прил 5'!G969+'прил 5'!G1006+'прил 5'!G1000</f>
        <v>4704988.4800000004</v>
      </c>
      <c r="H812" s="74">
        <f>'прил 5'!H1000+'прил 5'!H969</f>
        <v>72500</v>
      </c>
      <c r="I812" s="74">
        <f>'прил 5'!I969+'прил 5'!I1006+'прил 5'!I1000</f>
        <v>0</v>
      </c>
      <c r="J812" s="1"/>
    </row>
    <row r="813" spans="1:16" ht="46.5" hidden="1" customHeight="1">
      <c r="A813" s="57" t="s">
        <v>519</v>
      </c>
      <c r="B813" s="14">
        <v>793</v>
      </c>
      <c r="C813" s="15" t="s">
        <v>71</v>
      </c>
      <c r="D813" s="15" t="s">
        <v>127</v>
      </c>
      <c r="E813" s="15" t="s">
        <v>518</v>
      </c>
      <c r="F813" s="15"/>
      <c r="G813" s="74">
        <f>G814</f>
        <v>0</v>
      </c>
      <c r="H813" s="74">
        <f t="shared" ref="H813:I813" si="209">H814</f>
        <v>0</v>
      </c>
      <c r="I813" s="74">
        <f t="shared" si="209"/>
        <v>0</v>
      </c>
      <c r="J813" s="1"/>
    </row>
    <row r="814" spans="1:16" hidden="1">
      <c r="A814" s="16" t="s">
        <v>334</v>
      </c>
      <c r="B814" s="14">
        <v>793</v>
      </c>
      <c r="C814" s="15" t="s">
        <v>71</v>
      </c>
      <c r="D814" s="15" t="s">
        <v>127</v>
      </c>
      <c r="E814" s="15" t="s">
        <v>518</v>
      </c>
      <c r="F814" s="15" t="s">
        <v>37</v>
      </c>
      <c r="G814" s="74">
        <f>G815</f>
        <v>0</v>
      </c>
      <c r="H814" s="74">
        <f>H815</f>
        <v>0</v>
      </c>
      <c r="I814" s="74">
        <f>I815</f>
        <v>0</v>
      </c>
      <c r="J814" s="1"/>
    </row>
    <row r="815" spans="1:16" ht="25.5" hidden="1">
      <c r="A815" s="16" t="s">
        <v>38</v>
      </c>
      <c r="B815" s="14">
        <v>793</v>
      </c>
      <c r="C815" s="15" t="s">
        <v>71</v>
      </c>
      <c r="D815" s="15" t="s">
        <v>127</v>
      </c>
      <c r="E815" s="15" t="s">
        <v>518</v>
      </c>
      <c r="F815" s="15" t="s">
        <v>39</v>
      </c>
      <c r="G815" s="74">
        <f>'прил 5'!G972</f>
        <v>0</v>
      </c>
      <c r="H815" s="238">
        <f>'прил 5'!H972</f>
        <v>0</v>
      </c>
      <c r="I815" s="74">
        <f>'прил 5'!I972</f>
        <v>0</v>
      </c>
      <c r="J815" s="74">
        <f>'прил 5'!J972</f>
        <v>0</v>
      </c>
      <c r="K815" s="74">
        <f>'прил 5'!K972</f>
        <v>0</v>
      </c>
      <c r="L815" s="74">
        <f>'прил 5'!L972</f>
        <v>0</v>
      </c>
      <c r="M815" s="74">
        <f>'прил 5'!M972</f>
        <v>0</v>
      </c>
      <c r="N815" s="74">
        <f>'прил 5'!N972</f>
        <v>0</v>
      </c>
      <c r="O815" s="74">
        <f>'прил 5'!O972</f>
        <v>0</v>
      </c>
    </row>
    <row r="816" spans="1:16" s="143" customFormat="1" ht="51">
      <c r="A816" s="131" t="s">
        <v>460</v>
      </c>
      <c r="B816" s="142"/>
      <c r="C816" s="120"/>
      <c r="D816" s="120"/>
      <c r="E816" s="128" t="s">
        <v>257</v>
      </c>
      <c r="F816" s="128"/>
      <c r="G816" s="129">
        <f>G817+G820+G823</f>
        <v>7017854.9100000001</v>
      </c>
      <c r="H816" s="129">
        <f>H817+H820</f>
        <v>2965000</v>
      </c>
      <c r="I816" s="129">
        <f>I817+I820</f>
        <v>8114630</v>
      </c>
      <c r="J816" s="161">
        <v>3000000</v>
      </c>
      <c r="P816" s="161"/>
    </row>
    <row r="817" spans="1:16">
      <c r="A817" s="40" t="s">
        <v>515</v>
      </c>
      <c r="B817" s="14">
        <v>793</v>
      </c>
      <c r="C817" s="15" t="s">
        <v>19</v>
      </c>
      <c r="D817" s="15" t="s">
        <v>23</v>
      </c>
      <c r="E817" s="15" t="s">
        <v>413</v>
      </c>
      <c r="F817" s="15"/>
      <c r="G817" s="102">
        <f t="shared" ref="G817:I818" si="210">G818</f>
        <v>5058854.91</v>
      </c>
      <c r="H817" s="102">
        <f t="shared" si="210"/>
        <v>2920000</v>
      </c>
      <c r="I817" s="102">
        <f t="shared" si="210"/>
        <v>8069630</v>
      </c>
      <c r="J817" s="2">
        <v>40000</v>
      </c>
    </row>
    <row r="818" spans="1:16" ht="25.5" customHeight="1">
      <c r="A818" s="16" t="s">
        <v>334</v>
      </c>
      <c r="B818" s="14">
        <v>793</v>
      </c>
      <c r="C818" s="15" t="s">
        <v>19</v>
      </c>
      <c r="D818" s="15" t="s">
        <v>23</v>
      </c>
      <c r="E818" s="15" t="s">
        <v>413</v>
      </c>
      <c r="F818" s="15" t="s">
        <v>37</v>
      </c>
      <c r="G818" s="102">
        <f t="shared" si="210"/>
        <v>5058854.91</v>
      </c>
      <c r="H818" s="102">
        <f t="shared" si="210"/>
        <v>2920000</v>
      </c>
      <c r="I818" s="102">
        <f t="shared" si="210"/>
        <v>8069630</v>
      </c>
    </row>
    <row r="819" spans="1:16" ht="25.5" customHeight="1">
      <c r="A819" s="16" t="s">
        <v>38</v>
      </c>
      <c r="B819" s="14">
        <v>793</v>
      </c>
      <c r="C819" s="15" t="s">
        <v>19</v>
      </c>
      <c r="D819" s="15" t="s">
        <v>23</v>
      </c>
      <c r="E819" s="15" t="s">
        <v>413</v>
      </c>
      <c r="F819" s="15" t="s">
        <v>39</v>
      </c>
      <c r="G819" s="102">
        <f>'прил 5'!G912</f>
        <v>5058854.91</v>
      </c>
      <c r="H819" s="102">
        <f>'прил 5'!H911</f>
        <v>2920000</v>
      </c>
      <c r="I819" s="102">
        <f>'прил 5'!I911</f>
        <v>8069630</v>
      </c>
    </row>
    <row r="820" spans="1:16" ht="45" customHeight="1">
      <c r="A820" s="40" t="s">
        <v>21</v>
      </c>
      <c r="B820" s="14">
        <v>793</v>
      </c>
      <c r="C820" s="15" t="s">
        <v>19</v>
      </c>
      <c r="D820" s="15" t="s">
        <v>23</v>
      </c>
      <c r="E820" s="15" t="s">
        <v>20</v>
      </c>
      <c r="F820" s="15"/>
      <c r="G820" s="102">
        <f t="shared" ref="G820:I821" si="211">G821</f>
        <v>40000</v>
      </c>
      <c r="H820" s="102">
        <f t="shared" si="211"/>
        <v>45000</v>
      </c>
      <c r="I820" s="102">
        <f t="shared" si="211"/>
        <v>45000</v>
      </c>
    </row>
    <row r="821" spans="1:16">
      <c r="A821" s="16" t="s">
        <v>334</v>
      </c>
      <c r="B821" s="14">
        <v>793</v>
      </c>
      <c r="C821" s="15" t="s">
        <v>19</v>
      </c>
      <c r="D821" s="15" t="s">
        <v>23</v>
      </c>
      <c r="E821" s="15" t="s">
        <v>20</v>
      </c>
      <c r="F821" s="15" t="s">
        <v>37</v>
      </c>
      <c r="G821" s="102">
        <f t="shared" si="211"/>
        <v>40000</v>
      </c>
      <c r="H821" s="102">
        <f t="shared" si="211"/>
        <v>45000</v>
      </c>
      <c r="I821" s="102">
        <f t="shared" si="211"/>
        <v>45000</v>
      </c>
    </row>
    <row r="822" spans="1:16" ht="30.75" customHeight="1">
      <c r="A822" s="16" t="s">
        <v>38</v>
      </c>
      <c r="B822" s="14">
        <v>793</v>
      </c>
      <c r="C822" s="15" t="s">
        <v>19</v>
      </c>
      <c r="D822" s="15" t="s">
        <v>23</v>
      </c>
      <c r="E822" s="15" t="s">
        <v>20</v>
      </c>
      <c r="F822" s="15" t="s">
        <v>39</v>
      </c>
      <c r="G822" s="102">
        <f>'прил 5'!G915</f>
        <v>40000</v>
      </c>
      <c r="H822" s="102">
        <f>'прил 5'!H915</f>
        <v>45000</v>
      </c>
      <c r="I822" s="102">
        <f>'прил 5'!I915</f>
        <v>45000</v>
      </c>
    </row>
    <row r="823" spans="1:16" ht="25.5">
      <c r="A823" s="40" t="s">
        <v>866</v>
      </c>
      <c r="B823" s="14">
        <v>793</v>
      </c>
      <c r="C823" s="15" t="s">
        <v>19</v>
      </c>
      <c r="D823" s="15" t="s">
        <v>23</v>
      </c>
      <c r="E823" s="15" t="s">
        <v>865</v>
      </c>
      <c r="F823" s="15"/>
      <c r="G823" s="74">
        <f t="shared" ref="G823:I824" si="212">G824</f>
        <v>1919000</v>
      </c>
      <c r="H823" s="74">
        <f t="shared" si="212"/>
        <v>0</v>
      </c>
      <c r="I823" s="74">
        <f t="shared" si="212"/>
        <v>0</v>
      </c>
      <c r="J823" s="1"/>
    </row>
    <row r="824" spans="1:16" ht="20.25" customHeight="1">
      <c r="A824" s="16" t="s">
        <v>334</v>
      </c>
      <c r="B824" s="14">
        <v>793</v>
      </c>
      <c r="C824" s="15" t="s">
        <v>19</v>
      </c>
      <c r="D824" s="15" t="s">
        <v>23</v>
      </c>
      <c r="E824" s="15" t="s">
        <v>865</v>
      </c>
      <c r="F824" s="15" t="s">
        <v>37</v>
      </c>
      <c r="G824" s="74">
        <f t="shared" si="212"/>
        <v>1919000</v>
      </c>
      <c r="H824" s="74">
        <f t="shared" si="212"/>
        <v>0</v>
      </c>
      <c r="I824" s="74">
        <f t="shared" si="212"/>
        <v>0</v>
      </c>
      <c r="J824" s="1"/>
    </row>
    <row r="825" spans="1:16" ht="30.75" customHeight="1">
      <c r="A825" s="16" t="s">
        <v>38</v>
      </c>
      <c r="B825" s="14">
        <v>793</v>
      </c>
      <c r="C825" s="15" t="s">
        <v>19</v>
      </c>
      <c r="D825" s="15" t="s">
        <v>23</v>
      </c>
      <c r="E825" s="15" t="s">
        <v>865</v>
      </c>
      <c r="F825" s="15" t="s">
        <v>39</v>
      </c>
      <c r="G825" s="74">
        <v>1919000</v>
      </c>
      <c r="H825" s="74">
        <v>0</v>
      </c>
      <c r="I825" s="74">
        <v>0</v>
      </c>
      <c r="J825" s="1"/>
    </row>
    <row r="826" spans="1:16" s="184" customFormat="1" ht="69" customHeight="1">
      <c r="A826" s="131" t="s">
        <v>513</v>
      </c>
      <c r="B826" s="235">
        <v>795</v>
      </c>
      <c r="C826" s="224" t="s">
        <v>180</v>
      </c>
      <c r="D826" s="224" t="s">
        <v>28</v>
      </c>
      <c r="E826" s="128" t="s">
        <v>305</v>
      </c>
      <c r="F826" s="128"/>
      <c r="G826" s="129">
        <f>G827+G834+G837+G842+G848+G853+G856+G859+G865+G868+G871+G889+G903+G908+G920+G895+G845+G935+G938++G941+G944+G900+G925+G930</f>
        <v>39762469.330000006</v>
      </c>
      <c r="H826" s="129">
        <f>H827+H834+H837+H842+H848+H853+H856+H859+H865+H868+H871+H889+H903+H908+H920+H895+H845+H935+H938++H941+H944+H900+H925</f>
        <v>22293203.789999999</v>
      </c>
      <c r="I826" s="129">
        <f>I827+I834+I837+I842+I848+I853+I856+I859+I865+I868+I871+I889+I903+I908+I920+I895+I845+I935+I938++I941+I944+I900+I925</f>
        <v>19590553</v>
      </c>
      <c r="J826" s="183">
        <f>H828+H830+H833+H836+H839+H850+H852+H855+H858+H861+H867+H870+H873</f>
        <v>18561474</v>
      </c>
      <c r="M826" s="184">
        <v>45000</v>
      </c>
      <c r="P826" s="183"/>
    </row>
    <row r="827" spans="1:16" s="22" customFormat="1" ht="25.5">
      <c r="A827" s="16" t="s">
        <v>78</v>
      </c>
      <c r="B827" s="49">
        <v>795</v>
      </c>
      <c r="C827" s="70" t="s">
        <v>55</v>
      </c>
      <c r="D827" s="70" t="s">
        <v>90</v>
      </c>
      <c r="E827" s="41" t="s">
        <v>292</v>
      </c>
      <c r="F827" s="70"/>
      <c r="G827" s="29">
        <f>G828+G831+G832</f>
        <v>11571445</v>
      </c>
      <c r="H827" s="29">
        <f t="shared" ref="H827:I827" si="213">H828+H831+H832</f>
        <v>12393759</v>
      </c>
      <c r="I827" s="29">
        <f t="shared" si="213"/>
        <v>12522838</v>
      </c>
      <c r="J827" s="21"/>
      <c r="M827" s="22">
        <v>10893191</v>
      </c>
      <c r="P827" s="21"/>
    </row>
    <row r="828" spans="1:16" s="184" customFormat="1" ht="51">
      <c r="A828" s="214" t="s">
        <v>56</v>
      </c>
      <c r="B828" s="87">
        <v>795</v>
      </c>
      <c r="C828" s="215" t="s">
        <v>55</v>
      </c>
      <c r="D828" s="215" t="s">
        <v>90</v>
      </c>
      <c r="E828" s="216" t="s">
        <v>292</v>
      </c>
      <c r="F828" s="216" t="s">
        <v>59</v>
      </c>
      <c r="G828" s="108">
        <f>G829</f>
        <v>10713123</v>
      </c>
      <c r="H828" s="108">
        <f t="shared" ref="H828:I828" si="214">H829</f>
        <v>11878437</v>
      </c>
      <c r="I828" s="108">
        <f t="shared" si="214"/>
        <v>12007516</v>
      </c>
      <c r="J828" s="183"/>
      <c r="M828" s="184">
        <v>431322</v>
      </c>
    </row>
    <row r="829" spans="1:16" s="184" customFormat="1" ht="25.5">
      <c r="A829" s="214" t="s">
        <v>57</v>
      </c>
      <c r="B829" s="87">
        <v>795</v>
      </c>
      <c r="C829" s="215" t="s">
        <v>55</v>
      </c>
      <c r="D829" s="215" t="s">
        <v>90</v>
      </c>
      <c r="E829" s="216" t="s">
        <v>292</v>
      </c>
      <c r="F829" s="216" t="s">
        <v>60</v>
      </c>
      <c r="G829" s="108">
        <f>'прил 5'!G1317</f>
        <v>10713123</v>
      </c>
      <c r="H829" s="108">
        <f>'прил 5'!H1317</f>
        <v>11878437</v>
      </c>
      <c r="I829" s="108">
        <f>'прил 5'!I1317</f>
        <v>12007516</v>
      </c>
      <c r="J829" s="183"/>
      <c r="M829" s="184">
        <v>20000</v>
      </c>
    </row>
    <row r="830" spans="1:16" s="105" customFormat="1" ht="25.5">
      <c r="A830" s="86" t="s">
        <v>36</v>
      </c>
      <c r="B830" s="87">
        <v>795</v>
      </c>
      <c r="C830" s="215" t="s">
        <v>55</v>
      </c>
      <c r="D830" s="215" t="s">
        <v>90</v>
      </c>
      <c r="E830" s="216" t="s">
        <v>292</v>
      </c>
      <c r="F830" s="88" t="s">
        <v>37</v>
      </c>
      <c r="G830" s="102">
        <f>G831</f>
        <v>743013</v>
      </c>
      <c r="H830" s="102">
        <f t="shared" ref="H830:I830" si="215">H831</f>
        <v>453013</v>
      </c>
      <c r="I830" s="102">
        <f t="shared" si="215"/>
        <v>453013</v>
      </c>
      <c r="J830" s="183"/>
      <c r="M830" s="184">
        <v>1600000</v>
      </c>
    </row>
    <row r="831" spans="1:16" s="105" customFormat="1" ht="25.5">
      <c r="A831" s="86" t="s">
        <v>38</v>
      </c>
      <c r="B831" s="87">
        <v>795</v>
      </c>
      <c r="C831" s="215" t="s">
        <v>55</v>
      </c>
      <c r="D831" s="215" t="s">
        <v>90</v>
      </c>
      <c r="E831" s="216" t="s">
        <v>292</v>
      </c>
      <c r="F831" s="88" t="s">
        <v>39</v>
      </c>
      <c r="G831" s="102">
        <f>'прил 5'!G1319</f>
        <v>743013</v>
      </c>
      <c r="H831" s="102">
        <f>'прил 5'!H1319</f>
        <v>453013</v>
      </c>
      <c r="I831" s="102">
        <f>'прил 5'!I1319</f>
        <v>453013</v>
      </c>
      <c r="J831" s="183"/>
      <c r="M831" s="184">
        <v>800000</v>
      </c>
    </row>
    <row r="832" spans="1:16" s="218" customFormat="1" ht="25.5">
      <c r="A832" s="86" t="s">
        <v>38</v>
      </c>
      <c r="B832" s="217">
        <v>792</v>
      </c>
      <c r="C832" s="215" t="s">
        <v>55</v>
      </c>
      <c r="D832" s="215" t="s">
        <v>90</v>
      </c>
      <c r="E832" s="216" t="s">
        <v>292</v>
      </c>
      <c r="F832" s="88" t="s">
        <v>65</v>
      </c>
      <c r="G832" s="102">
        <f>G833</f>
        <v>115309</v>
      </c>
      <c r="H832" s="102">
        <f t="shared" ref="H832:I832" si="216">H833</f>
        <v>62309</v>
      </c>
      <c r="I832" s="102">
        <f t="shared" si="216"/>
        <v>62309</v>
      </c>
      <c r="J832" s="183"/>
      <c r="M832" s="184">
        <v>550000</v>
      </c>
    </row>
    <row r="833" spans="1:13" s="218" customFormat="1">
      <c r="A833" s="86" t="s">
        <v>150</v>
      </c>
      <c r="B833" s="217">
        <v>792</v>
      </c>
      <c r="C833" s="215" t="s">
        <v>55</v>
      </c>
      <c r="D833" s="215" t="s">
        <v>90</v>
      </c>
      <c r="E833" s="216" t="s">
        <v>292</v>
      </c>
      <c r="F833" s="88" t="s">
        <v>68</v>
      </c>
      <c r="G833" s="102">
        <f>'прил 5'!G1321</f>
        <v>115309</v>
      </c>
      <c r="H833" s="102">
        <f>'прил 5'!H1321</f>
        <v>62309</v>
      </c>
      <c r="I833" s="102">
        <f>'прил 5'!I1321</f>
        <v>62309</v>
      </c>
      <c r="J833" s="183"/>
      <c r="M833" s="184">
        <v>97644600</v>
      </c>
    </row>
    <row r="834" spans="1:13" s="219" customFormat="1" ht="67.5" customHeight="1">
      <c r="A834" s="86" t="s">
        <v>331</v>
      </c>
      <c r="B834" s="87">
        <v>795</v>
      </c>
      <c r="C834" s="88" t="s">
        <v>180</v>
      </c>
      <c r="D834" s="88" t="s">
        <v>28</v>
      </c>
      <c r="E834" s="88" t="s">
        <v>332</v>
      </c>
      <c r="F834" s="88"/>
      <c r="G834" s="102">
        <f t="shared" ref="G834:I835" si="217">G835</f>
        <v>662715</v>
      </c>
      <c r="H834" s="102">
        <f t="shared" si="217"/>
        <v>662715</v>
      </c>
      <c r="I834" s="102">
        <f t="shared" si="217"/>
        <v>662715</v>
      </c>
      <c r="J834" s="183"/>
      <c r="M834" s="184">
        <v>1893100</v>
      </c>
    </row>
    <row r="835" spans="1:13" s="219" customFormat="1" ht="21.75" customHeight="1">
      <c r="A835" s="86" t="s">
        <v>163</v>
      </c>
      <c r="B835" s="87">
        <v>795</v>
      </c>
      <c r="C835" s="88" t="s">
        <v>180</v>
      </c>
      <c r="D835" s="88" t="s">
        <v>28</v>
      </c>
      <c r="E835" s="88" t="s">
        <v>332</v>
      </c>
      <c r="F835" s="88" t="s">
        <v>164</v>
      </c>
      <c r="G835" s="102">
        <f t="shared" si="217"/>
        <v>662715</v>
      </c>
      <c r="H835" s="102">
        <f t="shared" si="217"/>
        <v>662715</v>
      </c>
      <c r="I835" s="102">
        <f t="shared" si="217"/>
        <v>662715</v>
      </c>
      <c r="J835" s="183"/>
      <c r="M835" s="184">
        <v>2400000</v>
      </c>
    </row>
    <row r="836" spans="1:13" s="105" customFormat="1" ht="18.75" customHeight="1">
      <c r="A836" s="86" t="s">
        <v>185</v>
      </c>
      <c r="B836" s="87">
        <v>795</v>
      </c>
      <c r="C836" s="88" t="s">
        <v>180</v>
      </c>
      <c r="D836" s="88" t="s">
        <v>28</v>
      </c>
      <c r="E836" s="88" t="s">
        <v>332</v>
      </c>
      <c r="F836" s="88" t="s">
        <v>186</v>
      </c>
      <c r="G836" s="102">
        <f>'прил 5'!G1370</f>
        <v>662715</v>
      </c>
      <c r="H836" s="102">
        <f>'прил 5'!H1370</f>
        <v>662715</v>
      </c>
      <c r="I836" s="102">
        <f>'прил 5'!I1370</f>
        <v>662715</v>
      </c>
      <c r="J836" s="183"/>
      <c r="M836" s="184">
        <v>1000000</v>
      </c>
    </row>
    <row r="837" spans="1:13" s="105" customFormat="1" ht="27.75" customHeight="1">
      <c r="A837" s="86" t="s">
        <v>909</v>
      </c>
      <c r="B837" s="87">
        <v>795</v>
      </c>
      <c r="C837" s="88" t="s">
        <v>180</v>
      </c>
      <c r="D837" s="88" t="s">
        <v>28</v>
      </c>
      <c r="E837" s="88" t="s">
        <v>306</v>
      </c>
      <c r="F837" s="88"/>
      <c r="G837" s="102">
        <f>G838+G840</f>
        <v>4864435.9000000004</v>
      </c>
      <c r="H837" s="102">
        <f t="shared" ref="G837:I838" si="218">H838</f>
        <v>1000000</v>
      </c>
      <c r="I837" s="102">
        <f t="shared" si="218"/>
        <v>1000000</v>
      </c>
      <c r="J837" s="183"/>
      <c r="M837" s="184">
        <v>662715</v>
      </c>
    </row>
    <row r="838" spans="1:13" s="105" customFormat="1" ht="25.5">
      <c r="A838" s="86" t="s">
        <v>36</v>
      </c>
      <c r="B838" s="87">
        <v>795</v>
      </c>
      <c r="C838" s="88" t="s">
        <v>180</v>
      </c>
      <c r="D838" s="88" t="s">
        <v>28</v>
      </c>
      <c r="E838" s="88" t="s">
        <v>306</v>
      </c>
      <c r="F838" s="88" t="s">
        <v>37</v>
      </c>
      <c r="G838" s="102">
        <f t="shared" si="218"/>
        <v>4864435.9000000004</v>
      </c>
      <c r="H838" s="102">
        <f t="shared" si="218"/>
        <v>1000000</v>
      </c>
      <c r="I838" s="102">
        <f t="shared" si="218"/>
        <v>1000000</v>
      </c>
      <c r="J838" s="183"/>
      <c r="M838" s="184">
        <v>1000000</v>
      </c>
    </row>
    <row r="839" spans="1:13" s="105" customFormat="1" ht="25.5">
      <c r="A839" s="86" t="s">
        <v>38</v>
      </c>
      <c r="B839" s="87">
        <v>795</v>
      </c>
      <c r="C839" s="88" t="s">
        <v>180</v>
      </c>
      <c r="D839" s="88" t="s">
        <v>28</v>
      </c>
      <c r="E839" s="88" t="s">
        <v>306</v>
      </c>
      <c r="F839" s="88" t="s">
        <v>39</v>
      </c>
      <c r="G839" s="102">
        <f>'прил 5'!G1359</f>
        <v>4864435.9000000004</v>
      </c>
      <c r="H839" s="102">
        <f>'прил 5'!H1359</f>
        <v>1000000</v>
      </c>
      <c r="I839" s="102">
        <f>'прил 5'!I1359</f>
        <v>1000000</v>
      </c>
      <c r="J839" s="183"/>
      <c r="M839" s="184">
        <v>200000</v>
      </c>
    </row>
    <row r="840" spans="1:13" hidden="1">
      <c r="A840" s="16" t="s">
        <v>64</v>
      </c>
      <c r="B840" s="49">
        <v>795</v>
      </c>
      <c r="C840" s="15" t="s">
        <v>180</v>
      </c>
      <c r="D840" s="15" t="s">
        <v>28</v>
      </c>
      <c r="E840" s="15" t="s">
        <v>306</v>
      </c>
      <c r="F840" s="15" t="s">
        <v>65</v>
      </c>
      <c r="G840" s="74">
        <f>G841</f>
        <v>0</v>
      </c>
      <c r="H840" s="74">
        <v>0</v>
      </c>
      <c r="I840" s="74">
        <v>0</v>
      </c>
      <c r="J840" s="1"/>
    </row>
    <row r="841" spans="1:13" hidden="1">
      <c r="A841" s="16" t="s">
        <v>187</v>
      </c>
      <c r="B841" s="49">
        <v>795</v>
      </c>
      <c r="C841" s="15" t="s">
        <v>180</v>
      </c>
      <c r="D841" s="15" t="s">
        <v>28</v>
      </c>
      <c r="E841" s="15" t="s">
        <v>306</v>
      </c>
      <c r="F841" s="15" t="s">
        <v>188</v>
      </c>
      <c r="G841" s="74">
        <f>'прил 5'!G1361</f>
        <v>0</v>
      </c>
      <c r="H841" s="74">
        <v>0</v>
      </c>
      <c r="I841" s="74">
        <v>0</v>
      </c>
      <c r="J841" s="1"/>
    </row>
    <row r="842" spans="1:13" s="105" customFormat="1">
      <c r="A842" s="86" t="s">
        <v>726</v>
      </c>
      <c r="B842" s="87">
        <v>795</v>
      </c>
      <c r="C842" s="88" t="s">
        <v>180</v>
      </c>
      <c r="D842" s="88" t="s">
        <v>28</v>
      </c>
      <c r="E842" s="88" t="s">
        <v>725</v>
      </c>
      <c r="F842" s="88"/>
      <c r="G842" s="102">
        <f t="shared" ref="G842:I843" si="219">G843</f>
        <v>136821.5</v>
      </c>
      <c r="H842" s="102">
        <f t="shared" si="219"/>
        <v>0</v>
      </c>
      <c r="I842" s="102">
        <f t="shared" si="219"/>
        <v>0</v>
      </c>
    </row>
    <row r="843" spans="1:13" s="105" customFormat="1" ht="25.5">
      <c r="A843" s="86" t="s">
        <v>36</v>
      </c>
      <c r="B843" s="87">
        <v>795</v>
      </c>
      <c r="C843" s="88" t="s">
        <v>180</v>
      </c>
      <c r="D843" s="88" t="s">
        <v>28</v>
      </c>
      <c r="E843" s="88" t="s">
        <v>725</v>
      </c>
      <c r="F843" s="88" t="s">
        <v>37</v>
      </c>
      <c r="G843" s="102">
        <f t="shared" si="219"/>
        <v>136821.5</v>
      </c>
      <c r="H843" s="102">
        <f t="shared" si="219"/>
        <v>0</v>
      </c>
      <c r="I843" s="102">
        <f t="shared" si="219"/>
        <v>0</v>
      </c>
    </row>
    <row r="844" spans="1:13" s="105" customFormat="1" ht="25.5">
      <c r="A844" s="86" t="s">
        <v>38</v>
      </c>
      <c r="B844" s="87">
        <v>795</v>
      </c>
      <c r="C844" s="88" t="s">
        <v>180</v>
      </c>
      <c r="D844" s="88" t="s">
        <v>28</v>
      </c>
      <c r="E844" s="88" t="s">
        <v>725</v>
      </c>
      <c r="F844" s="88" t="s">
        <v>39</v>
      </c>
      <c r="G844" s="102">
        <f>'прил 5'!G792</f>
        <v>136821.5</v>
      </c>
      <c r="H844" s="102">
        <v>0</v>
      </c>
      <c r="I844" s="102">
        <v>0</v>
      </c>
    </row>
    <row r="845" spans="1:13">
      <c r="A845" s="16" t="s">
        <v>780</v>
      </c>
      <c r="B845" s="49">
        <v>795</v>
      </c>
      <c r="C845" s="15" t="s">
        <v>180</v>
      </c>
      <c r="D845" s="15" t="s">
        <v>28</v>
      </c>
      <c r="E845" s="15" t="s">
        <v>779</v>
      </c>
      <c r="F845" s="15"/>
      <c r="G845" s="74">
        <f t="shared" ref="G845:I846" si="220">G846</f>
        <v>310000</v>
      </c>
      <c r="H845" s="74">
        <f t="shared" si="220"/>
        <v>0</v>
      </c>
      <c r="I845" s="74">
        <f t="shared" si="220"/>
        <v>0</v>
      </c>
      <c r="J845" s="1"/>
    </row>
    <row r="846" spans="1:13" ht="25.5">
      <c r="A846" s="16" t="s">
        <v>36</v>
      </c>
      <c r="B846" s="49">
        <v>795</v>
      </c>
      <c r="C846" s="15" t="s">
        <v>180</v>
      </c>
      <c r="D846" s="15" t="s">
        <v>28</v>
      </c>
      <c r="E846" s="15" t="s">
        <v>779</v>
      </c>
      <c r="F846" s="15" t="s">
        <v>37</v>
      </c>
      <c r="G846" s="74">
        <f t="shared" si="220"/>
        <v>310000</v>
      </c>
      <c r="H846" s="74">
        <f t="shared" si="220"/>
        <v>0</v>
      </c>
      <c r="I846" s="74">
        <f t="shared" si="220"/>
        <v>0</v>
      </c>
      <c r="J846" s="1"/>
    </row>
    <row r="847" spans="1:13" ht="25.5">
      <c r="A847" s="16" t="s">
        <v>38</v>
      </c>
      <c r="B847" s="49">
        <v>795</v>
      </c>
      <c r="C847" s="15" t="s">
        <v>180</v>
      </c>
      <c r="D847" s="15" t="s">
        <v>28</v>
      </c>
      <c r="E847" s="15" t="s">
        <v>779</v>
      </c>
      <c r="F847" s="15" t="s">
        <v>39</v>
      </c>
      <c r="G847" s="74">
        <f>'прил 5'!G1367</f>
        <v>310000</v>
      </c>
      <c r="H847" s="74">
        <v>0</v>
      </c>
      <c r="I847" s="74">
        <v>0</v>
      </c>
      <c r="J847" s="1"/>
    </row>
    <row r="848" spans="1:13" s="105" customFormat="1">
      <c r="A848" s="86" t="s">
        <v>120</v>
      </c>
      <c r="B848" s="87">
        <v>795</v>
      </c>
      <c r="C848" s="88" t="s">
        <v>180</v>
      </c>
      <c r="D848" s="88" t="s">
        <v>71</v>
      </c>
      <c r="E848" s="88" t="s">
        <v>104</v>
      </c>
      <c r="F848" s="88"/>
      <c r="G848" s="102">
        <f>G849+G851</f>
        <v>455000</v>
      </c>
      <c r="H848" s="102">
        <f>H849+H851</f>
        <v>505000</v>
      </c>
      <c r="I848" s="102">
        <f>I849+I851</f>
        <v>505000</v>
      </c>
      <c r="J848" s="183"/>
      <c r="M848" s="184">
        <v>60914</v>
      </c>
    </row>
    <row r="849" spans="1:13" s="105" customFormat="1" ht="25.5" customHeight="1">
      <c r="A849" s="86" t="s">
        <v>334</v>
      </c>
      <c r="B849" s="217">
        <v>793</v>
      </c>
      <c r="C849" s="88" t="s">
        <v>19</v>
      </c>
      <c r="D849" s="88" t="s">
        <v>23</v>
      </c>
      <c r="E849" s="88" t="s">
        <v>104</v>
      </c>
      <c r="F849" s="88" t="s">
        <v>37</v>
      </c>
      <c r="G849" s="102">
        <f>G850</f>
        <v>108104</v>
      </c>
      <c r="H849" s="102">
        <f>H850</f>
        <v>505000</v>
      </c>
      <c r="I849" s="102">
        <f>I850</f>
        <v>505000</v>
      </c>
      <c r="J849" s="183"/>
      <c r="M849" s="184">
        <v>365000</v>
      </c>
    </row>
    <row r="850" spans="1:13" s="105" customFormat="1" ht="25.5" customHeight="1">
      <c r="A850" s="86" t="s">
        <v>38</v>
      </c>
      <c r="B850" s="217">
        <v>793</v>
      </c>
      <c r="C850" s="88" t="s">
        <v>19</v>
      </c>
      <c r="D850" s="88" t="s">
        <v>23</v>
      </c>
      <c r="E850" s="88" t="s">
        <v>104</v>
      </c>
      <c r="F850" s="88" t="s">
        <v>39</v>
      </c>
      <c r="G850" s="102">
        <f>'прил 5'!G1442</f>
        <v>108104</v>
      </c>
      <c r="H850" s="102">
        <f>'прил 5'!H1442</f>
        <v>505000</v>
      </c>
      <c r="I850" s="102">
        <f>'прил 5'!I1442</f>
        <v>505000</v>
      </c>
      <c r="J850" s="183"/>
      <c r="M850" s="184">
        <v>50000</v>
      </c>
    </row>
    <row r="851" spans="1:13" s="105" customFormat="1">
      <c r="A851" s="86" t="s">
        <v>163</v>
      </c>
      <c r="B851" s="87">
        <v>795</v>
      </c>
      <c r="C851" s="88" t="s">
        <v>180</v>
      </c>
      <c r="D851" s="88" t="s">
        <v>71</v>
      </c>
      <c r="E851" s="88" t="s">
        <v>104</v>
      </c>
      <c r="F851" s="88" t="s">
        <v>164</v>
      </c>
      <c r="G851" s="102">
        <f>G852</f>
        <v>346896</v>
      </c>
      <c r="H851" s="102">
        <f t="shared" ref="H851:I851" si="221">H852</f>
        <v>0</v>
      </c>
      <c r="I851" s="102">
        <f t="shared" si="221"/>
        <v>0</v>
      </c>
      <c r="J851" s="188"/>
      <c r="M851" s="105">
        <v>500000</v>
      </c>
    </row>
    <row r="852" spans="1:13" s="105" customFormat="1">
      <c r="A852" s="86" t="s">
        <v>185</v>
      </c>
      <c r="B852" s="87">
        <v>795</v>
      </c>
      <c r="C852" s="88" t="s">
        <v>180</v>
      </c>
      <c r="D852" s="88" t="s">
        <v>71</v>
      </c>
      <c r="E852" s="88" t="s">
        <v>104</v>
      </c>
      <c r="F852" s="88" t="s">
        <v>186</v>
      </c>
      <c r="G852" s="102">
        <f>'прил 5'!G1444</f>
        <v>346896</v>
      </c>
      <c r="H852" s="102">
        <f>'прил 5'!H1444</f>
        <v>0</v>
      </c>
      <c r="I852" s="102">
        <f>'прил 5'!I1444</f>
        <v>0</v>
      </c>
      <c r="J852" s="188"/>
      <c r="M852" s="105">
        <f>M826+M827+M828+M829+M830+M831+M832+M833+M834+M835+M836+M837+M838+M839+M848+M849+M850+M851</f>
        <v>120115842</v>
      </c>
    </row>
    <row r="853" spans="1:13" s="105" customFormat="1" ht="26.25" customHeight="1">
      <c r="A853" s="86" t="s">
        <v>79</v>
      </c>
      <c r="B853" s="87">
        <v>795</v>
      </c>
      <c r="C853" s="88" t="s">
        <v>180</v>
      </c>
      <c r="D853" s="88" t="s">
        <v>71</v>
      </c>
      <c r="E853" s="88" t="s">
        <v>80</v>
      </c>
      <c r="F853" s="88"/>
      <c r="G853" s="102">
        <f t="shared" ref="G853:I854" si="222">G854</f>
        <v>70000</v>
      </c>
      <c r="H853" s="102">
        <f t="shared" si="222"/>
        <v>50000</v>
      </c>
      <c r="I853" s="102">
        <f t="shared" si="222"/>
        <v>50000</v>
      </c>
      <c r="J853" s="188"/>
      <c r="M853" s="188">
        <f>M852-H826</f>
        <v>97822638.210000008</v>
      </c>
    </row>
    <row r="854" spans="1:13" s="105" customFormat="1" ht="26.25" customHeight="1">
      <c r="A854" s="86" t="s">
        <v>36</v>
      </c>
      <c r="B854" s="87">
        <v>795</v>
      </c>
      <c r="C854" s="88" t="s">
        <v>180</v>
      </c>
      <c r="D854" s="88" t="s">
        <v>71</v>
      </c>
      <c r="E854" s="88" t="s">
        <v>80</v>
      </c>
      <c r="F854" s="88" t="s">
        <v>37</v>
      </c>
      <c r="G854" s="102">
        <f t="shared" si="222"/>
        <v>70000</v>
      </c>
      <c r="H854" s="102">
        <f t="shared" si="222"/>
        <v>50000</v>
      </c>
      <c r="I854" s="102">
        <f t="shared" si="222"/>
        <v>50000</v>
      </c>
      <c r="J854" s="188"/>
    </row>
    <row r="855" spans="1:13" s="105" customFormat="1" ht="25.5">
      <c r="A855" s="86" t="s">
        <v>38</v>
      </c>
      <c r="B855" s="87">
        <v>795</v>
      </c>
      <c r="C855" s="88" t="s">
        <v>180</v>
      </c>
      <c r="D855" s="88" t="s">
        <v>71</v>
      </c>
      <c r="E855" s="88" t="s">
        <v>80</v>
      </c>
      <c r="F855" s="88" t="s">
        <v>39</v>
      </c>
      <c r="G855" s="102">
        <f>'прил 5'!G1447</f>
        <v>70000</v>
      </c>
      <c r="H855" s="102">
        <f>'прил 5'!H1447</f>
        <v>50000</v>
      </c>
      <c r="I855" s="102">
        <f>'прил 5'!I1447</f>
        <v>50000</v>
      </c>
      <c r="J855" s="188"/>
    </row>
    <row r="856" spans="1:13" s="105" customFormat="1" ht="34.5" customHeight="1">
      <c r="A856" s="86" t="s">
        <v>730</v>
      </c>
      <c r="B856" s="87">
        <v>795</v>
      </c>
      <c r="C856" s="88" t="s">
        <v>180</v>
      </c>
      <c r="D856" s="88" t="s">
        <v>71</v>
      </c>
      <c r="E856" s="88" t="s">
        <v>431</v>
      </c>
      <c r="F856" s="88"/>
      <c r="G856" s="102">
        <f t="shared" ref="G856:I857" si="223">G857</f>
        <v>317500</v>
      </c>
      <c r="H856" s="102">
        <f t="shared" si="223"/>
        <v>500000</v>
      </c>
      <c r="I856" s="102">
        <f t="shared" si="223"/>
        <v>500000</v>
      </c>
      <c r="J856" s="188"/>
    </row>
    <row r="857" spans="1:13" s="105" customFormat="1" ht="34.5" customHeight="1">
      <c r="A857" s="86" t="s">
        <v>36</v>
      </c>
      <c r="B857" s="87">
        <v>795</v>
      </c>
      <c r="C857" s="88" t="s">
        <v>180</v>
      </c>
      <c r="D857" s="88" t="s">
        <v>71</v>
      </c>
      <c r="E857" s="88" t="s">
        <v>431</v>
      </c>
      <c r="F857" s="88" t="s">
        <v>37</v>
      </c>
      <c r="G857" s="102">
        <f t="shared" si="223"/>
        <v>317500</v>
      </c>
      <c r="H857" s="102">
        <f t="shared" si="223"/>
        <v>500000</v>
      </c>
      <c r="I857" s="102">
        <f t="shared" si="223"/>
        <v>500000</v>
      </c>
      <c r="J857" s="188"/>
    </row>
    <row r="858" spans="1:13" s="105" customFormat="1" ht="34.5" customHeight="1">
      <c r="A858" s="86" t="s">
        <v>38</v>
      </c>
      <c r="B858" s="87">
        <v>795</v>
      </c>
      <c r="C858" s="88" t="s">
        <v>180</v>
      </c>
      <c r="D858" s="88" t="s">
        <v>71</v>
      </c>
      <c r="E858" s="88" t="s">
        <v>431</v>
      </c>
      <c r="F858" s="88" t="s">
        <v>39</v>
      </c>
      <c r="G858" s="102">
        <f>'прил 5'!G1450</f>
        <v>317500</v>
      </c>
      <c r="H858" s="102">
        <f>'прил 5'!H1450</f>
        <v>500000</v>
      </c>
      <c r="I858" s="102">
        <f>'прил 5'!I1450</f>
        <v>500000</v>
      </c>
      <c r="J858" s="188"/>
    </row>
    <row r="859" spans="1:13" s="105" customFormat="1" ht="51">
      <c r="A859" s="86" t="s">
        <v>83</v>
      </c>
      <c r="B859" s="87">
        <v>795</v>
      </c>
      <c r="C859" s="88" t="s">
        <v>180</v>
      </c>
      <c r="D859" s="88" t="s">
        <v>71</v>
      </c>
      <c r="E859" s="88" t="s">
        <v>82</v>
      </c>
      <c r="F859" s="88"/>
      <c r="G859" s="102">
        <f t="shared" ref="G859:I860" si="224">G860</f>
        <v>1600000</v>
      </c>
      <c r="H859" s="102">
        <f t="shared" si="224"/>
        <v>1600000</v>
      </c>
      <c r="I859" s="102">
        <f t="shared" si="224"/>
        <v>1600000</v>
      </c>
      <c r="J859" s="188"/>
    </row>
    <row r="860" spans="1:13" s="105" customFormat="1" ht="25.5" customHeight="1">
      <c r="A860" s="86" t="s">
        <v>334</v>
      </c>
      <c r="B860" s="217">
        <v>793</v>
      </c>
      <c r="C860" s="88" t="s">
        <v>19</v>
      </c>
      <c r="D860" s="88" t="s">
        <v>23</v>
      </c>
      <c r="E860" s="88" t="s">
        <v>82</v>
      </c>
      <c r="F860" s="88" t="s">
        <v>37</v>
      </c>
      <c r="G860" s="102">
        <f t="shared" si="224"/>
        <v>1600000</v>
      </c>
      <c r="H860" s="102">
        <f t="shared" si="224"/>
        <v>1600000</v>
      </c>
      <c r="I860" s="102">
        <f t="shared" si="224"/>
        <v>1600000</v>
      </c>
      <c r="J860" s="188"/>
    </row>
    <row r="861" spans="1:13" s="105" customFormat="1" ht="25.5" customHeight="1">
      <c r="A861" s="86" t="s">
        <v>38</v>
      </c>
      <c r="B861" s="217">
        <v>793</v>
      </c>
      <c r="C861" s="88" t="s">
        <v>19</v>
      </c>
      <c r="D861" s="88" t="s">
        <v>23</v>
      </c>
      <c r="E861" s="88" t="s">
        <v>82</v>
      </c>
      <c r="F861" s="88" t="s">
        <v>39</v>
      </c>
      <c r="G861" s="102">
        <f>'прил 5'!G1327</f>
        <v>1600000</v>
      </c>
      <c r="H861" s="102">
        <f>'прил 5'!H1327</f>
        <v>1600000</v>
      </c>
      <c r="I861" s="102">
        <f>'прил 5'!I1327</f>
        <v>1600000</v>
      </c>
      <c r="J861" s="188"/>
    </row>
    <row r="862" spans="1:13" s="105" customFormat="1" ht="20.25" hidden="1" customHeight="1">
      <c r="A862" s="86" t="s">
        <v>653</v>
      </c>
      <c r="B862" s="87">
        <v>795</v>
      </c>
      <c r="C862" s="88" t="s">
        <v>180</v>
      </c>
      <c r="D862" s="88" t="s">
        <v>28</v>
      </c>
      <c r="E862" s="88" t="s">
        <v>652</v>
      </c>
      <c r="F862" s="88"/>
      <c r="G862" s="102">
        <f t="shared" ref="G862:I863" si="225">G863</f>
        <v>0</v>
      </c>
      <c r="H862" s="102">
        <f t="shared" si="225"/>
        <v>0</v>
      </c>
      <c r="I862" s="102">
        <f t="shared" si="225"/>
        <v>0</v>
      </c>
    </row>
    <row r="863" spans="1:13" s="105" customFormat="1" ht="34.5" hidden="1" customHeight="1">
      <c r="A863" s="86" t="s">
        <v>36</v>
      </c>
      <c r="B863" s="87">
        <v>795</v>
      </c>
      <c r="C863" s="88" t="s">
        <v>180</v>
      </c>
      <c r="D863" s="88" t="s">
        <v>28</v>
      </c>
      <c r="E863" s="88" t="s">
        <v>652</v>
      </c>
      <c r="F863" s="88" t="s">
        <v>37</v>
      </c>
      <c r="G863" s="102">
        <f t="shared" si="225"/>
        <v>0</v>
      </c>
      <c r="H863" s="102">
        <f t="shared" si="225"/>
        <v>0</v>
      </c>
      <c r="I863" s="102">
        <f t="shared" si="225"/>
        <v>0</v>
      </c>
    </row>
    <row r="864" spans="1:13" s="105" customFormat="1" ht="34.5" hidden="1" customHeight="1">
      <c r="A864" s="86" t="s">
        <v>38</v>
      </c>
      <c r="B864" s="87">
        <v>795</v>
      </c>
      <c r="C864" s="88" t="s">
        <v>180</v>
      </c>
      <c r="D864" s="88" t="s">
        <v>28</v>
      </c>
      <c r="E864" s="88" t="s">
        <v>652</v>
      </c>
      <c r="F864" s="88" t="s">
        <v>39</v>
      </c>
      <c r="G864" s="102">
        <f>'прил 5'!G1405</f>
        <v>0</v>
      </c>
      <c r="H864" s="102"/>
      <c r="I864" s="102"/>
    </row>
    <row r="865" spans="1:10" s="105" customFormat="1" ht="21.75" customHeight="1">
      <c r="A865" s="86" t="s">
        <v>85</v>
      </c>
      <c r="B865" s="87">
        <v>795</v>
      </c>
      <c r="C865" s="88" t="s">
        <v>180</v>
      </c>
      <c r="D865" s="88" t="s">
        <v>71</v>
      </c>
      <c r="E865" s="88" t="s">
        <v>84</v>
      </c>
      <c r="F865" s="88"/>
      <c r="G865" s="102">
        <f t="shared" ref="G865:I866" si="226">G866</f>
        <v>800000</v>
      </c>
      <c r="H865" s="102">
        <f t="shared" si="226"/>
        <v>800000</v>
      </c>
      <c r="I865" s="102">
        <f t="shared" si="226"/>
        <v>800000</v>
      </c>
      <c r="J865" s="188"/>
    </row>
    <row r="866" spans="1:10" s="105" customFormat="1" ht="21.75" customHeight="1">
      <c r="A866" s="86" t="s">
        <v>334</v>
      </c>
      <c r="B866" s="217">
        <v>793</v>
      </c>
      <c r="C866" s="88" t="s">
        <v>19</v>
      </c>
      <c r="D866" s="88" t="s">
        <v>23</v>
      </c>
      <c r="E866" s="88" t="s">
        <v>84</v>
      </c>
      <c r="F866" s="88" t="s">
        <v>37</v>
      </c>
      <c r="G866" s="102">
        <f t="shared" si="226"/>
        <v>800000</v>
      </c>
      <c r="H866" s="102">
        <f t="shared" si="226"/>
        <v>800000</v>
      </c>
      <c r="I866" s="102">
        <f t="shared" si="226"/>
        <v>800000</v>
      </c>
      <c r="J866" s="188"/>
    </row>
    <row r="867" spans="1:10" s="105" customFormat="1" ht="29.25" customHeight="1">
      <c r="A867" s="86" t="s">
        <v>38</v>
      </c>
      <c r="B867" s="217">
        <v>793</v>
      </c>
      <c r="C867" s="88" t="s">
        <v>19</v>
      </c>
      <c r="D867" s="88" t="s">
        <v>23</v>
      </c>
      <c r="E867" s="88" t="s">
        <v>84</v>
      </c>
      <c r="F867" s="88" t="s">
        <v>39</v>
      </c>
      <c r="G867" s="102">
        <f>'прил 5'!G1330</f>
        <v>800000</v>
      </c>
      <c r="H867" s="102">
        <f>'прил 5'!H1330</f>
        <v>800000</v>
      </c>
      <c r="I867" s="102">
        <f>'прил 5'!I1330</f>
        <v>800000</v>
      </c>
      <c r="J867" s="188"/>
    </row>
    <row r="868" spans="1:10" s="105" customFormat="1" ht="21.75" customHeight="1">
      <c r="A868" s="86" t="s">
        <v>87</v>
      </c>
      <c r="B868" s="87">
        <v>795</v>
      </c>
      <c r="C868" s="88" t="s">
        <v>180</v>
      </c>
      <c r="D868" s="88" t="s">
        <v>71</v>
      </c>
      <c r="E868" s="88" t="s">
        <v>86</v>
      </c>
      <c r="F868" s="88"/>
      <c r="G868" s="102">
        <f t="shared" ref="G868:I869" si="227">G869</f>
        <v>1127450.48</v>
      </c>
      <c r="H868" s="102">
        <f t="shared" si="227"/>
        <v>550000</v>
      </c>
      <c r="I868" s="102">
        <f t="shared" si="227"/>
        <v>550000</v>
      </c>
      <c r="J868" s="188"/>
    </row>
    <row r="869" spans="1:10" s="105" customFormat="1" ht="21.75" customHeight="1">
      <c r="A869" s="86" t="s">
        <v>334</v>
      </c>
      <c r="B869" s="217">
        <v>793</v>
      </c>
      <c r="C869" s="88" t="s">
        <v>19</v>
      </c>
      <c r="D869" s="88" t="s">
        <v>23</v>
      </c>
      <c r="E869" s="88" t="s">
        <v>86</v>
      </c>
      <c r="F869" s="88" t="s">
        <v>37</v>
      </c>
      <c r="G869" s="102">
        <f t="shared" si="227"/>
        <v>1127450.48</v>
      </c>
      <c r="H869" s="102">
        <f t="shared" si="227"/>
        <v>550000</v>
      </c>
      <c r="I869" s="102">
        <f t="shared" si="227"/>
        <v>550000</v>
      </c>
      <c r="J869" s="188"/>
    </row>
    <row r="870" spans="1:10" s="105" customFormat="1" ht="30.75" customHeight="1">
      <c r="A870" s="86" t="s">
        <v>38</v>
      </c>
      <c r="B870" s="217">
        <v>793</v>
      </c>
      <c r="C870" s="88" t="s">
        <v>19</v>
      </c>
      <c r="D870" s="88" t="s">
        <v>23</v>
      </c>
      <c r="E870" s="88" t="s">
        <v>86</v>
      </c>
      <c r="F870" s="88" t="s">
        <v>39</v>
      </c>
      <c r="G870" s="102">
        <f>'прил 5'!G1333</f>
        <v>1127450.48</v>
      </c>
      <c r="H870" s="102">
        <f>'прил 5'!H1333</f>
        <v>550000</v>
      </c>
      <c r="I870" s="102">
        <f>'прил 5'!I1333</f>
        <v>550000</v>
      </c>
      <c r="J870" s="188"/>
    </row>
    <row r="871" spans="1:10" s="218" customFormat="1" ht="17.25" customHeight="1">
      <c r="A871" s="86" t="s">
        <v>392</v>
      </c>
      <c r="B871" s="217">
        <v>793</v>
      </c>
      <c r="C871" s="88" t="s">
        <v>180</v>
      </c>
      <c r="D871" s="88" t="s">
        <v>71</v>
      </c>
      <c r="E871" s="88" t="s">
        <v>391</v>
      </c>
      <c r="F871" s="88"/>
      <c r="G871" s="102">
        <f t="shared" ref="G871:I872" si="228">G872</f>
        <v>30000</v>
      </c>
      <c r="H871" s="102">
        <f t="shared" si="228"/>
        <v>500000</v>
      </c>
      <c r="I871" s="102">
        <f t="shared" si="228"/>
        <v>500000</v>
      </c>
      <c r="J871" s="220"/>
    </row>
    <row r="872" spans="1:10" s="218" customFormat="1" ht="17.25" customHeight="1">
      <c r="A872" s="86" t="s">
        <v>334</v>
      </c>
      <c r="B872" s="217">
        <v>793</v>
      </c>
      <c r="C872" s="88" t="s">
        <v>180</v>
      </c>
      <c r="D872" s="88" t="s">
        <v>71</v>
      </c>
      <c r="E872" s="88" t="s">
        <v>391</v>
      </c>
      <c r="F872" s="88" t="s">
        <v>37</v>
      </c>
      <c r="G872" s="102">
        <f t="shared" si="228"/>
        <v>30000</v>
      </c>
      <c r="H872" s="102">
        <f t="shared" si="228"/>
        <v>500000</v>
      </c>
      <c r="I872" s="102">
        <f t="shared" si="228"/>
        <v>500000</v>
      </c>
      <c r="J872" s="220"/>
    </row>
    <row r="873" spans="1:10" s="218" customFormat="1" ht="28.5" customHeight="1">
      <c r="A873" s="86" t="s">
        <v>38</v>
      </c>
      <c r="B873" s="217">
        <v>793</v>
      </c>
      <c r="C873" s="88" t="s">
        <v>180</v>
      </c>
      <c r="D873" s="88" t="s">
        <v>71</v>
      </c>
      <c r="E873" s="88" t="s">
        <v>391</v>
      </c>
      <c r="F873" s="88" t="s">
        <v>40</v>
      </c>
      <c r="G873" s="102">
        <f>'прил 5'!G1104+'прил 5'!G1439</f>
        <v>30000</v>
      </c>
      <c r="H873" s="102">
        <f>'прил 5'!H1104+'прил 5'!H1439</f>
        <v>500000</v>
      </c>
      <c r="I873" s="102">
        <f>'прил 5'!I1104+'прил 5'!I1439</f>
        <v>500000</v>
      </c>
      <c r="J873" s="220"/>
    </row>
    <row r="874" spans="1:10" s="218" customFormat="1" ht="27.75" hidden="1" customHeight="1">
      <c r="A874" s="86" t="s">
        <v>558</v>
      </c>
      <c r="B874" s="87">
        <v>795</v>
      </c>
      <c r="C874" s="221" t="s">
        <v>180</v>
      </c>
      <c r="D874" s="221" t="s">
        <v>19</v>
      </c>
      <c r="E874" s="88" t="s">
        <v>557</v>
      </c>
      <c r="F874" s="88"/>
      <c r="G874" s="102">
        <f t="shared" ref="G874:I875" si="229">G875</f>
        <v>0</v>
      </c>
      <c r="H874" s="102">
        <f t="shared" si="229"/>
        <v>0</v>
      </c>
      <c r="I874" s="102">
        <f t="shared" si="229"/>
        <v>0</v>
      </c>
    </row>
    <row r="875" spans="1:10" s="218" customFormat="1" ht="28.5" hidden="1" customHeight="1">
      <c r="A875" s="86" t="s">
        <v>334</v>
      </c>
      <c r="B875" s="87">
        <v>795</v>
      </c>
      <c r="C875" s="221" t="s">
        <v>180</v>
      </c>
      <c r="D875" s="221" t="s">
        <v>19</v>
      </c>
      <c r="E875" s="88" t="s">
        <v>557</v>
      </c>
      <c r="F875" s="88" t="s">
        <v>37</v>
      </c>
      <c r="G875" s="102">
        <f t="shared" si="229"/>
        <v>0</v>
      </c>
      <c r="H875" s="102">
        <f t="shared" si="229"/>
        <v>0</v>
      </c>
      <c r="I875" s="102">
        <f t="shared" si="229"/>
        <v>0</v>
      </c>
    </row>
    <row r="876" spans="1:10" s="218" customFormat="1" ht="28.5" hidden="1" customHeight="1">
      <c r="A876" s="86" t="s">
        <v>38</v>
      </c>
      <c r="B876" s="87">
        <v>795</v>
      </c>
      <c r="C876" s="221" t="s">
        <v>180</v>
      </c>
      <c r="D876" s="221" t="s">
        <v>19</v>
      </c>
      <c r="E876" s="88" t="s">
        <v>557</v>
      </c>
      <c r="F876" s="88" t="s">
        <v>39</v>
      </c>
      <c r="G876" s="102"/>
      <c r="H876" s="102">
        <v>0</v>
      </c>
      <c r="I876" s="102">
        <v>0</v>
      </c>
    </row>
    <row r="877" spans="1:10" s="105" customFormat="1" ht="25.5" hidden="1" customHeight="1">
      <c r="A877" s="86" t="s">
        <v>528</v>
      </c>
      <c r="B877" s="87">
        <v>795</v>
      </c>
      <c r="C877" s="88" t="s">
        <v>180</v>
      </c>
      <c r="D877" s="88" t="s">
        <v>28</v>
      </c>
      <c r="E877" s="88" t="s">
        <v>479</v>
      </c>
      <c r="F877" s="88"/>
      <c r="G877" s="102">
        <f t="shared" ref="G877:I878" si="230">G878</f>
        <v>0</v>
      </c>
      <c r="H877" s="102">
        <f t="shared" si="230"/>
        <v>0</v>
      </c>
      <c r="I877" s="102">
        <f t="shared" si="230"/>
        <v>0</v>
      </c>
      <c r="J877" s="188"/>
    </row>
    <row r="878" spans="1:10" s="105" customFormat="1" ht="34.5" hidden="1" customHeight="1">
      <c r="A878" s="86" t="s">
        <v>36</v>
      </c>
      <c r="B878" s="87">
        <v>795</v>
      </c>
      <c r="C878" s="88" t="s">
        <v>180</v>
      </c>
      <c r="D878" s="88" t="s">
        <v>28</v>
      </c>
      <c r="E878" s="88" t="s">
        <v>479</v>
      </c>
      <c r="F878" s="88" t="s">
        <v>359</v>
      </c>
      <c r="G878" s="102">
        <f t="shared" si="230"/>
        <v>0</v>
      </c>
      <c r="H878" s="102">
        <f t="shared" si="230"/>
        <v>0</v>
      </c>
      <c r="I878" s="102">
        <f t="shared" si="230"/>
        <v>0</v>
      </c>
      <c r="J878" s="188"/>
    </row>
    <row r="879" spans="1:10" s="105" customFormat="1" ht="34.5" hidden="1" customHeight="1">
      <c r="A879" s="86" t="s">
        <v>38</v>
      </c>
      <c r="B879" s="87">
        <v>795</v>
      </c>
      <c r="C879" s="88" t="s">
        <v>180</v>
      </c>
      <c r="D879" s="88" t="s">
        <v>28</v>
      </c>
      <c r="E879" s="88" t="s">
        <v>479</v>
      </c>
      <c r="F879" s="88" t="s">
        <v>361</v>
      </c>
      <c r="G879" s="102">
        <f>'прил 5'!G1385</f>
        <v>0</v>
      </c>
      <c r="H879" s="102">
        <f>'прил 5'!H1385</f>
        <v>0</v>
      </c>
      <c r="I879" s="102">
        <f>'прил 5'!I1385</f>
        <v>0</v>
      </c>
      <c r="J879" s="188"/>
    </row>
    <row r="880" spans="1:10" s="105" customFormat="1" ht="34.5" hidden="1" customHeight="1">
      <c r="A880" s="86" t="s">
        <v>481</v>
      </c>
      <c r="B880" s="87">
        <v>795</v>
      </c>
      <c r="C880" s="88" t="s">
        <v>180</v>
      </c>
      <c r="D880" s="88" t="s">
        <v>28</v>
      </c>
      <c r="E880" s="88" t="s">
        <v>480</v>
      </c>
      <c r="F880" s="88"/>
      <c r="G880" s="102">
        <f t="shared" ref="G880:I881" si="231">G881</f>
        <v>0</v>
      </c>
      <c r="H880" s="102">
        <f t="shared" si="231"/>
        <v>0</v>
      </c>
      <c r="I880" s="102">
        <f t="shared" si="231"/>
        <v>0</v>
      </c>
      <c r="J880" s="188"/>
    </row>
    <row r="881" spans="1:10" s="105" customFormat="1" ht="34.5" hidden="1" customHeight="1">
      <c r="A881" s="86" t="s">
        <v>36</v>
      </c>
      <c r="B881" s="87">
        <v>795</v>
      </c>
      <c r="C881" s="88" t="s">
        <v>180</v>
      </c>
      <c r="D881" s="88" t="s">
        <v>28</v>
      </c>
      <c r="E881" s="88" t="s">
        <v>480</v>
      </c>
      <c r="F881" s="88" t="s">
        <v>37</v>
      </c>
      <c r="G881" s="102">
        <f t="shared" si="231"/>
        <v>0</v>
      </c>
      <c r="H881" s="102">
        <f t="shared" si="231"/>
        <v>0</v>
      </c>
      <c r="I881" s="102">
        <f t="shared" si="231"/>
        <v>0</v>
      </c>
      <c r="J881" s="188"/>
    </row>
    <row r="882" spans="1:10" s="105" customFormat="1" ht="34.5" hidden="1" customHeight="1">
      <c r="A882" s="86" t="s">
        <v>38</v>
      </c>
      <c r="B882" s="87">
        <v>795</v>
      </c>
      <c r="C882" s="88" t="s">
        <v>180</v>
      </c>
      <c r="D882" s="88" t="s">
        <v>28</v>
      </c>
      <c r="E882" s="88" t="s">
        <v>480</v>
      </c>
      <c r="F882" s="88" t="s">
        <v>39</v>
      </c>
      <c r="G882" s="102">
        <f>'прил 5'!G1396</f>
        <v>0</v>
      </c>
      <c r="H882" s="102">
        <f>'прил 5'!H1396</f>
        <v>0</v>
      </c>
      <c r="I882" s="102">
        <f>'прил 5'!I1396</f>
        <v>0</v>
      </c>
      <c r="J882" s="188"/>
    </row>
    <row r="883" spans="1:10" s="105" customFormat="1" ht="34.5" hidden="1" customHeight="1">
      <c r="A883" s="86" t="s">
        <v>523</v>
      </c>
      <c r="B883" s="87">
        <v>795</v>
      </c>
      <c r="C883" s="88" t="s">
        <v>180</v>
      </c>
      <c r="D883" s="88" t="s">
        <v>28</v>
      </c>
      <c r="E883" s="88" t="s">
        <v>522</v>
      </c>
      <c r="F883" s="88"/>
      <c r="G883" s="102">
        <f>G884</f>
        <v>0</v>
      </c>
      <c r="H883" s="102">
        <f t="shared" ref="H883:I884" si="232">H884</f>
        <v>0</v>
      </c>
      <c r="I883" s="102">
        <f t="shared" si="232"/>
        <v>0</v>
      </c>
    </row>
    <row r="884" spans="1:10" s="105" customFormat="1" ht="34.5" hidden="1" customHeight="1">
      <c r="A884" s="86" t="s">
        <v>99</v>
      </c>
      <c r="B884" s="87">
        <v>795</v>
      </c>
      <c r="C884" s="88" t="s">
        <v>180</v>
      </c>
      <c r="D884" s="88" t="s">
        <v>28</v>
      </c>
      <c r="E884" s="88" t="s">
        <v>522</v>
      </c>
      <c r="F884" s="88" t="s">
        <v>359</v>
      </c>
      <c r="G884" s="102">
        <f>G885</f>
        <v>0</v>
      </c>
      <c r="H884" s="102">
        <f t="shared" si="232"/>
        <v>0</v>
      </c>
      <c r="I884" s="102">
        <f t="shared" si="232"/>
        <v>0</v>
      </c>
    </row>
    <row r="885" spans="1:10" s="105" customFormat="1" ht="34.5" hidden="1" customHeight="1">
      <c r="A885" s="86" t="s">
        <v>360</v>
      </c>
      <c r="B885" s="87">
        <v>795</v>
      </c>
      <c r="C885" s="88" t="s">
        <v>180</v>
      </c>
      <c r="D885" s="88" t="s">
        <v>28</v>
      </c>
      <c r="E885" s="88" t="s">
        <v>522</v>
      </c>
      <c r="F885" s="88" t="s">
        <v>361</v>
      </c>
      <c r="G885" s="102">
        <f>'прил 5'!G1399</f>
        <v>0</v>
      </c>
      <c r="H885" s="102">
        <v>0</v>
      </c>
      <c r="I885" s="102">
        <v>0</v>
      </c>
    </row>
    <row r="886" spans="1:10" s="105" customFormat="1" ht="34.5" hidden="1" customHeight="1">
      <c r="A886" s="86" t="s">
        <v>529</v>
      </c>
      <c r="B886" s="87">
        <v>795</v>
      </c>
      <c r="C886" s="88" t="s">
        <v>180</v>
      </c>
      <c r="D886" s="88" t="s">
        <v>28</v>
      </c>
      <c r="E886" s="88" t="s">
        <v>530</v>
      </c>
      <c r="F886" s="88"/>
      <c r="G886" s="102">
        <f t="shared" ref="G886:I887" si="233">G887</f>
        <v>0</v>
      </c>
      <c r="H886" s="102">
        <f t="shared" si="233"/>
        <v>0</v>
      </c>
      <c r="I886" s="102">
        <f t="shared" si="233"/>
        <v>0</v>
      </c>
    </row>
    <row r="887" spans="1:10" s="105" customFormat="1" ht="34.5" hidden="1" customHeight="1">
      <c r="A887" s="86" t="s">
        <v>36</v>
      </c>
      <c r="B887" s="87">
        <v>795</v>
      </c>
      <c r="C887" s="88" t="s">
        <v>180</v>
      </c>
      <c r="D887" s="88" t="s">
        <v>28</v>
      </c>
      <c r="E887" s="88" t="s">
        <v>530</v>
      </c>
      <c r="F887" s="88" t="s">
        <v>37</v>
      </c>
      <c r="G887" s="102">
        <f t="shared" si="233"/>
        <v>0</v>
      </c>
      <c r="H887" s="102">
        <f t="shared" si="233"/>
        <v>0</v>
      </c>
      <c r="I887" s="102">
        <f t="shared" si="233"/>
        <v>0</v>
      </c>
    </row>
    <row r="888" spans="1:10" s="105" customFormat="1" ht="34.5" hidden="1" customHeight="1">
      <c r="A888" s="86" t="s">
        <v>38</v>
      </c>
      <c r="B888" s="87">
        <v>795</v>
      </c>
      <c r="C888" s="88" t="s">
        <v>180</v>
      </c>
      <c r="D888" s="88" t="s">
        <v>28</v>
      </c>
      <c r="E888" s="88" t="s">
        <v>530</v>
      </c>
      <c r="F888" s="88" t="s">
        <v>39</v>
      </c>
      <c r="G888" s="102">
        <f>'прил 5'!G1479+'прил 5'!G1388</f>
        <v>0</v>
      </c>
      <c r="H888" s="102">
        <f>'прил 5'!H1479+'прил 5'!H1388</f>
        <v>0</v>
      </c>
      <c r="I888" s="102">
        <f>'прил 5'!I1479+'прил 5'!I1388</f>
        <v>0</v>
      </c>
    </row>
    <row r="889" spans="1:10" s="105" customFormat="1" ht="34.5" customHeight="1">
      <c r="A889" s="86" t="s">
        <v>556</v>
      </c>
      <c r="B889" s="87">
        <v>795</v>
      </c>
      <c r="C889" s="88" t="s">
        <v>180</v>
      </c>
      <c r="D889" s="88" t="s">
        <v>28</v>
      </c>
      <c r="E889" s="88" t="s">
        <v>555</v>
      </c>
      <c r="F889" s="88"/>
      <c r="G889" s="102">
        <f t="shared" ref="G889:I889" si="234">G890</f>
        <v>500000</v>
      </c>
      <c r="H889" s="102">
        <f t="shared" si="234"/>
        <v>900000</v>
      </c>
      <c r="I889" s="102">
        <f t="shared" si="234"/>
        <v>900000</v>
      </c>
    </row>
    <row r="890" spans="1:10" s="105" customFormat="1" ht="34.5" customHeight="1">
      <c r="A890" s="86" t="s">
        <v>36</v>
      </c>
      <c r="B890" s="87">
        <v>795</v>
      </c>
      <c r="C890" s="88" t="s">
        <v>180</v>
      </c>
      <c r="D890" s="88" t="s">
        <v>28</v>
      </c>
      <c r="E890" s="88" t="s">
        <v>555</v>
      </c>
      <c r="F890" s="88" t="s">
        <v>37</v>
      </c>
      <c r="G890" s="102">
        <f>G891</f>
        <v>500000</v>
      </c>
      <c r="H890" s="102">
        <f>H891</f>
        <v>900000</v>
      </c>
      <c r="I890" s="102">
        <f>I891</f>
        <v>900000</v>
      </c>
    </row>
    <row r="891" spans="1:10" s="105" customFormat="1" ht="34.5" customHeight="1">
      <c r="A891" s="86" t="s">
        <v>38</v>
      </c>
      <c r="B891" s="87">
        <v>795</v>
      </c>
      <c r="C891" s="88" t="s">
        <v>180</v>
      </c>
      <c r="D891" s="88" t="s">
        <v>28</v>
      </c>
      <c r="E891" s="88" t="s">
        <v>555</v>
      </c>
      <c r="F891" s="88" t="s">
        <v>39</v>
      </c>
      <c r="G891" s="102">
        <f>'прил 5'!G1393</f>
        <v>500000</v>
      </c>
      <c r="H891" s="102">
        <f>'прил 5'!H1393</f>
        <v>900000</v>
      </c>
      <c r="I891" s="102">
        <f>'прил 5'!I1393</f>
        <v>900000</v>
      </c>
    </row>
    <row r="892" spans="1:10" s="105" customFormat="1" ht="32.25" hidden="1" customHeight="1">
      <c r="A892" s="86" t="s">
        <v>559</v>
      </c>
      <c r="B892" s="87">
        <v>795</v>
      </c>
      <c r="C892" s="88" t="s">
        <v>180</v>
      </c>
      <c r="D892" s="88" t="s">
        <v>28</v>
      </c>
      <c r="E892" s="88" t="s">
        <v>560</v>
      </c>
      <c r="F892" s="88"/>
      <c r="G892" s="102">
        <f>G893</f>
        <v>0</v>
      </c>
      <c r="H892" s="102">
        <v>0</v>
      </c>
      <c r="I892" s="102">
        <v>0</v>
      </c>
    </row>
    <row r="893" spans="1:10" s="105" customFormat="1" ht="30" hidden="1" customHeight="1">
      <c r="A893" s="86" t="s">
        <v>99</v>
      </c>
      <c r="B893" s="87">
        <v>795</v>
      </c>
      <c r="C893" s="88" t="s">
        <v>180</v>
      </c>
      <c r="D893" s="88" t="s">
        <v>28</v>
      </c>
      <c r="E893" s="88" t="s">
        <v>560</v>
      </c>
      <c r="F893" s="88" t="s">
        <v>359</v>
      </c>
      <c r="G893" s="102">
        <f>G894</f>
        <v>0</v>
      </c>
      <c r="H893" s="102">
        <v>0</v>
      </c>
      <c r="I893" s="102">
        <v>0</v>
      </c>
    </row>
    <row r="894" spans="1:10" s="105" customFormat="1" ht="20.25" hidden="1" customHeight="1">
      <c r="A894" s="86" t="s">
        <v>360</v>
      </c>
      <c r="B894" s="87">
        <v>795</v>
      </c>
      <c r="C894" s="88" t="s">
        <v>180</v>
      </c>
      <c r="D894" s="88" t="s">
        <v>28</v>
      </c>
      <c r="E894" s="88" t="s">
        <v>560</v>
      </c>
      <c r="F894" s="88" t="s">
        <v>361</v>
      </c>
      <c r="G894" s="102">
        <f>'прил 5'!G1402</f>
        <v>0</v>
      </c>
      <c r="H894" s="102">
        <v>0</v>
      </c>
      <c r="I894" s="102">
        <v>0</v>
      </c>
    </row>
    <row r="895" spans="1:10" ht="49.5" hidden="1" customHeight="1">
      <c r="A895" s="37" t="s">
        <v>773</v>
      </c>
      <c r="B895" s="49">
        <v>795</v>
      </c>
      <c r="C895" s="15" t="s">
        <v>180</v>
      </c>
      <c r="D895" s="15" t="s">
        <v>180</v>
      </c>
      <c r="E895" s="15" t="s">
        <v>755</v>
      </c>
      <c r="F895" s="15"/>
      <c r="G895" s="102">
        <f>G896+G898</f>
        <v>0</v>
      </c>
      <c r="H895" s="74">
        <f t="shared" ref="H895:I895" si="235">H896+H898</f>
        <v>0</v>
      </c>
      <c r="I895" s="74">
        <f t="shared" si="235"/>
        <v>0</v>
      </c>
      <c r="J895" s="1"/>
    </row>
    <row r="896" spans="1:10" ht="27" hidden="1" customHeight="1">
      <c r="A896" s="16" t="s">
        <v>99</v>
      </c>
      <c r="B896" s="49">
        <v>795</v>
      </c>
      <c r="C896" s="15" t="s">
        <v>180</v>
      </c>
      <c r="D896" s="15" t="s">
        <v>180</v>
      </c>
      <c r="E896" s="15" t="s">
        <v>631</v>
      </c>
      <c r="F896" s="15" t="s">
        <v>359</v>
      </c>
      <c r="G896" s="102">
        <f>G897</f>
        <v>0</v>
      </c>
      <c r="H896" s="8">
        <f>H897</f>
        <v>0</v>
      </c>
      <c r="I896" s="8">
        <v>0</v>
      </c>
      <c r="J896" s="1"/>
    </row>
    <row r="897" spans="1:10" ht="18.75" hidden="1" customHeight="1">
      <c r="A897" s="86" t="s">
        <v>360</v>
      </c>
      <c r="B897" s="49">
        <v>795</v>
      </c>
      <c r="C897" s="15" t="s">
        <v>180</v>
      </c>
      <c r="D897" s="15" t="s">
        <v>180</v>
      </c>
      <c r="E897" s="15" t="s">
        <v>631</v>
      </c>
      <c r="F897" s="15" t="s">
        <v>361</v>
      </c>
      <c r="G897" s="102"/>
      <c r="H897" s="8"/>
      <c r="I897" s="8">
        <v>0</v>
      </c>
      <c r="J897" s="1"/>
    </row>
    <row r="898" spans="1:10" ht="39.75" hidden="1" customHeight="1">
      <c r="A898" s="86" t="s">
        <v>36</v>
      </c>
      <c r="B898" s="49">
        <v>795</v>
      </c>
      <c r="C898" s="15" t="s">
        <v>180</v>
      </c>
      <c r="D898" s="15" t="s">
        <v>180</v>
      </c>
      <c r="E898" s="15" t="s">
        <v>756</v>
      </c>
      <c r="F898" s="15" t="s">
        <v>359</v>
      </c>
      <c r="G898" s="102">
        <f>G899</f>
        <v>0</v>
      </c>
      <c r="H898" s="8"/>
      <c r="I898" s="8"/>
      <c r="J898" s="1"/>
    </row>
    <row r="899" spans="1:10" ht="39" hidden="1" customHeight="1">
      <c r="A899" s="16" t="s">
        <v>38</v>
      </c>
      <c r="B899" s="49">
        <v>795</v>
      </c>
      <c r="C899" s="15" t="s">
        <v>180</v>
      </c>
      <c r="D899" s="15" t="s">
        <v>180</v>
      </c>
      <c r="E899" s="15" t="s">
        <v>755</v>
      </c>
      <c r="F899" s="15" t="s">
        <v>361</v>
      </c>
      <c r="G899" s="102">
        <f>'прил 5'!G1471</f>
        <v>0</v>
      </c>
      <c r="H899" s="8"/>
      <c r="I899" s="8"/>
      <c r="J899" s="1"/>
    </row>
    <row r="900" spans="1:10" ht="34.5" customHeight="1">
      <c r="A900" s="16" t="s">
        <v>897</v>
      </c>
      <c r="B900" s="49">
        <v>795</v>
      </c>
      <c r="C900" s="15" t="s">
        <v>180</v>
      </c>
      <c r="D900" s="15" t="s">
        <v>28</v>
      </c>
      <c r="E900" s="15" t="s">
        <v>896</v>
      </c>
      <c r="F900" s="15"/>
      <c r="G900" s="74">
        <f t="shared" ref="G900:I901" si="236">G901</f>
        <v>500000</v>
      </c>
      <c r="H900" s="74">
        <f t="shared" si="236"/>
        <v>1150000</v>
      </c>
      <c r="I900" s="74">
        <f t="shared" si="236"/>
        <v>0</v>
      </c>
      <c r="J900" s="1"/>
    </row>
    <row r="901" spans="1:10" ht="34.5" customHeight="1">
      <c r="A901" s="16" t="s">
        <v>36</v>
      </c>
      <c r="B901" s="49">
        <v>795</v>
      </c>
      <c r="C901" s="15" t="s">
        <v>180</v>
      </c>
      <c r="D901" s="15" t="s">
        <v>28</v>
      </c>
      <c r="E901" s="15" t="s">
        <v>896</v>
      </c>
      <c r="F901" s="15" t="s">
        <v>37</v>
      </c>
      <c r="G901" s="74">
        <f t="shared" si="236"/>
        <v>500000</v>
      </c>
      <c r="H901" s="74">
        <f t="shared" si="236"/>
        <v>1150000</v>
      </c>
      <c r="I901" s="74">
        <f t="shared" si="236"/>
        <v>0</v>
      </c>
      <c r="J901" s="1"/>
    </row>
    <row r="902" spans="1:10" ht="34.5" customHeight="1">
      <c r="A902" s="16" t="s">
        <v>38</v>
      </c>
      <c r="B902" s="49">
        <v>795</v>
      </c>
      <c r="C902" s="15" t="s">
        <v>180</v>
      </c>
      <c r="D902" s="15" t="s">
        <v>28</v>
      </c>
      <c r="E902" s="15" t="s">
        <v>896</v>
      </c>
      <c r="F902" s="15" t="s">
        <v>39</v>
      </c>
      <c r="G902" s="74">
        <f>500000+'прил 5'!G1118</f>
        <v>500000</v>
      </c>
      <c r="H902" s="74">
        <f>'прил 5'!H1118</f>
        <v>1150000</v>
      </c>
      <c r="I902" s="74">
        <f>'прил 5'!I1118</f>
        <v>0</v>
      </c>
      <c r="J902" s="1"/>
    </row>
    <row r="903" spans="1:10" s="105" customFormat="1" ht="39.75" customHeight="1">
      <c r="A903" s="207" t="s">
        <v>773</v>
      </c>
      <c r="B903" s="87">
        <v>795</v>
      </c>
      <c r="C903" s="88" t="s">
        <v>180</v>
      </c>
      <c r="D903" s="88" t="s">
        <v>180</v>
      </c>
      <c r="E903" s="88" t="s">
        <v>631</v>
      </c>
      <c r="F903" s="88"/>
      <c r="G903" s="102">
        <f>G904+G906</f>
        <v>5170364.71</v>
      </c>
      <c r="H903" s="102">
        <f t="shared" ref="H903:I903" si="237">H904+H906</f>
        <v>0</v>
      </c>
      <c r="I903" s="102">
        <f t="shared" si="237"/>
        <v>0</v>
      </c>
    </row>
    <row r="904" spans="1:10" s="105" customFormat="1" ht="27" hidden="1" customHeight="1">
      <c r="A904" s="86" t="s">
        <v>99</v>
      </c>
      <c r="B904" s="87">
        <v>795</v>
      </c>
      <c r="C904" s="88" t="s">
        <v>180</v>
      </c>
      <c r="D904" s="88" t="s">
        <v>180</v>
      </c>
      <c r="E904" s="88" t="s">
        <v>631</v>
      </c>
      <c r="F904" s="88" t="s">
        <v>359</v>
      </c>
      <c r="G904" s="102">
        <f>G905</f>
        <v>0</v>
      </c>
      <c r="H904" s="89">
        <f>H905</f>
        <v>0</v>
      </c>
      <c r="I904" s="89">
        <v>0</v>
      </c>
    </row>
    <row r="905" spans="1:10" s="105" customFormat="1" ht="18.75" hidden="1" customHeight="1">
      <c r="A905" s="86" t="s">
        <v>360</v>
      </c>
      <c r="B905" s="87">
        <v>795</v>
      </c>
      <c r="C905" s="88" t="s">
        <v>180</v>
      </c>
      <c r="D905" s="88" t="s">
        <v>180</v>
      </c>
      <c r="E905" s="88" t="s">
        <v>631</v>
      </c>
      <c r="F905" s="88" t="s">
        <v>361</v>
      </c>
      <c r="G905" s="102"/>
      <c r="H905" s="89"/>
      <c r="I905" s="89">
        <v>0</v>
      </c>
    </row>
    <row r="906" spans="1:10" s="105" customFormat="1" ht="33.75" customHeight="1">
      <c r="A906" s="86" t="s">
        <v>36</v>
      </c>
      <c r="B906" s="87">
        <v>795</v>
      </c>
      <c r="C906" s="88" t="s">
        <v>180</v>
      </c>
      <c r="D906" s="88" t="s">
        <v>180</v>
      </c>
      <c r="E906" s="88" t="s">
        <v>631</v>
      </c>
      <c r="F906" s="88" t="s">
        <v>359</v>
      </c>
      <c r="G906" s="102">
        <f>G907</f>
        <v>5170364.71</v>
      </c>
      <c r="H906" s="89">
        <v>0</v>
      </c>
      <c r="I906" s="89">
        <v>0</v>
      </c>
    </row>
    <row r="907" spans="1:10" s="105" customFormat="1" ht="42" customHeight="1">
      <c r="A907" s="16" t="s">
        <v>38</v>
      </c>
      <c r="B907" s="87">
        <v>795</v>
      </c>
      <c r="C907" s="88" t="s">
        <v>180</v>
      </c>
      <c r="D907" s="88" t="s">
        <v>180</v>
      </c>
      <c r="E907" s="88" t="s">
        <v>631</v>
      </c>
      <c r="F907" s="88" t="s">
        <v>361</v>
      </c>
      <c r="G907" s="102">
        <f>'прил 5'!G1476</f>
        <v>5170364.71</v>
      </c>
      <c r="H907" s="89">
        <v>0</v>
      </c>
      <c r="I907" s="89">
        <v>0</v>
      </c>
    </row>
    <row r="908" spans="1:10" s="105" customFormat="1" ht="81" customHeight="1">
      <c r="A908" s="37" t="s">
        <v>741</v>
      </c>
      <c r="B908" s="87">
        <v>795</v>
      </c>
      <c r="C908" s="88" t="s">
        <v>180</v>
      </c>
      <c r="D908" s="88" t="s">
        <v>180</v>
      </c>
      <c r="E908" s="88" t="s">
        <v>753</v>
      </c>
      <c r="F908" s="88"/>
      <c r="G908" s="102">
        <f>G909</f>
        <v>5382867</v>
      </c>
      <c r="H908" s="89">
        <v>0</v>
      </c>
      <c r="I908" s="89">
        <v>0</v>
      </c>
    </row>
    <row r="909" spans="1:10" s="105" customFormat="1" ht="21" customHeight="1">
      <c r="A909" s="86" t="s">
        <v>163</v>
      </c>
      <c r="B909" s="87">
        <v>795</v>
      </c>
      <c r="C909" s="88" t="s">
        <v>180</v>
      </c>
      <c r="D909" s="88" t="s">
        <v>180</v>
      </c>
      <c r="E909" s="88" t="s">
        <v>753</v>
      </c>
      <c r="F909" s="88" t="s">
        <v>164</v>
      </c>
      <c r="G909" s="102">
        <f>G910</f>
        <v>5382867</v>
      </c>
      <c r="H909" s="89">
        <v>0</v>
      </c>
      <c r="I909" s="89">
        <v>0</v>
      </c>
    </row>
    <row r="910" spans="1:10" s="105" customFormat="1" ht="24" customHeight="1">
      <c r="A910" s="86" t="s">
        <v>177</v>
      </c>
      <c r="B910" s="87">
        <v>795</v>
      </c>
      <c r="C910" s="88" t="s">
        <v>180</v>
      </c>
      <c r="D910" s="88" t="s">
        <v>180</v>
      </c>
      <c r="E910" s="88" t="s">
        <v>753</v>
      </c>
      <c r="F910" s="88" t="s">
        <v>178</v>
      </c>
      <c r="G910" s="102">
        <f>'прил 5'!G1462</f>
        <v>5382867</v>
      </c>
      <c r="H910" s="89">
        <v>0</v>
      </c>
      <c r="I910" s="89">
        <v>0</v>
      </c>
    </row>
    <row r="911" spans="1:10" s="105" customFormat="1" ht="39.75" hidden="1" customHeight="1">
      <c r="A911" s="207" t="s">
        <v>607</v>
      </c>
      <c r="B911" s="87">
        <v>795</v>
      </c>
      <c r="C911" s="88" t="s">
        <v>180</v>
      </c>
      <c r="D911" s="88" t="s">
        <v>180</v>
      </c>
      <c r="E911" s="88" t="s">
        <v>631</v>
      </c>
      <c r="F911" s="88"/>
      <c r="G911" s="102">
        <f>G912+G914</f>
        <v>0</v>
      </c>
      <c r="H911" s="102">
        <f t="shared" ref="H911:I911" si="238">H912+H914</f>
        <v>0</v>
      </c>
      <c r="I911" s="102">
        <f t="shared" si="238"/>
        <v>0</v>
      </c>
    </row>
    <row r="912" spans="1:10" s="105" customFormat="1" ht="27" hidden="1" customHeight="1">
      <c r="A912" s="86" t="s">
        <v>99</v>
      </c>
      <c r="B912" s="87">
        <v>795</v>
      </c>
      <c r="C912" s="88" t="s">
        <v>180</v>
      </c>
      <c r="D912" s="88" t="s">
        <v>180</v>
      </c>
      <c r="E912" s="88" t="s">
        <v>631</v>
      </c>
      <c r="F912" s="88" t="s">
        <v>359</v>
      </c>
      <c r="G912" s="102">
        <f>G913</f>
        <v>0</v>
      </c>
      <c r="H912" s="89">
        <f>H913</f>
        <v>0</v>
      </c>
      <c r="I912" s="89">
        <v>0</v>
      </c>
    </row>
    <row r="913" spans="1:10" s="105" customFormat="1" ht="24" hidden="1" customHeight="1">
      <c r="A913" s="86" t="s">
        <v>360</v>
      </c>
      <c r="B913" s="87">
        <v>795</v>
      </c>
      <c r="C913" s="88" t="s">
        <v>180</v>
      </c>
      <c r="D913" s="88" t="s">
        <v>180</v>
      </c>
      <c r="E913" s="88" t="s">
        <v>631</v>
      </c>
      <c r="F913" s="88" t="s">
        <v>361</v>
      </c>
      <c r="G913" s="102">
        <f>'прил 5'!G1474</f>
        <v>0</v>
      </c>
      <c r="H913" s="89">
        <f>'прил 5'!H1474</f>
        <v>0</v>
      </c>
      <c r="I913" s="89">
        <f>'прил 5'!I1474</f>
        <v>0</v>
      </c>
    </row>
    <row r="914" spans="1:10" s="105" customFormat="1" ht="17.25" hidden="1" customHeight="1">
      <c r="A914" s="86" t="s">
        <v>163</v>
      </c>
      <c r="B914" s="87">
        <v>795</v>
      </c>
      <c r="C914" s="88" t="s">
        <v>180</v>
      </c>
      <c r="D914" s="88" t="s">
        <v>180</v>
      </c>
      <c r="E914" s="88" t="s">
        <v>631</v>
      </c>
      <c r="F914" s="88" t="s">
        <v>164</v>
      </c>
      <c r="G914" s="102">
        <f>G915</f>
        <v>0</v>
      </c>
      <c r="H914" s="89"/>
      <c r="I914" s="89"/>
    </row>
    <row r="915" spans="1:10" s="105" customFormat="1" ht="21" hidden="1" customHeight="1">
      <c r="A915" s="86" t="s">
        <v>177</v>
      </c>
      <c r="B915" s="87">
        <v>795</v>
      </c>
      <c r="C915" s="88" t="s">
        <v>180</v>
      </c>
      <c r="D915" s="88" t="s">
        <v>180</v>
      </c>
      <c r="E915" s="88" t="s">
        <v>631</v>
      </c>
      <c r="F915" s="88" t="s">
        <v>178</v>
      </c>
      <c r="G915" s="102"/>
      <c r="H915" s="89"/>
      <c r="I915" s="89"/>
    </row>
    <row r="916" spans="1:10" s="105" customFormat="1" ht="25.5" hidden="1" customHeight="1">
      <c r="A916" s="207" t="s">
        <v>648</v>
      </c>
      <c r="B916" s="87">
        <v>795</v>
      </c>
      <c r="C916" s="88" t="s">
        <v>180</v>
      </c>
      <c r="D916" s="88" t="s">
        <v>180</v>
      </c>
      <c r="E916" s="88" t="s">
        <v>645</v>
      </c>
      <c r="F916" s="88"/>
      <c r="G916" s="102">
        <f>G917</f>
        <v>0</v>
      </c>
      <c r="H916" s="89">
        <v>0</v>
      </c>
      <c r="I916" s="89">
        <v>0</v>
      </c>
    </row>
    <row r="917" spans="1:10" s="105" customFormat="1" ht="39.75" hidden="1" customHeight="1">
      <c r="A917" s="207" t="s">
        <v>647</v>
      </c>
      <c r="B917" s="87">
        <v>795</v>
      </c>
      <c r="C917" s="88" t="s">
        <v>180</v>
      </c>
      <c r="D917" s="88" t="s">
        <v>180</v>
      </c>
      <c r="E917" s="88" t="s">
        <v>646</v>
      </c>
      <c r="F917" s="88"/>
      <c r="G917" s="102">
        <f>G918</f>
        <v>0</v>
      </c>
      <c r="H917" s="89">
        <v>0</v>
      </c>
      <c r="I917" s="89">
        <v>0</v>
      </c>
    </row>
    <row r="918" spans="1:10" s="105" customFormat="1" ht="30.75" hidden="1" customHeight="1">
      <c r="A918" s="86" t="s">
        <v>99</v>
      </c>
      <c r="B918" s="87">
        <v>795</v>
      </c>
      <c r="C918" s="88" t="s">
        <v>180</v>
      </c>
      <c r="D918" s="88" t="s">
        <v>180</v>
      </c>
      <c r="E918" s="88" t="s">
        <v>646</v>
      </c>
      <c r="F918" s="88" t="s">
        <v>359</v>
      </c>
      <c r="G918" s="102">
        <f>G919</f>
        <v>0</v>
      </c>
      <c r="H918" s="89">
        <v>0</v>
      </c>
      <c r="I918" s="89">
        <v>0</v>
      </c>
    </row>
    <row r="919" spans="1:10" s="105" customFormat="1" ht="30.75" hidden="1" customHeight="1">
      <c r="A919" s="86" t="s">
        <v>360</v>
      </c>
      <c r="B919" s="87">
        <v>795</v>
      </c>
      <c r="C919" s="88" t="s">
        <v>180</v>
      </c>
      <c r="D919" s="88" t="s">
        <v>180</v>
      </c>
      <c r="E919" s="88" t="s">
        <v>646</v>
      </c>
      <c r="F919" s="88" t="s">
        <v>361</v>
      </c>
      <c r="G919" s="102">
        <f>'прил 5'!G1466</f>
        <v>0</v>
      </c>
      <c r="H919" s="89">
        <v>0</v>
      </c>
      <c r="I919" s="89">
        <v>0</v>
      </c>
    </row>
    <row r="920" spans="1:10" s="105" customFormat="1" ht="66" customHeight="1">
      <c r="A920" s="86" t="s">
        <v>864</v>
      </c>
      <c r="B920" s="87">
        <v>795</v>
      </c>
      <c r="C920" s="88" t="s">
        <v>180</v>
      </c>
      <c r="D920" s="88" t="s">
        <v>28</v>
      </c>
      <c r="E920" s="88" t="s">
        <v>752</v>
      </c>
      <c r="F920" s="88"/>
      <c r="G920" s="102">
        <f>G921+G923</f>
        <v>675000</v>
      </c>
      <c r="H920" s="102">
        <f t="shared" ref="G920:I921" si="239">H921</f>
        <v>0</v>
      </c>
      <c r="I920" s="102">
        <f t="shared" si="239"/>
        <v>0</v>
      </c>
    </row>
    <row r="921" spans="1:10" s="105" customFormat="1" ht="34.5" customHeight="1">
      <c r="A921" s="86" t="s">
        <v>36</v>
      </c>
      <c r="B921" s="87">
        <v>795</v>
      </c>
      <c r="C921" s="88" t="s">
        <v>180</v>
      </c>
      <c r="D921" s="88" t="s">
        <v>28</v>
      </c>
      <c r="E921" s="88" t="s">
        <v>752</v>
      </c>
      <c r="F921" s="88" t="s">
        <v>359</v>
      </c>
      <c r="G921" s="102">
        <f t="shared" si="239"/>
        <v>0</v>
      </c>
      <c r="H921" s="102">
        <f t="shared" si="239"/>
        <v>0</v>
      </c>
      <c r="I921" s="102">
        <f t="shared" si="239"/>
        <v>0</v>
      </c>
    </row>
    <row r="922" spans="1:10" ht="34.5" customHeight="1">
      <c r="A922" s="16" t="s">
        <v>38</v>
      </c>
      <c r="B922" s="49">
        <v>795</v>
      </c>
      <c r="C922" s="15" t="s">
        <v>180</v>
      </c>
      <c r="D922" s="15" t="s">
        <v>28</v>
      </c>
      <c r="E922" s="15" t="s">
        <v>752</v>
      </c>
      <c r="F922" s="15" t="s">
        <v>361</v>
      </c>
      <c r="G922" s="74">
        <f>'прил 5'!G1385</f>
        <v>0</v>
      </c>
      <c r="H922" s="74">
        <f>832780-832780</f>
        <v>0</v>
      </c>
      <c r="I922" s="74">
        <v>0</v>
      </c>
      <c r="J922" s="1"/>
    </row>
    <row r="923" spans="1:10" ht="18" customHeight="1">
      <c r="A923" s="86" t="s">
        <v>163</v>
      </c>
      <c r="B923" s="49">
        <v>795</v>
      </c>
      <c r="C923" s="15" t="s">
        <v>180</v>
      </c>
      <c r="D923" s="15" t="s">
        <v>28</v>
      </c>
      <c r="E923" s="15" t="s">
        <v>752</v>
      </c>
      <c r="F923" s="88" t="s">
        <v>164</v>
      </c>
      <c r="G923" s="74">
        <f>G924</f>
        <v>675000</v>
      </c>
      <c r="H923" s="74">
        <f>H924</f>
        <v>0</v>
      </c>
      <c r="I923" s="74">
        <f>I924</f>
        <v>0</v>
      </c>
      <c r="J923" s="1"/>
    </row>
    <row r="924" spans="1:10" ht="18" customHeight="1">
      <c r="A924" s="86" t="s">
        <v>185</v>
      </c>
      <c r="B924" s="49">
        <v>795</v>
      </c>
      <c r="C924" s="15" t="s">
        <v>180</v>
      </c>
      <c r="D924" s="15" t="s">
        <v>28</v>
      </c>
      <c r="E924" s="15" t="s">
        <v>752</v>
      </c>
      <c r="F924" s="88" t="s">
        <v>186</v>
      </c>
      <c r="G924" s="74">
        <v>675000</v>
      </c>
      <c r="H924" s="74">
        <v>0</v>
      </c>
      <c r="I924" s="74">
        <v>0</v>
      </c>
      <c r="J924" s="1"/>
    </row>
    <row r="925" spans="1:10" ht="57" customHeight="1">
      <c r="A925" s="37" t="s">
        <v>899</v>
      </c>
      <c r="B925" s="49">
        <v>795</v>
      </c>
      <c r="C925" s="15" t="s">
        <v>180</v>
      </c>
      <c r="D925" s="15" t="s">
        <v>180</v>
      </c>
      <c r="E925" s="15" t="s">
        <v>898</v>
      </c>
      <c r="F925" s="15"/>
      <c r="G925" s="102">
        <f>G926+G928</f>
        <v>0</v>
      </c>
      <c r="H925" s="74">
        <f>H928</f>
        <v>1681729.79</v>
      </c>
      <c r="I925" s="74">
        <f t="shared" ref="I925" si="240">I926+I928</f>
        <v>0</v>
      </c>
      <c r="J925" s="1"/>
    </row>
    <row r="926" spans="1:10" ht="27" hidden="1" customHeight="1">
      <c r="A926" s="16" t="s">
        <v>99</v>
      </c>
      <c r="B926" s="49">
        <v>795</v>
      </c>
      <c r="C926" s="15" t="s">
        <v>180</v>
      </c>
      <c r="D926" s="15" t="s">
        <v>180</v>
      </c>
      <c r="E926" s="15" t="s">
        <v>631</v>
      </c>
      <c r="F926" s="15" t="s">
        <v>359</v>
      </c>
      <c r="G926" s="102">
        <f>G927</f>
        <v>0</v>
      </c>
      <c r="H926" s="8">
        <f>H927</f>
        <v>0</v>
      </c>
      <c r="I926" s="8">
        <v>0</v>
      </c>
      <c r="J926" s="1"/>
    </row>
    <row r="927" spans="1:10" ht="18.75" hidden="1" customHeight="1">
      <c r="A927" s="86" t="s">
        <v>360</v>
      </c>
      <c r="B927" s="49">
        <v>795</v>
      </c>
      <c r="C927" s="15" t="s">
        <v>180</v>
      </c>
      <c r="D927" s="15" t="s">
        <v>180</v>
      </c>
      <c r="E927" s="15" t="s">
        <v>631</v>
      </c>
      <c r="F927" s="15" t="s">
        <v>361</v>
      </c>
      <c r="G927" s="102"/>
      <c r="H927" s="8"/>
      <c r="I927" s="8">
        <v>0</v>
      </c>
      <c r="J927" s="1"/>
    </row>
    <row r="928" spans="1:10" ht="30" customHeight="1">
      <c r="A928" s="86" t="s">
        <v>36</v>
      </c>
      <c r="B928" s="49">
        <v>795</v>
      </c>
      <c r="C928" s="15" t="s">
        <v>180</v>
      </c>
      <c r="D928" s="15" t="s">
        <v>180</v>
      </c>
      <c r="E928" s="15" t="s">
        <v>898</v>
      </c>
      <c r="F928" s="15" t="s">
        <v>359</v>
      </c>
      <c r="G928" s="102">
        <f>G929</f>
        <v>0</v>
      </c>
      <c r="H928" s="8">
        <f>H929</f>
        <v>1681729.79</v>
      </c>
      <c r="I928" s="8">
        <v>0</v>
      </c>
      <c r="J928" s="1"/>
    </row>
    <row r="929" spans="1:10" ht="30.75" customHeight="1">
      <c r="A929" s="16" t="s">
        <v>38</v>
      </c>
      <c r="B929" s="49">
        <v>795</v>
      </c>
      <c r="C929" s="15" t="s">
        <v>180</v>
      </c>
      <c r="D929" s="15" t="s">
        <v>180</v>
      </c>
      <c r="E929" s="15" t="s">
        <v>898</v>
      </c>
      <c r="F929" s="15" t="s">
        <v>361</v>
      </c>
      <c r="G929" s="102">
        <f>'прил 5'!G1484</f>
        <v>0</v>
      </c>
      <c r="H929" s="102">
        <f>'прил 5'!H1484</f>
        <v>1681729.79</v>
      </c>
      <c r="I929" s="102">
        <f>'прил 5'!I1484</f>
        <v>0</v>
      </c>
      <c r="J929" s="1"/>
    </row>
    <row r="930" spans="1:10" ht="57" customHeight="1">
      <c r="A930" s="37" t="s">
        <v>904</v>
      </c>
      <c r="B930" s="49">
        <v>795</v>
      </c>
      <c r="C930" s="15" t="s">
        <v>180</v>
      </c>
      <c r="D930" s="15" t="s">
        <v>180</v>
      </c>
      <c r="E930" s="15" t="s">
        <v>903</v>
      </c>
      <c r="F930" s="15"/>
      <c r="G930" s="102">
        <f>G931+G933</f>
        <v>142694.22</v>
      </c>
      <c r="H930" s="74">
        <f>H933</f>
        <v>0</v>
      </c>
      <c r="I930" s="74">
        <f t="shared" ref="I930" si="241">I931+I933</f>
        <v>0</v>
      </c>
      <c r="J930" s="1"/>
    </row>
    <row r="931" spans="1:10" ht="27" hidden="1" customHeight="1">
      <c r="A931" s="16" t="s">
        <v>99</v>
      </c>
      <c r="B931" s="49">
        <v>795</v>
      </c>
      <c r="C931" s="15" t="s">
        <v>180</v>
      </c>
      <c r="D931" s="15" t="s">
        <v>180</v>
      </c>
      <c r="E931" s="15" t="s">
        <v>631</v>
      </c>
      <c r="F931" s="15" t="s">
        <v>359</v>
      </c>
      <c r="G931" s="102">
        <f>G932</f>
        <v>0</v>
      </c>
      <c r="H931" s="8">
        <f>H932</f>
        <v>0</v>
      </c>
      <c r="I931" s="8">
        <v>0</v>
      </c>
      <c r="J931" s="1"/>
    </row>
    <row r="932" spans="1:10" ht="18.75" hidden="1" customHeight="1">
      <c r="A932" s="86" t="s">
        <v>360</v>
      </c>
      <c r="B932" s="49">
        <v>795</v>
      </c>
      <c r="C932" s="15" t="s">
        <v>180</v>
      </c>
      <c r="D932" s="15" t="s">
        <v>180</v>
      </c>
      <c r="E932" s="15" t="s">
        <v>631</v>
      </c>
      <c r="F932" s="15" t="s">
        <v>361</v>
      </c>
      <c r="G932" s="102"/>
      <c r="H932" s="8"/>
      <c r="I932" s="8">
        <v>0</v>
      </c>
      <c r="J932" s="1"/>
    </row>
    <row r="933" spans="1:10" ht="30" customHeight="1">
      <c r="A933" s="86" t="s">
        <v>36</v>
      </c>
      <c r="B933" s="49">
        <v>795</v>
      </c>
      <c r="C933" s="15" t="s">
        <v>180</v>
      </c>
      <c r="D933" s="15" t="s">
        <v>180</v>
      </c>
      <c r="E933" s="15" t="s">
        <v>903</v>
      </c>
      <c r="F933" s="15" t="s">
        <v>359</v>
      </c>
      <c r="G933" s="102">
        <f>G934</f>
        <v>142694.22</v>
      </c>
      <c r="H933" s="8">
        <f>H934</f>
        <v>0</v>
      </c>
      <c r="I933" s="8">
        <v>0</v>
      </c>
      <c r="J933" s="1"/>
    </row>
    <row r="934" spans="1:10" ht="30.75" customHeight="1">
      <c r="A934" s="16" t="s">
        <v>38</v>
      </c>
      <c r="B934" s="49">
        <v>795</v>
      </c>
      <c r="C934" s="15" t="s">
        <v>180</v>
      </c>
      <c r="D934" s="15" t="s">
        <v>180</v>
      </c>
      <c r="E934" s="15" t="s">
        <v>903</v>
      </c>
      <c r="F934" s="15" t="s">
        <v>361</v>
      </c>
      <c r="G934" s="102">
        <f>'прил 5'!G1489</f>
        <v>142694.22</v>
      </c>
      <c r="H934" s="8"/>
      <c r="I934" s="8">
        <v>0</v>
      </c>
      <c r="J934" s="1"/>
    </row>
    <row r="935" spans="1:10" ht="44.25" customHeight="1">
      <c r="A935" s="86" t="s">
        <v>852</v>
      </c>
      <c r="B935" s="49">
        <v>795</v>
      </c>
      <c r="C935" s="15" t="s">
        <v>180</v>
      </c>
      <c r="D935" s="15" t="s">
        <v>28</v>
      </c>
      <c r="E935" s="15" t="s">
        <v>851</v>
      </c>
      <c r="F935" s="15"/>
      <c r="G935" s="74">
        <f t="shared" ref="G935:I936" si="242">G936</f>
        <v>1780456.2</v>
      </c>
      <c r="H935" s="74">
        <f t="shared" si="242"/>
        <v>0</v>
      </c>
      <c r="I935" s="74">
        <f t="shared" si="242"/>
        <v>0</v>
      </c>
      <c r="J935" s="1"/>
    </row>
    <row r="936" spans="1:10" ht="34.5" customHeight="1">
      <c r="A936" s="86" t="s">
        <v>36</v>
      </c>
      <c r="B936" s="49">
        <v>795</v>
      </c>
      <c r="C936" s="15" t="s">
        <v>180</v>
      </c>
      <c r="D936" s="15" t="s">
        <v>28</v>
      </c>
      <c r="E936" s="15" t="s">
        <v>851</v>
      </c>
      <c r="F936" s="15" t="s">
        <v>359</v>
      </c>
      <c r="G936" s="74">
        <f t="shared" si="242"/>
        <v>1780456.2</v>
      </c>
      <c r="H936" s="74">
        <f t="shared" si="242"/>
        <v>0</v>
      </c>
      <c r="I936" s="74">
        <f t="shared" si="242"/>
        <v>0</v>
      </c>
      <c r="J936" s="1"/>
    </row>
    <row r="937" spans="1:10" ht="34.5" customHeight="1">
      <c r="A937" s="16" t="s">
        <v>38</v>
      </c>
      <c r="B937" s="49">
        <v>795</v>
      </c>
      <c r="C937" s="15" t="s">
        <v>180</v>
      </c>
      <c r="D937" s="15" t="s">
        <v>28</v>
      </c>
      <c r="E937" s="15" t="s">
        <v>851</v>
      </c>
      <c r="F937" s="15" t="s">
        <v>361</v>
      </c>
      <c r="G937" s="74">
        <v>1780456.2</v>
      </c>
      <c r="H937" s="74">
        <f>832780-832780</f>
        <v>0</v>
      </c>
      <c r="I937" s="74">
        <v>0</v>
      </c>
      <c r="J937" s="1"/>
    </row>
    <row r="938" spans="1:10" ht="44.25" customHeight="1">
      <c r="A938" s="86" t="s">
        <v>854</v>
      </c>
      <c r="B938" s="49">
        <v>795</v>
      </c>
      <c r="C938" s="15" t="s">
        <v>180</v>
      </c>
      <c r="D938" s="15" t="s">
        <v>28</v>
      </c>
      <c r="E938" s="15" t="s">
        <v>853</v>
      </c>
      <c r="F938" s="15"/>
      <c r="G938" s="74">
        <f t="shared" ref="G938:I939" si="243">G939</f>
        <v>1780456.2</v>
      </c>
      <c r="H938" s="74">
        <f t="shared" si="243"/>
        <v>0</v>
      </c>
      <c r="I938" s="74">
        <f t="shared" si="243"/>
        <v>0</v>
      </c>
      <c r="J938" s="1"/>
    </row>
    <row r="939" spans="1:10" ht="34.5" customHeight="1">
      <c r="A939" s="86" t="s">
        <v>36</v>
      </c>
      <c r="B939" s="49">
        <v>795</v>
      </c>
      <c r="C939" s="15" t="s">
        <v>180</v>
      </c>
      <c r="D939" s="15" t="s">
        <v>28</v>
      </c>
      <c r="E939" s="15" t="s">
        <v>853</v>
      </c>
      <c r="F939" s="15" t="s">
        <v>359</v>
      </c>
      <c r="G939" s="74">
        <f t="shared" si="243"/>
        <v>1780456.2</v>
      </c>
      <c r="H939" s="74">
        <f t="shared" si="243"/>
        <v>0</v>
      </c>
      <c r="I939" s="74">
        <f t="shared" si="243"/>
        <v>0</v>
      </c>
      <c r="J939" s="1"/>
    </row>
    <row r="940" spans="1:10" ht="34.5" customHeight="1">
      <c r="A940" s="16" t="s">
        <v>38</v>
      </c>
      <c r="B940" s="49">
        <v>795</v>
      </c>
      <c r="C940" s="15" t="s">
        <v>180</v>
      </c>
      <c r="D940" s="15" t="s">
        <v>28</v>
      </c>
      <c r="E940" s="15" t="s">
        <v>853</v>
      </c>
      <c r="F940" s="15" t="s">
        <v>361</v>
      </c>
      <c r="G940" s="74">
        <v>1780456.2</v>
      </c>
      <c r="H940" s="74">
        <f>832780-832780</f>
        <v>0</v>
      </c>
      <c r="I940" s="74">
        <v>0</v>
      </c>
      <c r="J940" s="1"/>
    </row>
    <row r="941" spans="1:10" ht="44.25" customHeight="1">
      <c r="A941" s="86" t="s">
        <v>856</v>
      </c>
      <c r="B941" s="49">
        <v>795</v>
      </c>
      <c r="C941" s="15" t="s">
        <v>180</v>
      </c>
      <c r="D941" s="15" t="s">
        <v>28</v>
      </c>
      <c r="E941" s="15" t="s">
        <v>855</v>
      </c>
      <c r="F941" s="15"/>
      <c r="G941" s="74">
        <f t="shared" ref="G941:I942" si="244">G942</f>
        <v>1865263.12</v>
      </c>
      <c r="H941" s="74">
        <f t="shared" si="244"/>
        <v>0</v>
      </c>
      <c r="I941" s="74">
        <f t="shared" si="244"/>
        <v>0</v>
      </c>
      <c r="J941" s="1"/>
    </row>
    <row r="942" spans="1:10" ht="34.5" customHeight="1">
      <c r="A942" s="86" t="s">
        <v>36</v>
      </c>
      <c r="B942" s="49">
        <v>795</v>
      </c>
      <c r="C942" s="15" t="s">
        <v>180</v>
      </c>
      <c r="D942" s="15" t="s">
        <v>28</v>
      </c>
      <c r="E942" s="15" t="s">
        <v>855</v>
      </c>
      <c r="F942" s="15" t="s">
        <v>359</v>
      </c>
      <c r="G942" s="74">
        <f t="shared" si="244"/>
        <v>1865263.12</v>
      </c>
      <c r="H942" s="74">
        <f t="shared" si="244"/>
        <v>0</v>
      </c>
      <c r="I942" s="74">
        <f t="shared" si="244"/>
        <v>0</v>
      </c>
      <c r="J942" s="1"/>
    </row>
    <row r="943" spans="1:10" ht="34.5" customHeight="1">
      <c r="A943" s="16" t="s">
        <v>38</v>
      </c>
      <c r="B943" s="49">
        <v>795</v>
      </c>
      <c r="C943" s="15" t="s">
        <v>180</v>
      </c>
      <c r="D943" s="15" t="s">
        <v>28</v>
      </c>
      <c r="E943" s="15" t="s">
        <v>855</v>
      </c>
      <c r="F943" s="15" t="s">
        <v>361</v>
      </c>
      <c r="G943" s="74">
        <f>'прил 5'!G1379</f>
        <v>1865263.12</v>
      </c>
      <c r="H943" s="74">
        <f>832780-832780</f>
        <v>0</v>
      </c>
      <c r="I943" s="74">
        <v>0</v>
      </c>
      <c r="J943" s="1"/>
    </row>
    <row r="944" spans="1:10" ht="57" customHeight="1">
      <c r="A944" s="86" t="s">
        <v>858</v>
      </c>
      <c r="B944" s="49">
        <v>795</v>
      </c>
      <c r="C944" s="15" t="s">
        <v>180</v>
      </c>
      <c r="D944" s="15" t="s">
        <v>28</v>
      </c>
      <c r="E944" s="15" t="s">
        <v>857</v>
      </c>
      <c r="F944" s="15"/>
      <c r="G944" s="74">
        <f t="shared" ref="G944:I945" si="245">G945</f>
        <v>20000</v>
      </c>
      <c r="H944" s="74">
        <f t="shared" si="245"/>
        <v>0</v>
      </c>
      <c r="I944" s="74">
        <f t="shared" si="245"/>
        <v>0</v>
      </c>
      <c r="J944" s="1"/>
    </row>
    <row r="945" spans="1:16" ht="34.5" customHeight="1">
      <c r="A945" s="86" t="s">
        <v>36</v>
      </c>
      <c r="B945" s="49">
        <v>795</v>
      </c>
      <c r="C945" s="15" t="s">
        <v>180</v>
      </c>
      <c r="D945" s="15" t="s">
        <v>28</v>
      </c>
      <c r="E945" s="15" t="s">
        <v>857</v>
      </c>
      <c r="F945" s="15" t="s">
        <v>359</v>
      </c>
      <c r="G945" s="74">
        <f t="shared" si="245"/>
        <v>20000</v>
      </c>
      <c r="H945" s="74">
        <f t="shared" si="245"/>
        <v>0</v>
      </c>
      <c r="I945" s="74">
        <f t="shared" si="245"/>
        <v>0</v>
      </c>
      <c r="J945" s="1"/>
    </row>
    <row r="946" spans="1:16" ht="34.5" customHeight="1">
      <c r="A946" s="16" t="s">
        <v>38</v>
      </c>
      <c r="B946" s="49">
        <v>795</v>
      </c>
      <c r="C946" s="15" t="s">
        <v>180</v>
      </c>
      <c r="D946" s="15" t="s">
        <v>28</v>
      </c>
      <c r="E946" s="15" t="s">
        <v>857</v>
      </c>
      <c r="F946" s="15" t="s">
        <v>361</v>
      </c>
      <c r="G946" s="74">
        <v>20000</v>
      </c>
      <c r="H946" s="74">
        <f>832780-832780</f>
        <v>0</v>
      </c>
      <c r="I946" s="74">
        <v>0</v>
      </c>
      <c r="J946" s="1"/>
    </row>
    <row r="947" spans="1:16" s="149" customFormat="1" ht="31.5" customHeight="1">
      <c r="A947" s="131" t="s">
        <v>505</v>
      </c>
      <c r="B947" s="128" t="s">
        <v>97</v>
      </c>
      <c r="C947" s="128" t="s">
        <v>70</v>
      </c>
      <c r="D947" s="128" t="s">
        <v>19</v>
      </c>
      <c r="E947" s="128" t="s">
        <v>296</v>
      </c>
      <c r="F947" s="133"/>
      <c r="G947" s="129">
        <f>G948+G951+G954+G957+G963+G960</f>
        <v>6530550.4100000001</v>
      </c>
      <c r="H947" s="129">
        <f>H948+H951+H954+H957+H963+H960</f>
        <v>23426873.390000001</v>
      </c>
      <c r="I947" s="129">
        <f>I948+I951+I954+I957+I963+I960</f>
        <v>6796784.4299999997</v>
      </c>
      <c r="J947" s="160" t="s">
        <v>485</v>
      </c>
      <c r="P947" s="195"/>
    </row>
    <row r="948" spans="1:16" s="43" customFormat="1">
      <c r="A948" s="16" t="s">
        <v>153</v>
      </c>
      <c r="B948" s="15" t="s">
        <v>97</v>
      </c>
      <c r="C948" s="15" t="s">
        <v>70</v>
      </c>
      <c r="D948" s="15" t="s">
        <v>19</v>
      </c>
      <c r="E948" s="15" t="s">
        <v>300</v>
      </c>
      <c r="F948" s="39"/>
      <c r="G948" s="102">
        <f t="shared" ref="G948:I949" si="246">G949</f>
        <v>427014.8</v>
      </c>
      <c r="H948" s="102">
        <f t="shared" si="246"/>
        <v>388000</v>
      </c>
      <c r="I948" s="102">
        <f t="shared" si="246"/>
        <v>388000</v>
      </c>
      <c r="J948" s="150" t="s">
        <v>509</v>
      </c>
    </row>
    <row r="949" spans="1:16" s="43" customFormat="1">
      <c r="A949" s="16" t="s">
        <v>154</v>
      </c>
      <c r="B949" s="15" t="s">
        <v>97</v>
      </c>
      <c r="C949" s="15" t="s">
        <v>70</v>
      </c>
      <c r="D949" s="15" t="s">
        <v>19</v>
      </c>
      <c r="E949" s="15" t="s">
        <v>300</v>
      </c>
      <c r="F949" s="15" t="s">
        <v>155</v>
      </c>
      <c r="G949" s="102">
        <f t="shared" si="246"/>
        <v>427014.8</v>
      </c>
      <c r="H949" s="102">
        <f t="shared" si="246"/>
        <v>388000</v>
      </c>
      <c r="I949" s="102">
        <f t="shared" si="246"/>
        <v>388000</v>
      </c>
      <c r="J949" s="150" t="s">
        <v>510</v>
      </c>
    </row>
    <row r="950" spans="1:16" s="43" customFormat="1">
      <c r="A950" s="16" t="s">
        <v>365</v>
      </c>
      <c r="B950" s="15" t="s">
        <v>97</v>
      </c>
      <c r="C950" s="15" t="s">
        <v>70</v>
      </c>
      <c r="D950" s="15" t="s">
        <v>19</v>
      </c>
      <c r="E950" s="15" t="s">
        <v>300</v>
      </c>
      <c r="F950" s="15" t="s">
        <v>366</v>
      </c>
      <c r="G950" s="102">
        <f>'прил 5'!G736+'прил 5'!G1133+'прил 5'!G798</f>
        <v>427014.8</v>
      </c>
      <c r="H950" s="102">
        <f>'прил 5'!H736+'прил 5'!H1133</f>
        <v>388000</v>
      </c>
      <c r="I950" s="102">
        <f>'прил 5'!I736+'прил 5'!I1133</f>
        <v>388000</v>
      </c>
      <c r="J950" s="150" t="s">
        <v>511</v>
      </c>
    </row>
    <row r="951" spans="1:16" s="28" customFormat="1" ht="54" customHeight="1">
      <c r="A951" s="16" t="s">
        <v>367</v>
      </c>
      <c r="B951" s="14">
        <v>793</v>
      </c>
      <c r="C951" s="15" t="s">
        <v>70</v>
      </c>
      <c r="D951" s="15" t="s">
        <v>71</v>
      </c>
      <c r="E951" s="15" t="s">
        <v>386</v>
      </c>
      <c r="F951" s="39"/>
      <c r="G951" s="102">
        <f t="shared" ref="G951:I952" si="247">G952</f>
        <v>25879.42</v>
      </c>
      <c r="H951" s="102">
        <f t="shared" si="247"/>
        <v>25879.42</v>
      </c>
      <c r="I951" s="102">
        <f t="shared" si="247"/>
        <v>25879.42</v>
      </c>
      <c r="J951" s="150" t="s">
        <v>512</v>
      </c>
    </row>
    <row r="952" spans="1:16" s="28" customFormat="1" ht="27" customHeight="1">
      <c r="A952" s="16" t="s">
        <v>64</v>
      </c>
      <c r="B952" s="14">
        <v>793</v>
      </c>
      <c r="C952" s="15" t="s">
        <v>70</v>
      </c>
      <c r="D952" s="15" t="s">
        <v>71</v>
      </c>
      <c r="E952" s="15" t="s">
        <v>386</v>
      </c>
      <c r="F952" s="15" t="s">
        <v>65</v>
      </c>
      <c r="G952" s="102">
        <f t="shared" si="247"/>
        <v>25879.42</v>
      </c>
      <c r="H952" s="102">
        <f t="shared" si="247"/>
        <v>25879.42</v>
      </c>
      <c r="I952" s="102">
        <f t="shared" si="247"/>
        <v>25879.42</v>
      </c>
      <c r="J952" s="150">
        <v>10872600</v>
      </c>
    </row>
    <row r="953" spans="1:16" ht="38.25">
      <c r="A953" s="16" t="s">
        <v>351</v>
      </c>
      <c r="B953" s="14">
        <v>793</v>
      </c>
      <c r="C953" s="15" t="s">
        <v>70</v>
      </c>
      <c r="D953" s="15" t="s">
        <v>71</v>
      </c>
      <c r="E953" s="15" t="s">
        <v>386</v>
      </c>
      <c r="F953" s="15" t="s">
        <v>352</v>
      </c>
      <c r="G953" s="102">
        <f>'прил 5'!G1156</f>
        <v>25879.42</v>
      </c>
      <c r="H953" s="102">
        <f>'прил 5'!H1156</f>
        <v>25879.42</v>
      </c>
      <c r="I953" s="102">
        <f>'прил 5'!I1156</f>
        <v>25879.42</v>
      </c>
      <c r="J953" s="2">
        <v>200000</v>
      </c>
    </row>
    <row r="954" spans="1:16" ht="25.5" customHeight="1">
      <c r="A954" s="16" t="s">
        <v>688</v>
      </c>
      <c r="B954" s="14">
        <v>793</v>
      </c>
      <c r="C954" s="15" t="s">
        <v>70</v>
      </c>
      <c r="D954" s="15" t="s">
        <v>71</v>
      </c>
      <c r="E954" s="15" t="s">
        <v>711</v>
      </c>
      <c r="F954" s="15"/>
      <c r="G954" s="102">
        <f t="shared" ref="G954:I955" si="248">G955</f>
        <v>216205.33000000002</v>
      </c>
      <c r="H954" s="102">
        <f t="shared" si="248"/>
        <v>267798</v>
      </c>
      <c r="I954" s="102">
        <f t="shared" si="248"/>
        <v>267798</v>
      </c>
      <c r="J954" s="2">
        <f>J947+J948+J949+J950+J951+J952</f>
        <v>16407672</v>
      </c>
    </row>
    <row r="955" spans="1:16" ht="25.5" customHeight="1">
      <c r="A955" s="16" t="s">
        <v>369</v>
      </c>
      <c r="B955" s="14">
        <v>793</v>
      </c>
      <c r="C955" s="15" t="s">
        <v>70</v>
      </c>
      <c r="D955" s="15" t="s">
        <v>71</v>
      </c>
      <c r="E955" s="15" t="s">
        <v>711</v>
      </c>
      <c r="F955" s="15" t="s">
        <v>155</v>
      </c>
      <c r="G955" s="102">
        <f t="shared" si="248"/>
        <v>216205.33000000002</v>
      </c>
      <c r="H955" s="102">
        <f t="shared" si="248"/>
        <v>267798</v>
      </c>
      <c r="I955" s="102">
        <f t="shared" si="248"/>
        <v>267798</v>
      </c>
    </row>
    <row r="956" spans="1:16" ht="25.5" customHeight="1">
      <c r="A956" s="16" t="s">
        <v>697</v>
      </c>
      <c r="B956" s="14">
        <v>793</v>
      </c>
      <c r="C956" s="15" t="s">
        <v>70</v>
      </c>
      <c r="D956" s="15" t="s">
        <v>71</v>
      </c>
      <c r="E956" s="15" t="s">
        <v>711</v>
      </c>
      <c r="F956" s="15" t="s">
        <v>696</v>
      </c>
      <c r="G956" s="102">
        <f>'прил 5'!G1159</f>
        <v>216205.33000000002</v>
      </c>
      <c r="H956" s="102">
        <f>'прил 5'!H1159</f>
        <v>267798</v>
      </c>
      <c r="I956" s="102">
        <f>'прил 5'!I1159</f>
        <v>267798</v>
      </c>
    </row>
    <row r="957" spans="1:16" ht="57" customHeight="1">
      <c r="A957" s="84" t="s">
        <v>298</v>
      </c>
      <c r="B957" s="14">
        <v>793</v>
      </c>
      <c r="C957" s="15" t="s">
        <v>70</v>
      </c>
      <c r="D957" s="15" t="s">
        <v>55</v>
      </c>
      <c r="E957" s="15" t="s">
        <v>297</v>
      </c>
      <c r="F957" s="15"/>
      <c r="G957" s="102">
        <f>G958</f>
        <v>5594187.8600000003</v>
      </c>
      <c r="H957" s="102">
        <f t="shared" ref="H957:I957" si="249">H958</f>
        <v>5923107.0099999998</v>
      </c>
      <c r="I957" s="102">
        <f t="shared" si="249"/>
        <v>5923107.0099999998</v>
      </c>
    </row>
    <row r="958" spans="1:16" ht="25.5">
      <c r="A958" s="16" t="s">
        <v>358</v>
      </c>
      <c r="B958" s="14">
        <v>793</v>
      </c>
      <c r="C958" s="15" t="s">
        <v>70</v>
      </c>
      <c r="D958" s="15" t="s">
        <v>55</v>
      </c>
      <c r="E958" s="15" t="s">
        <v>297</v>
      </c>
      <c r="F958" s="15" t="s">
        <v>359</v>
      </c>
      <c r="G958" s="102">
        <f>G959</f>
        <v>5594187.8600000003</v>
      </c>
      <c r="H958" s="102">
        <f>H959</f>
        <v>5923107.0099999998</v>
      </c>
      <c r="I958" s="102">
        <f>I959</f>
        <v>5923107.0099999998</v>
      </c>
      <c r="J958" s="2">
        <v>78000</v>
      </c>
    </row>
    <row r="959" spans="1:16">
      <c r="A959" s="16" t="s">
        <v>360</v>
      </c>
      <c r="B959" s="14">
        <v>793</v>
      </c>
      <c r="C959" s="15" t="s">
        <v>70</v>
      </c>
      <c r="D959" s="15" t="s">
        <v>55</v>
      </c>
      <c r="E959" s="15" t="s">
        <v>297</v>
      </c>
      <c r="F959" s="15" t="s">
        <v>361</v>
      </c>
      <c r="G959" s="102">
        <f>'прил 5'!G1174</f>
        <v>5594187.8600000003</v>
      </c>
      <c r="H959" s="102">
        <f>'прил 5'!H1174</f>
        <v>5923107.0099999998</v>
      </c>
      <c r="I959" s="102">
        <f>'прил 5'!I1174</f>
        <v>5923107.0099999998</v>
      </c>
      <c r="J959" s="2">
        <v>390000</v>
      </c>
    </row>
    <row r="960" spans="1:16" ht="51">
      <c r="A960" s="84" t="s">
        <v>299</v>
      </c>
      <c r="B960" s="14">
        <v>793</v>
      </c>
      <c r="C960" s="15" t="s">
        <v>70</v>
      </c>
      <c r="D960" s="15" t="s">
        <v>55</v>
      </c>
      <c r="E960" s="15" t="s">
        <v>384</v>
      </c>
      <c r="F960" s="15"/>
      <c r="G960" s="102">
        <f t="shared" ref="G960:I961" si="250">G961</f>
        <v>79263</v>
      </c>
      <c r="H960" s="102">
        <f t="shared" si="250"/>
        <v>16630088.960000001</v>
      </c>
      <c r="I960" s="102">
        <f t="shared" si="250"/>
        <v>0</v>
      </c>
      <c r="J960" s="2">
        <v>189200</v>
      </c>
    </row>
    <row r="961" spans="1:16" ht="25.5">
      <c r="A961" s="16" t="s">
        <v>358</v>
      </c>
      <c r="B961" s="14">
        <v>793</v>
      </c>
      <c r="C961" s="15" t="s">
        <v>70</v>
      </c>
      <c r="D961" s="15" t="s">
        <v>55</v>
      </c>
      <c r="E961" s="15" t="s">
        <v>384</v>
      </c>
      <c r="F961" s="15" t="s">
        <v>359</v>
      </c>
      <c r="G961" s="102">
        <f t="shared" si="250"/>
        <v>79263</v>
      </c>
      <c r="H961" s="102">
        <f t="shared" si="250"/>
        <v>16630088.960000001</v>
      </c>
      <c r="I961" s="102">
        <f t="shared" si="250"/>
        <v>0</v>
      </c>
      <c r="J961" s="2">
        <v>270072</v>
      </c>
    </row>
    <row r="962" spans="1:16">
      <c r="A962" s="16" t="s">
        <v>360</v>
      </c>
      <c r="B962" s="14">
        <v>793</v>
      </c>
      <c r="C962" s="15" t="s">
        <v>70</v>
      </c>
      <c r="D962" s="15" t="s">
        <v>55</v>
      </c>
      <c r="E962" s="15" t="s">
        <v>384</v>
      </c>
      <c r="F962" s="15" t="s">
        <v>361</v>
      </c>
      <c r="G962" s="102">
        <f>'прил 5'!G1177</f>
        <v>79263</v>
      </c>
      <c r="H962" s="102">
        <f>'прил 5'!H1177</f>
        <v>16630088.960000001</v>
      </c>
      <c r="I962" s="102">
        <f>'прил 5'!I1177</f>
        <v>0</v>
      </c>
      <c r="J962" s="2">
        <v>4607800</v>
      </c>
    </row>
    <row r="963" spans="1:16" s="18" customFormat="1" ht="25.5">
      <c r="A963" s="16" t="s">
        <v>370</v>
      </c>
      <c r="B963" s="14">
        <v>793</v>
      </c>
      <c r="C963" s="15" t="s">
        <v>70</v>
      </c>
      <c r="D963" s="15" t="s">
        <v>55</v>
      </c>
      <c r="E963" s="15" t="s">
        <v>301</v>
      </c>
      <c r="F963" s="15"/>
      <c r="G963" s="102">
        <f t="shared" ref="G963:I964" si="251">G964</f>
        <v>188000</v>
      </c>
      <c r="H963" s="102">
        <f t="shared" si="251"/>
        <v>192000</v>
      </c>
      <c r="I963" s="102">
        <f t="shared" si="251"/>
        <v>192000</v>
      </c>
      <c r="J963" s="17">
        <v>10872600</v>
      </c>
    </row>
    <row r="964" spans="1:16" s="18" customFormat="1" ht="25.5">
      <c r="A964" s="16" t="s">
        <v>368</v>
      </c>
      <c r="B964" s="14">
        <v>793</v>
      </c>
      <c r="C964" s="15" t="s">
        <v>70</v>
      </c>
      <c r="D964" s="15" t="s">
        <v>55</v>
      </c>
      <c r="E964" s="15" t="s">
        <v>301</v>
      </c>
      <c r="F964" s="15" t="s">
        <v>155</v>
      </c>
      <c r="G964" s="102">
        <f t="shared" si="251"/>
        <v>188000</v>
      </c>
      <c r="H964" s="102">
        <f t="shared" si="251"/>
        <v>192000</v>
      </c>
      <c r="I964" s="102">
        <f t="shared" si="251"/>
        <v>192000</v>
      </c>
      <c r="J964" s="17">
        <v>200000</v>
      </c>
    </row>
    <row r="965" spans="1:16" s="18" customFormat="1">
      <c r="A965" s="16" t="s">
        <v>365</v>
      </c>
      <c r="B965" s="14">
        <v>793</v>
      </c>
      <c r="C965" s="15" t="s">
        <v>70</v>
      </c>
      <c r="D965" s="15" t="s">
        <v>55</v>
      </c>
      <c r="E965" s="15" t="s">
        <v>301</v>
      </c>
      <c r="F965" s="15" t="s">
        <v>366</v>
      </c>
      <c r="G965" s="102">
        <f>'прил 5'!G1180</f>
        <v>188000</v>
      </c>
      <c r="H965" s="102">
        <f>'прил 5'!H1180</f>
        <v>192000</v>
      </c>
      <c r="I965" s="102">
        <f>'прил 5'!I1180</f>
        <v>192000</v>
      </c>
      <c r="J965" s="17">
        <f>SUM(J958:J964)</f>
        <v>16607672</v>
      </c>
    </row>
    <row r="966" spans="1:16" s="136" customFormat="1" ht="47.25" customHeight="1">
      <c r="A966" s="131" t="s">
        <v>476</v>
      </c>
      <c r="B966" s="127">
        <v>793</v>
      </c>
      <c r="C966" s="128" t="s">
        <v>55</v>
      </c>
      <c r="D966" s="128" t="s">
        <v>127</v>
      </c>
      <c r="E966" s="128" t="s">
        <v>475</v>
      </c>
      <c r="F966" s="128"/>
      <c r="G966" s="129">
        <f>G973+G967+G970</f>
        <v>167233.03</v>
      </c>
      <c r="H966" s="129">
        <f t="shared" ref="H966:I966" si="252">H973</f>
        <v>63000</v>
      </c>
      <c r="I966" s="129">
        <f t="shared" si="252"/>
        <v>63000</v>
      </c>
      <c r="J966" s="157">
        <v>343551</v>
      </c>
      <c r="P966" s="157"/>
    </row>
    <row r="967" spans="1:16" ht="91.5" hidden="1" customHeight="1">
      <c r="A967" s="16" t="s">
        <v>633</v>
      </c>
      <c r="B967" s="15" t="s">
        <v>97</v>
      </c>
      <c r="C967" s="15" t="s">
        <v>26</v>
      </c>
      <c r="D967" s="15" t="s">
        <v>71</v>
      </c>
      <c r="E967" s="15" t="s">
        <v>632</v>
      </c>
      <c r="F967" s="15"/>
      <c r="G967" s="74">
        <f>G968</f>
        <v>0</v>
      </c>
      <c r="H967" s="74">
        <f t="shared" ref="H967:I968" si="253">H968</f>
        <v>0</v>
      </c>
      <c r="I967" s="74">
        <f t="shared" si="253"/>
        <v>0</v>
      </c>
      <c r="J967" s="1"/>
    </row>
    <row r="968" spans="1:16" ht="31.5" hidden="1" customHeight="1">
      <c r="A968" s="16" t="s">
        <v>30</v>
      </c>
      <c r="B968" s="15" t="s">
        <v>97</v>
      </c>
      <c r="C968" s="15" t="s">
        <v>26</v>
      </c>
      <c r="D968" s="15" t="s">
        <v>71</v>
      </c>
      <c r="E968" s="15" t="s">
        <v>632</v>
      </c>
      <c r="F968" s="15" t="s">
        <v>31</v>
      </c>
      <c r="G968" s="74">
        <f>G969</f>
        <v>0</v>
      </c>
      <c r="H968" s="74">
        <f t="shared" si="253"/>
        <v>0</v>
      </c>
      <c r="I968" s="74">
        <f t="shared" si="253"/>
        <v>0</v>
      </c>
      <c r="J968" s="1"/>
    </row>
    <row r="969" spans="1:16" ht="17.25" hidden="1" customHeight="1">
      <c r="A969" s="16" t="s">
        <v>32</v>
      </c>
      <c r="B969" s="15" t="s">
        <v>97</v>
      </c>
      <c r="C969" s="15" t="s">
        <v>26</v>
      </c>
      <c r="D969" s="15" t="s">
        <v>71</v>
      </c>
      <c r="E969" s="15" t="s">
        <v>632</v>
      </c>
      <c r="F969" s="15" t="s">
        <v>33</v>
      </c>
      <c r="G969" s="74">
        <f>'прил 5'!G653</f>
        <v>0</v>
      </c>
      <c r="H969" s="118"/>
      <c r="I969" s="118"/>
      <c r="J969" s="1"/>
    </row>
    <row r="970" spans="1:16" s="18" customFormat="1" ht="52.5" customHeight="1">
      <c r="A970" s="16" t="s">
        <v>777</v>
      </c>
      <c r="B970" s="15" t="s">
        <v>97</v>
      </c>
      <c r="C970" s="15" t="s">
        <v>26</v>
      </c>
      <c r="D970" s="15" t="s">
        <v>28</v>
      </c>
      <c r="E970" s="15" t="s">
        <v>778</v>
      </c>
      <c r="F970" s="15"/>
      <c r="G970" s="74">
        <f>G971</f>
        <v>110000</v>
      </c>
      <c r="H970" s="74">
        <f t="shared" ref="H970:I971" si="254">H971</f>
        <v>0</v>
      </c>
      <c r="I970" s="74">
        <f t="shared" si="254"/>
        <v>0</v>
      </c>
    </row>
    <row r="971" spans="1:16" s="18" customFormat="1" ht="25.5">
      <c r="A971" s="16" t="s">
        <v>99</v>
      </c>
      <c r="B971" s="15" t="s">
        <v>97</v>
      </c>
      <c r="C971" s="15" t="s">
        <v>26</v>
      </c>
      <c r="D971" s="15" t="s">
        <v>28</v>
      </c>
      <c r="E971" s="15" t="s">
        <v>778</v>
      </c>
      <c r="F971" s="15" t="s">
        <v>359</v>
      </c>
      <c r="G971" s="74">
        <f>G972</f>
        <v>110000</v>
      </c>
      <c r="H971" s="74">
        <f t="shared" si="254"/>
        <v>0</v>
      </c>
      <c r="I971" s="74">
        <f t="shared" si="254"/>
        <v>0</v>
      </c>
    </row>
    <row r="972" spans="1:16" s="18" customFormat="1" ht="105" customHeight="1">
      <c r="A972" s="50" t="s">
        <v>434</v>
      </c>
      <c r="B972" s="15" t="s">
        <v>97</v>
      </c>
      <c r="C972" s="15" t="s">
        <v>26</v>
      </c>
      <c r="D972" s="15" t="s">
        <v>28</v>
      </c>
      <c r="E972" s="15" t="s">
        <v>778</v>
      </c>
      <c r="F972" s="15" t="s">
        <v>433</v>
      </c>
      <c r="G972" s="74">
        <f>'прил 5'!G558</f>
        <v>110000</v>
      </c>
      <c r="H972" s="74">
        <v>0</v>
      </c>
      <c r="I972" s="74">
        <v>0</v>
      </c>
    </row>
    <row r="973" spans="1:16" ht="33.75" customHeight="1">
      <c r="A973" s="16" t="s">
        <v>474</v>
      </c>
      <c r="B973" s="14">
        <v>793</v>
      </c>
      <c r="C973" s="15" t="s">
        <v>55</v>
      </c>
      <c r="D973" s="15" t="s">
        <v>127</v>
      </c>
      <c r="E973" s="15" t="s">
        <v>472</v>
      </c>
      <c r="F973" s="15"/>
      <c r="G973" s="74">
        <f>G974</f>
        <v>57233.03</v>
      </c>
      <c r="H973" s="74">
        <f t="shared" ref="H973:I973" si="255">H974</f>
        <v>63000</v>
      </c>
      <c r="I973" s="74">
        <f t="shared" si="255"/>
        <v>63000</v>
      </c>
      <c r="J973" s="2">
        <v>63000</v>
      </c>
    </row>
    <row r="974" spans="1:16" ht="41.25" customHeight="1">
      <c r="A974" s="16" t="s">
        <v>473</v>
      </c>
      <c r="B974" s="14">
        <v>793</v>
      </c>
      <c r="C974" s="15" t="s">
        <v>55</v>
      </c>
      <c r="D974" s="15" t="s">
        <v>127</v>
      </c>
      <c r="E974" s="15" t="s">
        <v>472</v>
      </c>
      <c r="F974" s="15" t="s">
        <v>37</v>
      </c>
      <c r="G974" s="74">
        <f>G975</f>
        <v>57233.03</v>
      </c>
      <c r="H974" s="74">
        <f t="shared" ref="H974:I974" si="256">H975</f>
        <v>63000</v>
      </c>
      <c r="I974" s="74">
        <f t="shared" si="256"/>
        <v>63000</v>
      </c>
      <c r="J974" s="2">
        <f>SUM(J966:J973)</f>
        <v>406551</v>
      </c>
    </row>
    <row r="975" spans="1:16" ht="30.75" customHeight="1">
      <c r="A975" s="16" t="s">
        <v>38</v>
      </c>
      <c r="B975" s="14">
        <v>793</v>
      </c>
      <c r="C975" s="15" t="s">
        <v>55</v>
      </c>
      <c r="D975" s="15" t="s">
        <v>127</v>
      </c>
      <c r="E975" s="15" t="s">
        <v>472</v>
      </c>
      <c r="F975" s="15" t="s">
        <v>39</v>
      </c>
      <c r="G975" s="74">
        <f>'прил 5'!G1048+'прил 5'!G730+'прил 5'!G372</f>
        <v>57233.03</v>
      </c>
      <c r="H975" s="74">
        <f>'прил 5'!H1048+'прил 5'!H730</f>
        <v>63000</v>
      </c>
      <c r="I975" s="74">
        <f>'прил 5'!I1048+'прил 5'!I730</f>
        <v>63000</v>
      </c>
    </row>
    <row r="976" spans="1:16" s="136" customFormat="1" ht="27.75" customHeight="1">
      <c r="A976" s="131" t="s">
        <v>701</v>
      </c>
      <c r="B976" s="127">
        <v>793</v>
      </c>
      <c r="C976" s="128" t="s">
        <v>70</v>
      </c>
      <c r="D976" s="128" t="s">
        <v>71</v>
      </c>
      <c r="E976" s="128" t="s">
        <v>702</v>
      </c>
      <c r="F976" s="128"/>
      <c r="G976" s="129">
        <f>G977</f>
        <v>0</v>
      </c>
      <c r="H976" s="129">
        <f t="shared" ref="H976:I978" si="257">H977</f>
        <v>85000</v>
      </c>
      <c r="I976" s="129">
        <f t="shared" si="257"/>
        <v>85000</v>
      </c>
    </row>
    <row r="977" spans="1:12" ht="28.5" customHeight="1">
      <c r="A977" s="50" t="s">
        <v>703</v>
      </c>
      <c r="B977" s="14">
        <v>793</v>
      </c>
      <c r="C977" s="15" t="s">
        <v>70</v>
      </c>
      <c r="D977" s="15" t="s">
        <v>71</v>
      </c>
      <c r="E977" s="15" t="s">
        <v>704</v>
      </c>
      <c r="F977" s="15"/>
      <c r="G977" s="74">
        <f>G978</f>
        <v>0</v>
      </c>
      <c r="H977" s="74">
        <f t="shared" si="257"/>
        <v>85000</v>
      </c>
      <c r="I977" s="74">
        <f t="shared" si="257"/>
        <v>85000</v>
      </c>
      <c r="J977" s="1"/>
    </row>
    <row r="978" spans="1:12" ht="21" customHeight="1">
      <c r="A978" s="16" t="s">
        <v>154</v>
      </c>
      <c r="B978" s="14">
        <v>793</v>
      </c>
      <c r="C978" s="15" t="s">
        <v>70</v>
      </c>
      <c r="D978" s="15" t="s">
        <v>71</v>
      </c>
      <c r="E978" s="15" t="s">
        <v>704</v>
      </c>
      <c r="F978" s="15" t="s">
        <v>155</v>
      </c>
      <c r="G978" s="74">
        <f>G979</f>
        <v>0</v>
      </c>
      <c r="H978" s="74">
        <f t="shared" si="257"/>
        <v>85000</v>
      </c>
      <c r="I978" s="74">
        <f t="shared" si="257"/>
        <v>85000</v>
      </c>
      <c r="J978" s="1"/>
    </row>
    <row r="979" spans="1:12" ht="30.75" customHeight="1">
      <c r="A979" s="16" t="s">
        <v>156</v>
      </c>
      <c r="B979" s="14">
        <v>793</v>
      </c>
      <c r="C979" s="15" t="s">
        <v>70</v>
      </c>
      <c r="D979" s="15" t="s">
        <v>71</v>
      </c>
      <c r="E979" s="15" t="s">
        <v>704</v>
      </c>
      <c r="F979" s="15" t="s">
        <v>157</v>
      </c>
      <c r="G979" s="74">
        <f>'прил 5'!G1148</f>
        <v>0</v>
      </c>
      <c r="H979" s="74">
        <v>85000</v>
      </c>
      <c r="I979" s="74">
        <v>85000</v>
      </c>
      <c r="J979" s="1"/>
    </row>
    <row r="980" spans="1:12" s="78" customFormat="1" ht="42" customHeight="1">
      <c r="A980" s="246" t="s">
        <v>121</v>
      </c>
      <c r="B980" s="77"/>
      <c r="C980" s="77"/>
      <c r="D980" s="77"/>
      <c r="E980" s="233"/>
      <c r="F980" s="233"/>
      <c r="G980" s="234">
        <f>G1008+G1039+G1076+G1085+G1102+G1135+G994+G981+G1063</f>
        <v>74804492.75</v>
      </c>
      <c r="H980" s="234">
        <f t="shared" ref="H980:I980" si="258">H1008+H1039+H1076+H1085+H1102+H1135+H994+H981+H1063</f>
        <v>57002413.960000008</v>
      </c>
      <c r="I980" s="234">
        <f t="shared" si="258"/>
        <v>57377643.488449991</v>
      </c>
      <c r="J980" s="153"/>
    </row>
    <row r="981" spans="1:12" ht="25.5">
      <c r="A981" s="121" t="s">
        <v>881</v>
      </c>
      <c r="B981" s="122">
        <v>757</v>
      </c>
      <c r="C981" s="123" t="s">
        <v>45</v>
      </c>
      <c r="D981" s="123" t="s">
        <v>19</v>
      </c>
      <c r="E981" s="123" t="s">
        <v>880</v>
      </c>
      <c r="F981" s="123"/>
      <c r="G981" s="253">
        <f>G991</f>
        <v>523396.52</v>
      </c>
      <c r="H981" s="253">
        <f>H991</f>
        <v>0</v>
      </c>
      <c r="I981" s="253">
        <f>I991</f>
        <v>0</v>
      </c>
      <c r="J981" s="1"/>
      <c r="L981" s="2">
        <f>G982+G985+G991+G97+G100+G132+G138+G141+G144+G146+G152+G164</f>
        <v>45317956.960000001</v>
      </c>
    </row>
    <row r="982" spans="1:12" ht="40.5" hidden="1" customHeight="1">
      <c r="A982" s="16" t="s">
        <v>620</v>
      </c>
      <c r="B982" s="15" t="s">
        <v>52</v>
      </c>
      <c r="C982" s="15" t="s">
        <v>45</v>
      </c>
      <c r="D982" s="15" t="s">
        <v>19</v>
      </c>
      <c r="E982" s="15" t="s">
        <v>562</v>
      </c>
      <c r="F982" s="15"/>
      <c r="G982" s="89">
        <f>G983</f>
        <v>0</v>
      </c>
      <c r="H982" s="74">
        <v>0</v>
      </c>
      <c r="I982" s="74">
        <v>0</v>
      </c>
      <c r="J982" s="1"/>
    </row>
    <row r="983" spans="1:12" ht="30" hidden="1" customHeight="1">
      <c r="A983" s="16" t="s">
        <v>99</v>
      </c>
      <c r="B983" s="15" t="s">
        <v>52</v>
      </c>
      <c r="C983" s="15" t="s">
        <v>45</v>
      </c>
      <c r="D983" s="15" t="s">
        <v>19</v>
      </c>
      <c r="E983" s="15" t="s">
        <v>562</v>
      </c>
      <c r="F983" s="15" t="s">
        <v>359</v>
      </c>
      <c r="G983" s="89">
        <f>G984</f>
        <v>0</v>
      </c>
      <c r="H983" s="74">
        <v>0</v>
      </c>
      <c r="I983" s="74">
        <v>0</v>
      </c>
      <c r="J983" s="1"/>
    </row>
    <row r="984" spans="1:12" ht="91.5" hidden="1" customHeight="1">
      <c r="A984" s="50" t="s">
        <v>434</v>
      </c>
      <c r="B984" s="15" t="s">
        <v>52</v>
      </c>
      <c r="C984" s="15" t="s">
        <v>45</v>
      </c>
      <c r="D984" s="15" t="s">
        <v>19</v>
      </c>
      <c r="E984" s="15" t="s">
        <v>562</v>
      </c>
      <c r="F984" s="15" t="s">
        <v>433</v>
      </c>
      <c r="G984" s="89"/>
      <c r="H984" s="74">
        <v>0</v>
      </c>
      <c r="I984" s="74">
        <v>0</v>
      </c>
      <c r="J984" s="1"/>
    </row>
    <row r="985" spans="1:12" ht="43.5" hidden="1" customHeight="1">
      <c r="A985" s="50" t="s">
        <v>621</v>
      </c>
      <c r="B985" s="15" t="s">
        <v>52</v>
      </c>
      <c r="C985" s="15" t="s">
        <v>45</v>
      </c>
      <c r="D985" s="15" t="s">
        <v>19</v>
      </c>
      <c r="E985" s="15" t="s">
        <v>564</v>
      </c>
      <c r="F985" s="15"/>
      <c r="G985" s="89">
        <f>G986</f>
        <v>0</v>
      </c>
      <c r="H985" s="74">
        <v>0</v>
      </c>
      <c r="I985" s="74">
        <v>0</v>
      </c>
      <c r="J985" s="1"/>
    </row>
    <row r="986" spans="1:12" ht="39.75" hidden="1" customHeight="1">
      <c r="A986" s="16" t="s">
        <v>99</v>
      </c>
      <c r="B986" s="15" t="s">
        <v>52</v>
      </c>
      <c r="C986" s="15" t="s">
        <v>45</v>
      </c>
      <c r="D986" s="15" t="s">
        <v>19</v>
      </c>
      <c r="E986" s="15" t="s">
        <v>564</v>
      </c>
      <c r="F986" s="15" t="s">
        <v>359</v>
      </c>
      <c r="G986" s="89">
        <f>G987</f>
        <v>0</v>
      </c>
      <c r="H986" s="74">
        <v>0</v>
      </c>
      <c r="I986" s="74">
        <v>0</v>
      </c>
      <c r="J986" s="1"/>
    </row>
    <row r="987" spans="1:12" ht="86.25" hidden="1" customHeight="1">
      <c r="A987" s="50" t="s">
        <v>434</v>
      </c>
      <c r="B987" s="15" t="s">
        <v>52</v>
      </c>
      <c r="C987" s="15" t="s">
        <v>45</v>
      </c>
      <c r="D987" s="15" t="s">
        <v>19</v>
      </c>
      <c r="E987" s="15" t="s">
        <v>564</v>
      </c>
      <c r="F987" s="15" t="s">
        <v>433</v>
      </c>
      <c r="G987" s="89"/>
      <c r="H987" s="74">
        <v>0</v>
      </c>
      <c r="I987" s="74">
        <v>0</v>
      </c>
      <c r="J987" s="1"/>
    </row>
    <row r="988" spans="1:12" ht="48" hidden="1" customHeight="1">
      <c r="A988" s="84" t="s">
        <v>630</v>
      </c>
      <c r="B988" s="14">
        <v>757</v>
      </c>
      <c r="C988" s="15" t="s">
        <v>45</v>
      </c>
      <c r="D988" s="15" t="s">
        <v>19</v>
      </c>
      <c r="E988" s="15" t="s">
        <v>629</v>
      </c>
      <c r="F988" s="14"/>
      <c r="G988" s="102">
        <f t="shared" ref="G988:I989" si="259">G989</f>
        <v>0</v>
      </c>
      <c r="H988" s="74">
        <f t="shared" si="259"/>
        <v>0</v>
      </c>
      <c r="I988" s="74">
        <f t="shared" si="259"/>
        <v>0</v>
      </c>
      <c r="J988" s="1"/>
    </row>
    <row r="989" spans="1:12" ht="25.5" hidden="1">
      <c r="A989" s="16" t="s">
        <v>30</v>
      </c>
      <c r="B989" s="14">
        <v>757</v>
      </c>
      <c r="C989" s="15" t="s">
        <v>45</v>
      </c>
      <c r="D989" s="15" t="s">
        <v>19</v>
      </c>
      <c r="E989" s="15" t="s">
        <v>629</v>
      </c>
      <c r="F989" s="15" t="s">
        <v>31</v>
      </c>
      <c r="G989" s="110">
        <f t="shared" si="259"/>
        <v>0</v>
      </c>
      <c r="H989" s="25">
        <f t="shared" si="259"/>
        <v>0</v>
      </c>
      <c r="I989" s="25">
        <f t="shared" si="259"/>
        <v>0</v>
      </c>
      <c r="J989" s="1"/>
    </row>
    <row r="990" spans="1:12" hidden="1">
      <c r="A990" s="16" t="s">
        <v>32</v>
      </c>
      <c r="B990" s="14">
        <v>757</v>
      </c>
      <c r="C990" s="15" t="s">
        <v>45</v>
      </c>
      <c r="D990" s="15" t="s">
        <v>19</v>
      </c>
      <c r="E990" s="15" t="s">
        <v>629</v>
      </c>
      <c r="F990" s="15" t="s">
        <v>33</v>
      </c>
      <c r="G990" s="110"/>
      <c r="H990" s="25"/>
      <c r="I990" s="25"/>
      <c r="J990" s="1"/>
    </row>
    <row r="991" spans="1:12" ht="42.75" customHeight="1">
      <c r="A991" s="210" t="s">
        <v>883</v>
      </c>
      <c r="B991" s="14">
        <v>757</v>
      </c>
      <c r="C991" s="15" t="s">
        <v>45</v>
      </c>
      <c r="D991" s="15" t="s">
        <v>19</v>
      </c>
      <c r="E991" s="15" t="s">
        <v>882</v>
      </c>
      <c r="F991" s="14"/>
      <c r="G991" s="102">
        <f t="shared" ref="G991:I992" si="260">G992</f>
        <v>523396.52</v>
      </c>
      <c r="H991" s="74">
        <f t="shared" si="260"/>
        <v>0</v>
      </c>
      <c r="I991" s="74">
        <f t="shared" si="260"/>
        <v>0</v>
      </c>
      <c r="J991" s="1"/>
    </row>
    <row r="992" spans="1:12" ht="25.5">
      <c r="A992" s="86" t="s">
        <v>30</v>
      </c>
      <c r="B992" s="14">
        <v>757</v>
      </c>
      <c r="C992" s="15" t="s">
        <v>45</v>
      </c>
      <c r="D992" s="15" t="s">
        <v>19</v>
      </c>
      <c r="E992" s="15" t="s">
        <v>882</v>
      </c>
      <c r="F992" s="15" t="s">
        <v>31</v>
      </c>
      <c r="G992" s="110">
        <f t="shared" si="260"/>
        <v>523396.52</v>
      </c>
      <c r="H992" s="25">
        <f t="shared" si="260"/>
        <v>0</v>
      </c>
      <c r="I992" s="25">
        <f t="shared" si="260"/>
        <v>0</v>
      </c>
      <c r="J992" s="1"/>
    </row>
    <row r="993" spans="1:10">
      <c r="A993" s="86" t="s">
        <v>32</v>
      </c>
      <c r="B993" s="14">
        <v>757</v>
      </c>
      <c r="C993" s="15" t="s">
        <v>45</v>
      </c>
      <c r="D993" s="15" t="s">
        <v>19</v>
      </c>
      <c r="E993" s="15" t="s">
        <v>882</v>
      </c>
      <c r="F993" s="15" t="s">
        <v>33</v>
      </c>
      <c r="G993" s="25">
        <f>'прил 5'!G135</f>
        <v>523396.52</v>
      </c>
      <c r="H993" s="25">
        <f>'прил 5'!H135</f>
        <v>0</v>
      </c>
      <c r="I993" s="25">
        <f>'прил 5'!I135</f>
        <v>0</v>
      </c>
      <c r="J993" s="1"/>
    </row>
    <row r="994" spans="1:10" s="180" customFormat="1" ht="30.75" customHeight="1">
      <c r="A994" s="125" t="s">
        <v>280</v>
      </c>
      <c r="B994" s="177">
        <v>793</v>
      </c>
      <c r="C994" s="178" t="s">
        <v>180</v>
      </c>
      <c r="D994" s="178" t="s">
        <v>71</v>
      </c>
      <c r="E994" s="123" t="s">
        <v>591</v>
      </c>
      <c r="F994" s="123"/>
      <c r="G994" s="124">
        <f>G995</f>
        <v>12297497.199999999</v>
      </c>
      <c r="H994" s="179">
        <v>0</v>
      </c>
      <c r="I994" s="179">
        <v>0</v>
      </c>
    </row>
    <row r="995" spans="1:10" ht="30.75" customHeight="1">
      <c r="A995" s="16" t="s">
        <v>280</v>
      </c>
      <c r="B995" s="14">
        <v>793</v>
      </c>
      <c r="C995" s="15" t="s">
        <v>180</v>
      </c>
      <c r="D995" s="15" t="s">
        <v>71</v>
      </c>
      <c r="E995" s="15" t="s">
        <v>592</v>
      </c>
      <c r="F995" s="15"/>
      <c r="G995" s="74">
        <f>G998+G1000+G996+G1006+G1003+G1005</f>
        <v>12297497.199999999</v>
      </c>
      <c r="H995" s="74">
        <v>0</v>
      </c>
      <c r="I995" s="74">
        <v>0</v>
      </c>
      <c r="J995" s="1"/>
    </row>
    <row r="996" spans="1:10" ht="30.75" hidden="1" customHeight="1">
      <c r="A996" s="16" t="s">
        <v>36</v>
      </c>
      <c r="B996" s="49">
        <v>795</v>
      </c>
      <c r="C996" s="15" t="s">
        <v>180</v>
      </c>
      <c r="D996" s="15" t="s">
        <v>28</v>
      </c>
      <c r="E996" s="15" t="s">
        <v>592</v>
      </c>
      <c r="F996" s="15" t="s">
        <v>37</v>
      </c>
      <c r="G996" s="74">
        <f>G997</f>
        <v>0</v>
      </c>
      <c r="H996" s="74">
        <v>0</v>
      </c>
      <c r="I996" s="74">
        <v>0</v>
      </c>
      <c r="J996" s="1"/>
    </row>
    <row r="997" spans="1:10" ht="30.75" hidden="1" customHeight="1">
      <c r="A997" s="16" t="s">
        <v>38</v>
      </c>
      <c r="B997" s="49">
        <v>795</v>
      </c>
      <c r="C997" s="15" t="s">
        <v>180</v>
      </c>
      <c r="D997" s="15" t="s">
        <v>28</v>
      </c>
      <c r="E997" s="15" t="s">
        <v>592</v>
      </c>
      <c r="F997" s="15" t="s">
        <v>39</v>
      </c>
      <c r="G997" s="74">
        <f>'прил 5'!G1413</f>
        <v>0</v>
      </c>
      <c r="H997" s="74">
        <v>0</v>
      </c>
      <c r="I997" s="74">
        <v>0</v>
      </c>
      <c r="J997" s="1"/>
    </row>
    <row r="998" spans="1:10" ht="23.25" hidden="1" customHeight="1">
      <c r="A998" s="16" t="s">
        <v>154</v>
      </c>
      <c r="B998" s="14">
        <v>793</v>
      </c>
      <c r="C998" s="15" t="s">
        <v>71</v>
      </c>
      <c r="D998" s="15" t="s">
        <v>127</v>
      </c>
      <c r="E998" s="15" t="s">
        <v>592</v>
      </c>
      <c r="F998" s="15" t="s">
        <v>155</v>
      </c>
      <c r="G998" s="74">
        <f>G999</f>
        <v>0</v>
      </c>
      <c r="H998" s="74">
        <v>0</v>
      </c>
      <c r="I998" s="74">
        <v>0</v>
      </c>
      <c r="J998" s="1"/>
    </row>
    <row r="999" spans="1:10" ht="30.75" hidden="1" customHeight="1">
      <c r="A999" s="16" t="s">
        <v>156</v>
      </c>
      <c r="B999" s="14">
        <v>793</v>
      </c>
      <c r="C999" s="15" t="s">
        <v>71</v>
      </c>
      <c r="D999" s="15" t="s">
        <v>127</v>
      </c>
      <c r="E999" s="15" t="s">
        <v>592</v>
      </c>
      <c r="F999" s="15" t="s">
        <v>157</v>
      </c>
      <c r="G999" s="74">
        <f>'прил 5'!G975</f>
        <v>0</v>
      </c>
      <c r="H999" s="74">
        <v>0</v>
      </c>
      <c r="I999" s="74">
        <v>0</v>
      </c>
      <c r="J999" s="1"/>
    </row>
    <row r="1000" spans="1:10" ht="21.75" hidden="1" customHeight="1">
      <c r="A1000" s="16" t="s">
        <v>163</v>
      </c>
      <c r="B1000" s="14">
        <v>793</v>
      </c>
      <c r="C1000" s="15" t="s">
        <v>180</v>
      </c>
      <c r="D1000" s="15" t="s">
        <v>71</v>
      </c>
      <c r="E1000" s="15" t="s">
        <v>592</v>
      </c>
      <c r="F1000" s="15" t="s">
        <v>164</v>
      </c>
      <c r="G1000" s="74">
        <f>G1001</f>
        <v>0</v>
      </c>
      <c r="H1000" s="74">
        <v>0</v>
      </c>
      <c r="I1000" s="74">
        <v>0</v>
      </c>
      <c r="J1000" s="1"/>
    </row>
    <row r="1001" spans="1:10" ht="22.5" hidden="1" customHeight="1">
      <c r="A1001" s="16" t="s">
        <v>185</v>
      </c>
      <c r="B1001" s="14">
        <v>793</v>
      </c>
      <c r="C1001" s="15" t="s">
        <v>180</v>
      </c>
      <c r="D1001" s="15" t="s">
        <v>71</v>
      </c>
      <c r="E1001" s="15" t="s">
        <v>592</v>
      </c>
      <c r="F1001" s="15" t="s">
        <v>186</v>
      </c>
      <c r="G1001" s="74"/>
      <c r="H1001" s="74">
        <v>0</v>
      </c>
      <c r="I1001" s="74">
        <v>0</v>
      </c>
      <c r="J1001" s="1"/>
    </row>
    <row r="1002" spans="1:10" ht="25.5">
      <c r="A1002" s="16" t="s">
        <v>36</v>
      </c>
      <c r="B1002" s="49">
        <v>795</v>
      </c>
      <c r="C1002" s="15" t="s">
        <v>180</v>
      </c>
      <c r="D1002" s="15" t="s">
        <v>28</v>
      </c>
      <c r="E1002" s="15" t="s">
        <v>592</v>
      </c>
      <c r="F1002" s="15" t="s">
        <v>37</v>
      </c>
      <c r="G1002" s="89">
        <f t="shared" ref="G1002:I1002" si="261">G1003</f>
        <v>1800000</v>
      </c>
      <c r="H1002" s="8">
        <f t="shared" si="261"/>
        <v>0</v>
      </c>
      <c r="I1002" s="8">
        <f t="shared" si="261"/>
        <v>0</v>
      </c>
      <c r="J1002" s="1"/>
    </row>
    <row r="1003" spans="1:10" ht="25.5">
      <c r="A1003" s="16" t="s">
        <v>38</v>
      </c>
      <c r="B1003" s="49">
        <v>795</v>
      </c>
      <c r="C1003" s="15" t="s">
        <v>180</v>
      </c>
      <c r="D1003" s="15" t="s">
        <v>28</v>
      </c>
      <c r="E1003" s="15" t="s">
        <v>592</v>
      </c>
      <c r="F1003" s="15" t="s">
        <v>39</v>
      </c>
      <c r="G1003" s="89">
        <f>'прил 5'!G1426</f>
        <v>1800000</v>
      </c>
      <c r="H1003" s="8">
        <v>0</v>
      </c>
      <c r="I1003" s="8">
        <v>0</v>
      </c>
      <c r="J1003" s="1"/>
    </row>
    <row r="1004" spans="1:10" ht="25.5">
      <c r="A1004" s="16" t="s">
        <v>99</v>
      </c>
      <c r="B1004" s="49">
        <v>795</v>
      </c>
      <c r="C1004" s="15" t="s">
        <v>180</v>
      </c>
      <c r="D1004" s="15" t="s">
        <v>28</v>
      </c>
      <c r="E1004" s="15" t="s">
        <v>592</v>
      </c>
      <c r="F1004" s="15" t="s">
        <v>359</v>
      </c>
      <c r="G1004" s="89">
        <f t="shared" ref="G1004:I1004" si="262">G1005</f>
        <v>4623038</v>
      </c>
      <c r="H1004" s="8">
        <f t="shared" si="262"/>
        <v>0</v>
      </c>
      <c r="I1004" s="8">
        <f t="shared" si="262"/>
        <v>0</v>
      </c>
      <c r="J1004" s="1"/>
    </row>
    <row r="1005" spans="1:10">
      <c r="A1005" s="16" t="s">
        <v>360</v>
      </c>
      <c r="B1005" s="49">
        <v>795</v>
      </c>
      <c r="C1005" s="15" t="s">
        <v>180</v>
      </c>
      <c r="D1005" s="15" t="s">
        <v>28</v>
      </c>
      <c r="E1005" s="15" t="s">
        <v>592</v>
      </c>
      <c r="F1005" s="15" t="s">
        <v>361</v>
      </c>
      <c r="G1005" s="8">
        <v>4623038</v>
      </c>
      <c r="H1005" s="8">
        <v>0</v>
      </c>
      <c r="I1005" s="8">
        <v>0</v>
      </c>
      <c r="J1005" s="1"/>
    </row>
    <row r="1006" spans="1:10" ht="25.5">
      <c r="A1006" s="16" t="s">
        <v>30</v>
      </c>
      <c r="B1006" s="14">
        <v>757</v>
      </c>
      <c r="C1006" s="15" t="s">
        <v>45</v>
      </c>
      <c r="D1006" s="15" t="s">
        <v>19</v>
      </c>
      <c r="E1006" s="15" t="s">
        <v>592</v>
      </c>
      <c r="F1006" s="15" t="s">
        <v>31</v>
      </c>
      <c r="G1006" s="89">
        <f t="shared" ref="G1006:I1006" si="263">G1007</f>
        <v>5874459.2000000002</v>
      </c>
      <c r="H1006" s="8">
        <f t="shared" si="263"/>
        <v>0</v>
      </c>
      <c r="I1006" s="8">
        <f t="shared" si="263"/>
        <v>0</v>
      </c>
      <c r="J1006" s="1"/>
    </row>
    <row r="1007" spans="1:10">
      <c r="A1007" s="16" t="s">
        <v>32</v>
      </c>
      <c r="B1007" s="14">
        <v>757</v>
      </c>
      <c r="C1007" s="15" t="s">
        <v>45</v>
      </c>
      <c r="D1007" s="15" t="s">
        <v>19</v>
      </c>
      <c r="E1007" s="15" t="s">
        <v>592</v>
      </c>
      <c r="F1007" s="15" t="s">
        <v>33</v>
      </c>
      <c r="G1007" s="89">
        <f>'прил 5'!G211+'прил 5'!G250+'прил 5'!G586+'прил 5'!G102+'прил 5'!G667+'прил 5'!G434</f>
        <v>5874459.2000000002</v>
      </c>
      <c r="H1007" s="8">
        <v>0</v>
      </c>
      <c r="I1007" s="8">
        <v>0</v>
      </c>
      <c r="J1007" s="1"/>
    </row>
    <row r="1008" spans="1:10" s="181" customFormat="1" ht="25.5" customHeight="1">
      <c r="A1008" s="121" t="s">
        <v>328</v>
      </c>
      <c r="B1008" s="122">
        <v>793</v>
      </c>
      <c r="C1008" s="123" t="s">
        <v>19</v>
      </c>
      <c r="D1008" s="123" t="s">
        <v>28</v>
      </c>
      <c r="E1008" s="123" t="s">
        <v>247</v>
      </c>
      <c r="F1008" s="123"/>
      <c r="G1008" s="124">
        <f>G1009+G1013</f>
        <v>33930939.580000006</v>
      </c>
      <c r="H1008" s="124">
        <f>H1009+H1013</f>
        <v>33080378.060000002</v>
      </c>
      <c r="I1008" s="124">
        <f>I1009+I1013</f>
        <v>33316802.139999997</v>
      </c>
      <c r="J1008" s="226">
        <v>1816051</v>
      </c>
    </row>
    <row r="1009" spans="1:10">
      <c r="A1009" s="16" t="s">
        <v>329</v>
      </c>
      <c r="B1009" s="14">
        <v>793</v>
      </c>
      <c r="C1009" s="15" t="s">
        <v>19</v>
      </c>
      <c r="D1009" s="15" t="s">
        <v>28</v>
      </c>
      <c r="E1009" s="15" t="s">
        <v>248</v>
      </c>
      <c r="F1009" s="15"/>
      <c r="G1009" s="74">
        <f>G1010</f>
        <v>2732750.06</v>
      </c>
      <c r="H1009" s="74">
        <f t="shared" ref="H1009:I1009" si="264">H1010</f>
        <v>1867841</v>
      </c>
      <c r="I1009" s="74">
        <f t="shared" si="264"/>
        <v>1868013</v>
      </c>
      <c r="J1009" s="2">
        <v>22376720</v>
      </c>
    </row>
    <row r="1010" spans="1:10" ht="25.5">
      <c r="A1010" s="16" t="s">
        <v>78</v>
      </c>
      <c r="B1010" s="14">
        <v>793</v>
      </c>
      <c r="C1010" s="15" t="s">
        <v>19</v>
      </c>
      <c r="D1010" s="15" t="s">
        <v>28</v>
      </c>
      <c r="E1010" s="15" t="s">
        <v>249</v>
      </c>
      <c r="F1010" s="15"/>
      <c r="G1010" s="74">
        <f>G1011</f>
        <v>2732750.06</v>
      </c>
      <c r="H1010" s="74">
        <f t="shared" ref="H1010:I1011" si="265">H1011</f>
        <v>1867841</v>
      </c>
      <c r="I1010" s="74">
        <f t="shared" si="265"/>
        <v>1868013</v>
      </c>
      <c r="J1010" s="2">
        <v>1931480</v>
      </c>
    </row>
    <row r="1011" spans="1:10" ht="51">
      <c r="A1011" s="16" t="s">
        <v>330</v>
      </c>
      <c r="B1011" s="14">
        <v>793</v>
      </c>
      <c r="C1011" s="15" t="s">
        <v>19</v>
      </c>
      <c r="D1011" s="15" t="s">
        <v>28</v>
      </c>
      <c r="E1011" s="15" t="s">
        <v>249</v>
      </c>
      <c r="F1011" s="15" t="s">
        <v>59</v>
      </c>
      <c r="G1011" s="74">
        <f>G1012</f>
        <v>2732750.06</v>
      </c>
      <c r="H1011" s="74">
        <f t="shared" si="265"/>
        <v>1867841</v>
      </c>
      <c r="I1011" s="74">
        <f t="shared" si="265"/>
        <v>1868013</v>
      </c>
      <c r="J1011" s="2">
        <v>3861060</v>
      </c>
    </row>
    <row r="1012" spans="1:10" ht="25.5">
      <c r="A1012" s="16" t="s">
        <v>57</v>
      </c>
      <c r="B1012" s="14">
        <v>793</v>
      </c>
      <c r="C1012" s="15" t="s">
        <v>19</v>
      </c>
      <c r="D1012" s="15" t="s">
        <v>28</v>
      </c>
      <c r="E1012" s="15" t="s">
        <v>249</v>
      </c>
      <c r="F1012" s="15" t="s">
        <v>60</v>
      </c>
      <c r="G1012" s="74">
        <f>'прил 5'!G832</f>
        <v>2732750.06</v>
      </c>
      <c r="H1012" s="74">
        <f>'прил 5'!H832</f>
        <v>1867841</v>
      </c>
      <c r="I1012" s="74">
        <f>'прил 5'!I832</f>
        <v>1868013</v>
      </c>
      <c r="J1012" s="2">
        <v>36840</v>
      </c>
    </row>
    <row r="1013" spans="1:10" s="46" customFormat="1">
      <c r="A1013" s="56" t="s">
        <v>335</v>
      </c>
      <c r="B1013" s="14">
        <v>793</v>
      </c>
      <c r="C1013" s="15" t="s">
        <v>19</v>
      </c>
      <c r="D1013" s="15" t="s">
        <v>55</v>
      </c>
      <c r="E1013" s="15" t="s">
        <v>252</v>
      </c>
      <c r="F1013" s="15"/>
      <c r="G1013" s="74">
        <f>G1014+G1036+G1021+G1031+G1026</f>
        <v>31198189.520000003</v>
      </c>
      <c r="H1013" s="74">
        <f>H1014+H1036+H1021+H1031+H1026</f>
        <v>31212537.060000002</v>
      </c>
      <c r="I1013" s="74">
        <f>I1014+I1036+I1021+I1031+I1026</f>
        <v>31448789.139999997</v>
      </c>
      <c r="J1013" s="151">
        <v>1772668</v>
      </c>
    </row>
    <row r="1014" spans="1:10" s="46" customFormat="1" ht="25.5">
      <c r="A1014" s="16" t="s">
        <v>78</v>
      </c>
      <c r="B1014" s="14">
        <v>793</v>
      </c>
      <c r="C1014" s="15" t="s">
        <v>19</v>
      </c>
      <c r="D1014" s="15" t="s">
        <v>55</v>
      </c>
      <c r="E1014" s="15" t="s">
        <v>253</v>
      </c>
      <c r="F1014" s="15"/>
      <c r="G1014" s="74">
        <f>G1015+G1017+G1019</f>
        <v>24593667.670000002</v>
      </c>
      <c r="H1014" s="74">
        <f>H1015+H1017+H1019</f>
        <v>24550210</v>
      </c>
      <c r="I1014" s="74">
        <f>I1015+I1017+I1019</f>
        <v>24552929</v>
      </c>
      <c r="J1014" s="151">
        <v>26732</v>
      </c>
    </row>
    <row r="1015" spans="1:10" s="46" customFormat="1" ht="51">
      <c r="A1015" s="16" t="s">
        <v>330</v>
      </c>
      <c r="B1015" s="14">
        <v>793</v>
      </c>
      <c r="C1015" s="15" t="s">
        <v>19</v>
      </c>
      <c r="D1015" s="15" t="s">
        <v>55</v>
      </c>
      <c r="E1015" s="15" t="s">
        <v>253</v>
      </c>
      <c r="F1015" s="15" t="s">
        <v>59</v>
      </c>
      <c r="G1015" s="74">
        <f>G1016</f>
        <v>22627228.32</v>
      </c>
      <c r="H1015" s="74">
        <f>H1016</f>
        <v>22963960</v>
      </c>
      <c r="I1015" s="74">
        <f>I1016</f>
        <v>22966679</v>
      </c>
      <c r="J1015" s="151">
        <v>292420</v>
      </c>
    </row>
    <row r="1016" spans="1:10" s="46" customFormat="1" ht="25.5">
      <c r="A1016" s="16" t="s">
        <v>57</v>
      </c>
      <c r="B1016" s="14">
        <v>793</v>
      </c>
      <c r="C1016" s="15" t="s">
        <v>19</v>
      </c>
      <c r="D1016" s="15" t="s">
        <v>55</v>
      </c>
      <c r="E1016" s="15" t="s">
        <v>253</v>
      </c>
      <c r="F1016" s="15" t="s">
        <v>60</v>
      </c>
      <c r="G1016" s="74">
        <f>'прил 5'!G842</f>
        <v>22627228.32</v>
      </c>
      <c r="H1016" s="74">
        <f>'прил 5'!H842</f>
        <v>22963960</v>
      </c>
      <c r="I1016" s="74">
        <f>'прил 5'!I842</f>
        <v>22966679</v>
      </c>
      <c r="J1016" s="151">
        <v>7380</v>
      </c>
    </row>
    <row r="1017" spans="1:10" s="46" customFormat="1">
      <c r="A1017" s="16" t="s">
        <v>334</v>
      </c>
      <c r="B1017" s="14">
        <v>793</v>
      </c>
      <c r="C1017" s="15" t="s">
        <v>19</v>
      </c>
      <c r="D1017" s="15" t="s">
        <v>55</v>
      </c>
      <c r="E1017" s="15" t="s">
        <v>253</v>
      </c>
      <c r="F1017" s="15" t="s">
        <v>37</v>
      </c>
      <c r="G1017" s="74">
        <f>G1018</f>
        <v>1966413.39</v>
      </c>
      <c r="H1017" s="74">
        <f t="shared" ref="H1017:I1017" si="266">H1018</f>
        <v>1583250</v>
      </c>
      <c r="I1017" s="74">
        <f t="shared" si="266"/>
        <v>1583250</v>
      </c>
      <c r="J1017" s="151">
        <v>10000</v>
      </c>
    </row>
    <row r="1018" spans="1:10" s="46" customFormat="1" ht="25.5">
      <c r="A1018" s="16" t="s">
        <v>38</v>
      </c>
      <c r="B1018" s="14">
        <v>793</v>
      </c>
      <c r="C1018" s="15" t="s">
        <v>19</v>
      </c>
      <c r="D1018" s="15" t="s">
        <v>55</v>
      </c>
      <c r="E1018" s="15" t="s">
        <v>253</v>
      </c>
      <c r="F1018" s="15" t="s">
        <v>39</v>
      </c>
      <c r="G1018" s="74">
        <f>'прил 5'!G844</f>
        <v>1966413.39</v>
      </c>
      <c r="H1018" s="74">
        <f>'прил 5'!H844</f>
        <v>1583250</v>
      </c>
      <c r="I1018" s="74">
        <f>'прил 5'!I844</f>
        <v>1583250</v>
      </c>
      <c r="J1018" s="151">
        <f>SUM(J1008:J1017)</f>
        <v>32131351</v>
      </c>
    </row>
    <row r="1019" spans="1:10" s="46" customFormat="1" ht="13.5" customHeight="1">
      <c r="A1019" s="16" t="s">
        <v>64</v>
      </c>
      <c r="B1019" s="14">
        <v>793</v>
      </c>
      <c r="C1019" s="15" t="s">
        <v>19</v>
      </c>
      <c r="D1019" s="15" t="s">
        <v>55</v>
      </c>
      <c r="E1019" s="15" t="s">
        <v>253</v>
      </c>
      <c r="F1019" s="15" t="s">
        <v>65</v>
      </c>
      <c r="G1019" s="74">
        <f>G1020</f>
        <v>25.96</v>
      </c>
      <c r="H1019" s="74">
        <f>H1020</f>
        <v>3000</v>
      </c>
      <c r="I1019" s="74">
        <f>I1020</f>
        <v>3000</v>
      </c>
      <c r="J1019" s="151"/>
    </row>
    <row r="1020" spans="1:10" s="46" customFormat="1">
      <c r="A1020" s="16" t="s">
        <v>150</v>
      </c>
      <c r="B1020" s="14">
        <v>793</v>
      </c>
      <c r="C1020" s="15" t="s">
        <v>19</v>
      </c>
      <c r="D1020" s="15" t="s">
        <v>55</v>
      </c>
      <c r="E1020" s="15" t="s">
        <v>253</v>
      </c>
      <c r="F1020" s="15" t="s">
        <v>68</v>
      </c>
      <c r="G1020" s="74">
        <f>'прил 5'!G846</f>
        <v>25.96</v>
      </c>
      <c r="H1020" s="74">
        <f>'прил 5'!H846</f>
        <v>3000</v>
      </c>
      <c r="I1020" s="74">
        <f>'прил 5'!I846</f>
        <v>3000</v>
      </c>
      <c r="J1020" s="151"/>
    </row>
    <row r="1021" spans="1:10" s="3" customFormat="1" ht="63.75">
      <c r="A1021" s="16" t="s">
        <v>708</v>
      </c>
      <c r="B1021" s="14">
        <v>793</v>
      </c>
      <c r="C1021" s="15" t="s">
        <v>19</v>
      </c>
      <c r="D1021" s="15" t="s">
        <v>55</v>
      </c>
      <c r="E1021" s="15" t="s">
        <v>706</v>
      </c>
      <c r="F1021" s="15"/>
      <c r="G1021" s="74">
        <f>G1022+G1024</f>
        <v>4561821.34</v>
      </c>
      <c r="H1021" s="74">
        <f>H1022+H1024</f>
        <v>4801569.55</v>
      </c>
      <c r="I1021" s="74">
        <f>I1022+I1024</f>
        <v>4970232.33</v>
      </c>
      <c r="J1021" s="152"/>
    </row>
    <row r="1022" spans="1:10" s="3" customFormat="1" ht="51">
      <c r="A1022" s="16" t="s">
        <v>330</v>
      </c>
      <c r="B1022" s="14">
        <v>793</v>
      </c>
      <c r="C1022" s="15" t="s">
        <v>19</v>
      </c>
      <c r="D1022" s="15" t="s">
        <v>55</v>
      </c>
      <c r="E1022" s="15" t="s">
        <v>706</v>
      </c>
      <c r="F1022" s="15" t="s">
        <v>59</v>
      </c>
      <c r="G1022" s="74">
        <f>G1023</f>
        <v>3628407.9299999997</v>
      </c>
      <c r="H1022" s="74">
        <f t="shared" ref="H1022:I1022" si="267">H1023</f>
        <v>3870820</v>
      </c>
      <c r="I1022" s="74">
        <f t="shared" si="267"/>
        <v>4023332</v>
      </c>
      <c r="J1022" s="152"/>
    </row>
    <row r="1023" spans="1:10" s="3" customFormat="1" ht="25.5">
      <c r="A1023" s="16" t="s">
        <v>57</v>
      </c>
      <c r="B1023" s="14">
        <v>793</v>
      </c>
      <c r="C1023" s="15" t="s">
        <v>19</v>
      </c>
      <c r="D1023" s="15" t="s">
        <v>55</v>
      </c>
      <c r="E1023" s="15" t="s">
        <v>706</v>
      </c>
      <c r="F1023" s="15" t="s">
        <v>60</v>
      </c>
      <c r="G1023" s="74">
        <f>'прил 5'!G849</f>
        <v>3628407.9299999997</v>
      </c>
      <c r="H1023" s="74">
        <f>'прил 5'!H849</f>
        <v>3870820</v>
      </c>
      <c r="I1023" s="74">
        <f>'прил 5'!I849</f>
        <v>4023332</v>
      </c>
      <c r="J1023" s="152"/>
    </row>
    <row r="1024" spans="1:10" s="3" customFormat="1">
      <c r="A1024" s="16" t="s">
        <v>334</v>
      </c>
      <c r="B1024" s="14">
        <v>793</v>
      </c>
      <c r="C1024" s="15" t="s">
        <v>19</v>
      </c>
      <c r="D1024" s="15" t="s">
        <v>55</v>
      </c>
      <c r="E1024" s="15" t="s">
        <v>706</v>
      </c>
      <c r="F1024" s="15" t="s">
        <v>37</v>
      </c>
      <c r="G1024" s="74">
        <f>G1025</f>
        <v>933413.41</v>
      </c>
      <c r="H1024" s="74">
        <f>H1025</f>
        <v>930749.55</v>
      </c>
      <c r="I1024" s="74">
        <f>I1025</f>
        <v>946900.33</v>
      </c>
      <c r="J1024" s="152"/>
    </row>
    <row r="1025" spans="1:10" s="3" customFormat="1" ht="25.5">
      <c r="A1025" s="16" t="s">
        <v>38</v>
      </c>
      <c r="B1025" s="14">
        <v>793</v>
      </c>
      <c r="C1025" s="15" t="s">
        <v>19</v>
      </c>
      <c r="D1025" s="15" t="s">
        <v>55</v>
      </c>
      <c r="E1025" s="15" t="s">
        <v>706</v>
      </c>
      <c r="F1025" s="15" t="s">
        <v>39</v>
      </c>
      <c r="G1025" s="74">
        <f>'прил 5'!G851</f>
        <v>933413.41</v>
      </c>
      <c r="H1025" s="74">
        <f>'прил 5'!H851</f>
        <v>930749.55</v>
      </c>
      <c r="I1025" s="74">
        <f>'прил 5'!I851</f>
        <v>946900.33</v>
      </c>
      <c r="J1025" s="152"/>
    </row>
    <row r="1026" spans="1:10" s="3" customFormat="1" ht="76.5">
      <c r="A1026" s="16" t="s">
        <v>709</v>
      </c>
      <c r="B1026" s="14">
        <v>793</v>
      </c>
      <c r="C1026" s="15" t="s">
        <v>19</v>
      </c>
      <c r="D1026" s="15" t="s">
        <v>55</v>
      </c>
      <c r="E1026" s="15" t="s">
        <v>710</v>
      </c>
      <c r="F1026" s="15"/>
      <c r="G1026" s="74">
        <f>G1027+G1029</f>
        <v>1662560.4100000001</v>
      </c>
      <c r="H1026" s="74">
        <f>H1027+H1029</f>
        <v>1477406.01</v>
      </c>
      <c r="I1026" s="74">
        <f>I1027+I1029</f>
        <v>1529302.25</v>
      </c>
      <c r="J1026" s="152"/>
    </row>
    <row r="1027" spans="1:10" s="3" customFormat="1" ht="51">
      <c r="A1027" s="16" t="s">
        <v>330</v>
      </c>
      <c r="B1027" s="14">
        <v>793</v>
      </c>
      <c r="C1027" s="15" t="s">
        <v>19</v>
      </c>
      <c r="D1027" s="15" t="s">
        <v>55</v>
      </c>
      <c r="E1027" s="15" t="s">
        <v>754</v>
      </c>
      <c r="F1027" s="15" t="s">
        <v>59</v>
      </c>
      <c r="G1027" s="74">
        <f>G1028</f>
        <v>1554505.61</v>
      </c>
      <c r="H1027" s="74">
        <f>H1028</f>
        <v>1437851</v>
      </c>
      <c r="I1027" s="74">
        <f>I1028</f>
        <v>1494966</v>
      </c>
      <c r="J1027" s="152"/>
    </row>
    <row r="1028" spans="1:10" s="3" customFormat="1" ht="25.5">
      <c r="A1028" s="16" t="s">
        <v>57</v>
      </c>
      <c r="B1028" s="14">
        <v>793</v>
      </c>
      <c r="C1028" s="15" t="s">
        <v>19</v>
      </c>
      <c r="D1028" s="15" t="s">
        <v>55</v>
      </c>
      <c r="E1028" s="15" t="s">
        <v>754</v>
      </c>
      <c r="F1028" s="15" t="s">
        <v>60</v>
      </c>
      <c r="G1028" s="74">
        <f>'прил 5'!G854</f>
        <v>1554505.61</v>
      </c>
      <c r="H1028" s="74">
        <f>'прил 5'!H854</f>
        <v>1437851</v>
      </c>
      <c r="I1028" s="74">
        <f>'прил 5'!I854</f>
        <v>1494966</v>
      </c>
      <c r="J1028" s="152"/>
    </row>
    <row r="1029" spans="1:10" s="3" customFormat="1">
      <c r="A1029" s="16" t="s">
        <v>334</v>
      </c>
      <c r="B1029" s="14">
        <v>793</v>
      </c>
      <c r="C1029" s="15" t="s">
        <v>19</v>
      </c>
      <c r="D1029" s="15" t="s">
        <v>55</v>
      </c>
      <c r="E1029" s="15" t="s">
        <v>754</v>
      </c>
      <c r="F1029" s="15" t="s">
        <v>37</v>
      </c>
      <c r="G1029" s="74">
        <f>G1030</f>
        <v>108054.8</v>
      </c>
      <c r="H1029" s="74">
        <f>H1030</f>
        <v>39555.01</v>
      </c>
      <c r="I1029" s="74">
        <f>I1030</f>
        <v>34336.25</v>
      </c>
      <c r="J1029" s="152"/>
    </row>
    <row r="1030" spans="1:10" s="3" customFormat="1" ht="25.5">
      <c r="A1030" s="16" t="s">
        <v>38</v>
      </c>
      <c r="B1030" s="14">
        <v>793</v>
      </c>
      <c r="C1030" s="15" t="s">
        <v>19</v>
      </c>
      <c r="D1030" s="15" t="s">
        <v>55</v>
      </c>
      <c r="E1030" s="15" t="s">
        <v>754</v>
      </c>
      <c r="F1030" s="15" t="s">
        <v>39</v>
      </c>
      <c r="G1030" s="74">
        <f>'прил 5'!G858</f>
        <v>108054.8</v>
      </c>
      <c r="H1030" s="74">
        <f>'прил 5'!H858</f>
        <v>39555.01</v>
      </c>
      <c r="I1030" s="74">
        <f>'прил 5'!I858</f>
        <v>34336.25</v>
      </c>
      <c r="J1030" s="152"/>
    </row>
    <row r="1031" spans="1:10" ht="25.5" customHeight="1">
      <c r="A1031" s="85" t="s">
        <v>340</v>
      </c>
      <c r="B1031" s="14">
        <v>793</v>
      </c>
      <c r="C1031" s="15" t="s">
        <v>19</v>
      </c>
      <c r="D1031" s="15" t="s">
        <v>55</v>
      </c>
      <c r="E1031" s="15" t="s">
        <v>254</v>
      </c>
      <c r="F1031" s="15"/>
      <c r="G1031" s="74">
        <f>G1032+G1034</f>
        <v>366140.1</v>
      </c>
      <c r="H1031" s="74">
        <f>H1032+H1034</f>
        <v>369351.5</v>
      </c>
      <c r="I1031" s="74">
        <f>I1032+I1034</f>
        <v>382325.56</v>
      </c>
    </row>
    <row r="1032" spans="1:10" s="3" customFormat="1" ht="51">
      <c r="A1032" s="16" t="s">
        <v>330</v>
      </c>
      <c r="B1032" s="14">
        <v>793</v>
      </c>
      <c r="C1032" s="15" t="s">
        <v>19</v>
      </c>
      <c r="D1032" s="15" t="s">
        <v>55</v>
      </c>
      <c r="E1032" s="15" t="s">
        <v>254</v>
      </c>
      <c r="F1032" s="15" t="s">
        <v>59</v>
      </c>
      <c r="G1032" s="74">
        <f>G1033</f>
        <v>341893.67</v>
      </c>
      <c r="H1032" s="74">
        <f>H1033</f>
        <v>360351.5</v>
      </c>
      <c r="I1032" s="74">
        <f>I1033</f>
        <v>373325.56</v>
      </c>
      <c r="J1032" s="152"/>
    </row>
    <row r="1033" spans="1:10" s="3" customFormat="1" ht="25.5">
      <c r="A1033" s="16" t="s">
        <v>57</v>
      </c>
      <c r="B1033" s="14">
        <v>793</v>
      </c>
      <c r="C1033" s="15" t="s">
        <v>19</v>
      </c>
      <c r="D1033" s="15" t="s">
        <v>55</v>
      </c>
      <c r="E1033" s="15" t="s">
        <v>254</v>
      </c>
      <c r="F1033" s="15" t="s">
        <v>60</v>
      </c>
      <c r="G1033" s="74">
        <f>'прил 5'!G861</f>
        <v>341893.67</v>
      </c>
      <c r="H1033" s="74">
        <f>'прил 5'!H861</f>
        <v>360351.5</v>
      </c>
      <c r="I1033" s="74">
        <f>'прил 5'!I861</f>
        <v>373325.56</v>
      </c>
      <c r="J1033" s="152"/>
    </row>
    <row r="1034" spans="1:10" ht="25.5" customHeight="1">
      <c r="A1034" s="16" t="s">
        <v>334</v>
      </c>
      <c r="B1034" s="14">
        <v>793</v>
      </c>
      <c r="C1034" s="15" t="s">
        <v>19</v>
      </c>
      <c r="D1034" s="15" t="s">
        <v>55</v>
      </c>
      <c r="E1034" s="15" t="s">
        <v>254</v>
      </c>
      <c r="F1034" s="15" t="s">
        <v>37</v>
      </c>
      <c r="G1034" s="74">
        <f>G1035</f>
        <v>24246.43</v>
      </c>
      <c r="H1034" s="74">
        <f>H1035</f>
        <v>9000</v>
      </c>
      <c r="I1034" s="74">
        <f>I1035</f>
        <v>9000</v>
      </c>
    </row>
    <row r="1035" spans="1:10" ht="25.5" customHeight="1">
      <c r="A1035" s="16" t="s">
        <v>38</v>
      </c>
      <c r="B1035" s="14">
        <v>793</v>
      </c>
      <c r="C1035" s="15" t="s">
        <v>19</v>
      </c>
      <c r="D1035" s="15" t="s">
        <v>55</v>
      </c>
      <c r="E1035" s="15" t="s">
        <v>254</v>
      </c>
      <c r="F1035" s="15" t="s">
        <v>39</v>
      </c>
      <c r="G1035" s="74">
        <f>'прил 5'!G863</f>
        <v>24246.43</v>
      </c>
      <c r="H1035" s="74">
        <f>'прил 5'!H863</f>
        <v>9000</v>
      </c>
      <c r="I1035" s="74">
        <f>'прил 5'!I863</f>
        <v>9000</v>
      </c>
    </row>
    <row r="1036" spans="1:10" s="46" customFormat="1" ht="63.75">
      <c r="A1036" s="16" t="s">
        <v>341</v>
      </c>
      <c r="B1036" s="14">
        <v>793</v>
      </c>
      <c r="C1036" s="15" t="s">
        <v>19</v>
      </c>
      <c r="D1036" s="15" t="s">
        <v>55</v>
      </c>
      <c r="E1036" s="15" t="s">
        <v>397</v>
      </c>
      <c r="F1036" s="15"/>
      <c r="G1036" s="74">
        <f t="shared" ref="G1036:I1037" si="268">G1037</f>
        <v>14000</v>
      </c>
      <c r="H1036" s="74">
        <f t="shared" si="268"/>
        <v>14000</v>
      </c>
      <c r="I1036" s="74">
        <f t="shared" si="268"/>
        <v>14000</v>
      </c>
      <c r="J1036" s="151"/>
    </row>
    <row r="1037" spans="1:10" s="46" customFormat="1">
      <c r="A1037" s="16" t="s">
        <v>334</v>
      </c>
      <c r="B1037" s="14">
        <v>793</v>
      </c>
      <c r="C1037" s="15" t="s">
        <v>19</v>
      </c>
      <c r="D1037" s="15" t="s">
        <v>55</v>
      </c>
      <c r="E1037" s="15" t="s">
        <v>397</v>
      </c>
      <c r="F1037" s="15" t="s">
        <v>37</v>
      </c>
      <c r="G1037" s="102">
        <f t="shared" si="268"/>
        <v>14000</v>
      </c>
      <c r="H1037" s="102">
        <f t="shared" si="268"/>
        <v>14000</v>
      </c>
      <c r="I1037" s="102">
        <f t="shared" si="268"/>
        <v>14000</v>
      </c>
      <c r="J1037" s="151"/>
    </row>
    <row r="1038" spans="1:10" s="46" customFormat="1" ht="25.5">
      <c r="A1038" s="16" t="s">
        <v>38</v>
      </c>
      <c r="B1038" s="14">
        <v>793</v>
      </c>
      <c r="C1038" s="15" t="s">
        <v>19</v>
      </c>
      <c r="D1038" s="15" t="s">
        <v>55</v>
      </c>
      <c r="E1038" s="15" t="s">
        <v>397</v>
      </c>
      <c r="F1038" s="15" t="s">
        <v>39</v>
      </c>
      <c r="G1038" s="102">
        <f>'прил 5'!G866</f>
        <v>14000</v>
      </c>
      <c r="H1038" s="102">
        <f>'прил 5'!H866</f>
        <v>14000</v>
      </c>
      <c r="I1038" s="102">
        <f>'прил 5'!I866</f>
        <v>14000</v>
      </c>
      <c r="J1038" s="151"/>
    </row>
    <row r="1039" spans="1:10" s="184" customFormat="1" ht="25.5">
      <c r="A1039" s="121" t="s">
        <v>373</v>
      </c>
      <c r="B1039" s="122">
        <v>794</v>
      </c>
      <c r="C1039" s="123" t="s">
        <v>19</v>
      </c>
      <c r="D1039" s="123" t="s">
        <v>71</v>
      </c>
      <c r="E1039" s="123" t="s">
        <v>271</v>
      </c>
      <c r="F1039" s="123"/>
      <c r="G1039" s="124">
        <f>G1040+G1044+G1048+G1054</f>
        <v>4685270.37</v>
      </c>
      <c r="H1039" s="124">
        <f>H1040+H1044+H1048+H1054</f>
        <v>3229735.95</v>
      </c>
      <c r="I1039" s="124">
        <f>I1040+I1044+I1048+I1054</f>
        <v>3249822.7984499997</v>
      </c>
      <c r="J1039" s="183">
        <v>1141737</v>
      </c>
    </row>
    <row r="1040" spans="1:10" s="33" customFormat="1" ht="25.5">
      <c r="A1040" s="16" t="s">
        <v>374</v>
      </c>
      <c r="B1040" s="14">
        <v>794</v>
      </c>
      <c r="C1040" s="15" t="s">
        <v>19</v>
      </c>
      <c r="D1040" s="15" t="s">
        <v>71</v>
      </c>
      <c r="E1040" s="15" t="s">
        <v>272</v>
      </c>
      <c r="F1040" s="39"/>
      <c r="G1040" s="102">
        <f>G1041</f>
        <v>1164450</v>
      </c>
      <c r="H1040" s="102">
        <f t="shared" ref="H1040:I1042" si="269">H1041</f>
        <v>1177258.95</v>
      </c>
      <c r="I1040" s="102">
        <f t="shared" si="269"/>
        <v>1190208.7984499999</v>
      </c>
      <c r="J1040" s="156">
        <v>541620</v>
      </c>
    </row>
    <row r="1041" spans="1:10" s="33" customFormat="1" ht="25.5">
      <c r="A1041" s="16" t="s">
        <v>78</v>
      </c>
      <c r="B1041" s="14">
        <v>794</v>
      </c>
      <c r="C1041" s="15" t="s">
        <v>19</v>
      </c>
      <c r="D1041" s="15" t="s">
        <v>71</v>
      </c>
      <c r="E1041" s="15" t="s">
        <v>273</v>
      </c>
      <c r="F1041" s="15"/>
      <c r="G1041" s="102">
        <f>G1042</f>
        <v>1164450</v>
      </c>
      <c r="H1041" s="102">
        <f t="shared" si="269"/>
        <v>1177258.95</v>
      </c>
      <c r="I1041" s="102">
        <f t="shared" si="269"/>
        <v>1190208.7984499999</v>
      </c>
      <c r="J1041" s="156">
        <v>797785</v>
      </c>
    </row>
    <row r="1042" spans="1:10" s="33" customFormat="1" ht="51">
      <c r="A1042" s="56" t="s">
        <v>56</v>
      </c>
      <c r="B1042" s="14">
        <v>794</v>
      </c>
      <c r="C1042" s="15" t="s">
        <v>19</v>
      </c>
      <c r="D1042" s="15" t="s">
        <v>71</v>
      </c>
      <c r="E1042" s="15" t="s">
        <v>273</v>
      </c>
      <c r="F1042" s="15" t="s">
        <v>59</v>
      </c>
      <c r="G1042" s="102">
        <f>G1043</f>
        <v>1164450</v>
      </c>
      <c r="H1042" s="102">
        <f t="shared" si="269"/>
        <v>1177258.95</v>
      </c>
      <c r="I1042" s="102">
        <f t="shared" si="269"/>
        <v>1190208.7984499999</v>
      </c>
      <c r="J1042" s="156">
        <v>630505</v>
      </c>
    </row>
    <row r="1043" spans="1:10" ht="25.5">
      <c r="A1043" s="56" t="s">
        <v>57</v>
      </c>
      <c r="B1043" s="14">
        <v>794</v>
      </c>
      <c r="C1043" s="15" t="s">
        <v>19</v>
      </c>
      <c r="D1043" s="15" t="s">
        <v>71</v>
      </c>
      <c r="E1043" s="15" t="s">
        <v>273</v>
      </c>
      <c r="F1043" s="15" t="s">
        <v>60</v>
      </c>
      <c r="G1043" s="102">
        <f>'прил 5'!G1196</f>
        <v>1164450</v>
      </c>
      <c r="H1043" s="102">
        <f>'прил 5'!H1196</f>
        <v>1177258.95</v>
      </c>
      <c r="I1043" s="102">
        <f>'прил 5'!I1196</f>
        <v>1190208.7984499999</v>
      </c>
      <c r="J1043" s="156">
        <v>1885891</v>
      </c>
    </row>
    <row r="1044" spans="1:10" s="33" customFormat="1" ht="25.5">
      <c r="A1044" s="16" t="s">
        <v>375</v>
      </c>
      <c r="B1044" s="14">
        <v>794</v>
      </c>
      <c r="C1044" s="15" t="s">
        <v>19</v>
      </c>
      <c r="D1044" s="15" t="s">
        <v>71</v>
      </c>
      <c r="E1044" s="15" t="s">
        <v>274</v>
      </c>
      <c r="F1044" s="39"/>
      <c r="G1044" s="102">
        <f>G1045</f>
        <v>541620</v>
      </c>
      <c r="H1044" s="102">
        <f t="shared" ref="H1044:I1046" si="270">H1045</f>
        <v>541620</v>
      </c>
      <c r="I1044" s="102">
        <f t="shared" si="270"/>
        <v>541620</v>
      </c>
      <c r="J1044" s="156">
        <v>61300</v>
      </c>
    </row>
    <row r="1045" spans="1:10" s="33" customFormat="1" ht="25.5">
      <c r="A1045" s="16" t="s">
        <v>78</v>
      </c>
      <c r="B1045" s="14">
        <v>794</v>
      </c>
      <c r="C1045" s="15" t="s">
        <v>19</v>
      </c>
      <c r="D1045" s="15" t="s">
        <v>71</v>
      </c>
      <c r="E1045" s="15" t="s">
        <v>275</v>
      </c>
      <c r="F1045" s="15"/>
      <c r="G1045" s="102">
        <f>G1046</f>
        <v>541620</v>
      </c>
      <c r="H1045" s="102">
        <f t="shared" si="270"/>
        <v>541620</v>
      </c>
      <c r="I1045" s="102">
        <f t="shared" si="270"/>
        <v>541620</v>
      </c>
      <c r="J1045" s="156">
        <f>SUM(J1039:J1044)</f>
        <v>5058838</v>
      </c>
    </row>
    <row r="1046" spans="1:10" s="33" customFormat="1" ht="51">
      <c r="A1046" s="56" t="s">
        <v>56</v>
      </c>
      <c r="B1046" s="14">
        <v>794</v>
      </c>
      <c r="C1046" s="15" t="s">
        <v>19</v>
      </c>
      <c r="D1046" s="15" t="s">
        <v>71</v>
      </c>
      <c r="E1046" s="15" t="s">
        <v>275</v>
      </c>
      <c r="F1046" s="15" t="s">
        <v>59</v>
      </c>
      <c r="G1046" s="102">
        <f>G1047</f>
        <v>541620</v>
      </c>
      <c r="H1046" s="102">
        <f t="shared" si="270"/>
        <v>541620</v>
      </c>
      <c r="I1046" s="102">
        <f t="shared" si="270"/>
        <v>541620</v>
      </c>
      <c r="J1046" s="156"/>
    </row>
    <row r="1047" spans="1:10" s="33" customFormat="1" ht="25.5">
      <c r="A1047" s="56" t="s">
        <v>57</v>
      </c>
      <c r="B1047" s="14">
        <v>794</v>
      </c>
      <c r="C1047" s="15" t="s">
        <v>19</v>
      </c>
      <c r="D1047" s="15" t="s">
        <v>71</v>
      </c>
      <c r="E1047" s="15" t="s">
        <v>275</v>
      </c>
      <c r="F1047" s="15" t="s">
        <v>60</v>
      </c>
      <c r="G1047" s="102">
        <f>'прил 5'!G1200</f>
        <v>541620</v>
      </c>
      <c r="H1047" s="102">
        <f>'прил 5'!H1198</f>
        <v>541620</v>
      </c>
      <c r="I1047" s="102">
        <f>'прил 5'!I1198</f>
        <v>541620</v>
      </c>
      <c r="J1047" s="156"/>
    </row>
    <row r="1048" spans="1:10">
      <c r="A1048" s="56" t="s">
        <v>376</v>
      </c>
      <c r="B1048" s="14">
        <v>794</v>
      </c>
      <c r="C1048" s="15" t="s">
        <v>19</v>
      </c>
      <c r="D1048" s="15" t="s">
        <v>71</v>
      </c>
      <c r="E1048" s="15" t="s">
        <v>276</v>
      </c>
      <c r="F1048" s="15"/>
      <c r="G1048" s="102">
        <f>G1049</f>
        <v>1480698</v>
      </c>
      <c r="H1048" s="102">
        <f>H1049</f>
        <v>1510857</v>
      </c>
      <c r="I1048" s="102">
        <f>I1049</f>
        <v>1517994</v>
      </c>
    </row>
    <row r="1049" spans="1:10" s="33" customFormat="1" ht="25.5">
      <c r="A1049" s="16" t="s">
        <v>78</v>
      </c>
      <c r="B1049" s="14">
        <v>794</v>
      </c>
      <c r="C1049" s="15" t="s">
        <v>19</v>
      </c>
      <c r="D1049" s="15" t="s">
        <v>71</v>
      </c>
      <c r="E1049" s="15" t="s">
        <v>277</v>
      </c>
      <c r="F1049" s="39"/>
      <c r="G1049" s="102">
        <f>G1050+G1052</f>
        <v>1480698</v>
      </c>
      <c r="H1049" s="102">
        <f>H1050+H1052</f>
        <v>1510857</v>
      </c>
      <c r="I1049" s="102">
        <f>I1050+I1052</f>
        <v>1517994</v>
      </c>
      <c r="J1049" s="156"/>
    </row>
    <row r="1050" spans="1:10" ht="51">
      <c r="A1050" s="56" t="s">
        <v>56</v>
      </c>
      <c r="B1050" s="14">
        <v>794</v>
      </c>
      <c r="C1050" s="15" t="s">
        <v>19</v>
      </c>
      <c r="D1050" s="15" t="s">
        <v>71</v>
      </c>
      <c r="E1050" s="15" t="s">
        <v>277</v>
      </c>
      <c r="F1050" s="15" t="s">
        <v>59</v>
      </c>
      <c r="G1050" s="102">
        <f>G1051</f>
        <v>788635</v>
      </c>
      <c r="H1050" s="102">
        <f>H1051</f>
        <v>818794</v>
      </c>
      <c r="I1050" s="102">
        <f>I1051</f>
        <v>825931</v>
      </c>
    </row>
    <row r="1051" spans="1:10" ht="25.5">
      <c r="A1051" s="56" t="s">
        <v>57</v>
      </c>
      <c r="B1051" s="14">
        <v>794</v>
      </c>
      <c r="C1051" s="15" t="s">
        <v>19</v>
      </c>
      <c r="D1051" s="15" t="s">
        <v>71</v>
      </c>
      <c r="E1051" s="15" t="s">
        <v>277</v>
      </c>
      <c r="F1051" s="15" t="s">
        <v>60</v>
      </c>
      <c r="G1051" s="102">
        <f>'прил 5'!G1204</f>
        <v>788635</v>
      </c>
      <c r="H1051" s="102">
        <f>'прил 5'!H1204</f>
        <v>818794</v>
      </c>
      <c r="I1051" s="102">
        <f>'прил 5'!I1204</f>
        <v>825931</v>
      </c>
    </row>
    <row r="1052" spans="1:10" ht="25.5">
      <c r="A1052" s="16" t="s">
        <v>36</v>
      </c>
      <c r="B1052" s="14">
        <v>794</v>
      </c>
      <c r="C1052" s="15" t="s">
        <v>19</v>
      </c>
      <c r="D1052" s="15" t="s">
        <v>71</v>
      </c>
      <c r="E1052" s="15" t="s">
        <v>277</v>
      </c>
      <c r="F1052" s="15" t="s">
        <v>37</v>
      </c>
      <c r="G1052" s="102">
        <f>G1053</f>
        <v>692063</v>
      </c>
      <c r="H1052" s="102">
        <f>H1053</f>
        <v>692063</v>
      </c>
      <c r="I1052" s="102">
        <f>I1053</f>
        <v>692063</v>
      </c>
    </row>
    <row r="1053" spans="1:10" ht="25.5">
      <c r="A1053" s="16" t="s">
        <v>38</v>
      </c>
      <c r="B1053" s="14">
        <v>794</v>
      </c>
      <c r="C1053" s="15" t="s">
        <v>19</v>
      </c>
      <c r="D1053" s="15" t="s">
        <v>71</v>
      </c>
      <c r="E1053" s="15" t="s">
        <v>277</v>
      </c>
      <c r="F1053" s="15" t="s">
        <v>39</v>
      </c>
      <c r="G1053" s="102">
        <f>'прил 5'!G1206</f>
        <v>692063</v>
      </c>
      <c r="H1053" s="102">
        <f>'прил 5'!H1206</f>
        <v>692063</v>
      </c>
      <c r="I1053" s="102">
        <f>'прил 5'!I1206</f>
        <v>692063</v>
      </c>
    </row>
    <row r="1054" spans="1:10" s="46" customFormat="1" ht="25.5">
      <c r="A1054" s="56" t="s">
        <v>378</v>
      </c>
      <c r="B1054" s="14">
        <v>794</v>
      </c>
      <c r="C1054" s="15" t="s">
        <v>19</v>
      </c>
      <c r="D1054" s="15" t="s">
        <v>168</v>
      </c>
      <c r="E1054" s="15" t="s">
        <v>278</v>
      </c>
      <c r="F1054" s="15"/>
      <c r="G1054" s="102">
        <f>G1055+G1060</f>
        <v>1498502.37</v>
      </c>
      <c r="H1054" s="102">
        <f>H1055+H1060</f>
        <v>0</v>
      </c>
      <c r="I1054" s="102">
        <f>I1055+I1060</f>
        <v>0</v>
      </c>
      <c r="J1054" s="151"/>
    </row>
    <row r="1055" spans="1:10" s="46" customFormat="1" ht="25.5">
      <c r="A1055" s="16" t="s">
        <v>78</v>
      </c>
      <c r="B1055" s="14">
        <v>794</v>
      </c>
      <c r="C1055" s="15" t="s">
        <v>19</v>
      </c>
      <c r="D1055" s="15" t="s">
        <v>168</v>
      </c>
      <c r="E1055" s="15" t="s">
        <v>283</v>
      </c>
      <c r="F1055" s="15"/>
      <c r="G1055" s="102">
        <f>G1056+G1058</f>
        <v>1497002.37</v>
      </c>
      <c r="H1055" s="102">
        <f t="shared" ref="H1055:I1055" si="271">H1056+H1058</f>
        <v>0</v>
      </c>
      <c r="I1055" s="102">
        <f t="shared" si="271"/>
        <v>0</v>
      </c>
      <c r="J1055" s="151"/>
    </row>
    <row r="1056" spans="1:10" s="3" customFormat="1" ht="51">
      <c r="A1056" s="56" t="s">
        <v>56</v>
      </c>
      <c r="B1056" s="14">
        <v>794</v>
      </c>
      <c r="C1056" s="15" t="s">
        <v>19</v>
      </c>
      <c r="D1056" s="15" t="s">
        <v>168</v>
      </c>
      <c r="E1056" s="15" t="s">
        <v>283</v>
      </c>
      <c r="F1056" s="15" t="s">
        <v>59</v>
      </c>
      <c r="G1056" s="102">
        <f>G1057</f>
        <v>1481237.37</v>
      </c>
      <c r="H1056" s="102">
        <f>H1057</f>
        <v>0</v>
      </c>
      <c r="I1056" s="102">
        <f>I1057</f>
        <v>0</v>
      </c>
      <c r="J1056" s="152"/>
    </row>
    <row r="1057" spans="1:16" s="3" customFormat="1" ht="25.5">
      <c r="A1057" s="56" t="s">
        <v>57</v>
      </c>
      <c r="B1057" s="14">
        <v>794</v>
      </c>
      <c r="C1057" s="15" t="s">
        <v>19</v>
      </c>
      <c r="D1057" s="15" t="s">
        <v>168</v>
      </c>
      <c r="E1057" s="15" t="s">
        <v>283</v>
      </c>
      <c r="F1057" s="15" t="s">
        <v>60</v>
      </c>
      <c r="G1057" s="102">
        <f>'прил 5'!G1213</f>
        <v>1481237.37</v>
      </c>
      <c r="H1057" s="102">
        <f>'прил 5'!H1213</f>
        <v>0</v>
      </c>
      <c r="I1057" s="102">
        <f>'прил 5'!I1213</f>
        <v>0</v>
      </c>
      <c r="J1057" s="152"/>
    </row>
    <row r="1058" spans="1:16" s="3" customFormat="1" ht="25.5">
      <c r="A1058" s="16" t="s">
        <v>36</v>
      </c>
      <c r="B1058" s="14">
        <v>794</v>
      </c>
      <c r="C1058" s="15" t="s">
        <v>19</v>
      </c>
      <c r="D1058" s="15" t="s">
        <v>168</v>
      </c>
      <c r="E1058" s="15" t="s">
        <v>283</v>
      </c>
      <c r="F1058" s="15" t="s">
        <v>37</v>
      </c>
      <c r="G1058" s="102">
        <f>G1059</f>
        <v>15765</v>
      </c>
      <c r="H1058" s="102">
        <f>H1059</f>
        <v>0</v>
      </c>
      <c r="I1058" s="102">
        <f>I1059</f>
        <v>0</v>
      </c>
      <c r="J1058" s="152"/>
    </row>
    <row r="1059" spans="1:16" s="3" customFormat="1" ht="25.5">
      <c r="A1059" s="16" t="s">
        <v>38</v>
      </c>
      <c r="B1059" s="14">
        <v>794</v>
      </c>
      <c r="C1059" s="15" t="s">
        <v>19</v>
      </c>
      <c r="D1059" s="15" t="s">
        <v>168</v>
      </c>
      <c r="E1059" s="15" t="s">
        <v>283</v>
      </c>
      <c r="F1059" s="15" t="s">
        <v>39</v>
      </c>
      <c r="G1059" s="102">
        <f>'прил 5'!G1215</f>
        <v>15765</v>
      </c>
      <c r="H1059" s="102">
        <f>'прил 5'!H1215</f>
        <v>0</v>
      </c>
      <c r="I1059" s="102">
        <f>'прил 5'!I1215</f>
        <v>0</v>
      </c>
      <c r="J1059" s="152"/>
    </row>
    <row r="1060" spans="1:16" s="3" customFormat="1" ht="74.25" customHeight="1">
      <c r="A1060" s="30" t="s">
        <v>146</v>
      </c>
      <c r="B1060" s="14">
        <v>794</v>
      </c>
      <c r="C1060" s="15" t="s">
        <v>19</v>
      </c>
      <c r="D1060" s="15" t="s">
        <v>168</v>
      </c>
      <c r="E1060" s="15" t="s">
        <v>284</v>
      </c>
      <c r="F1060" s="15"/>
      <c r="G1060" s="102">
        <f t="shared" ref="G1060:I1061" si="272">G1061</f>
        <v>1500</v>
      </c>
      <c r="H1060" s="102">
        <f t="shared" si="272"/>
        <v>0</v>
      </c>
      <c r="I1060" s="102">
        <f t="shared" si="272"/>
        <v>0</v>
      </c>
      <c r="J1060" s="152"/>
    </row>
    <row r="1061" spans="1:16" s="3" customFormat="1" ht="37.5" customHeight="1">
      <c r="A1061" s="16" t="s">
        <v>36</v>
      </c>
      <c r="B1061" s="14">
        <v>794</v>
      </c>
      <c r="C1061" s="15" t="s">
        <v>19</v>
      </c>
      <c r="D1061" s="15" t="s">
        <v>168</v>
      </c>
      <c r="E1061" s="15" t="s">
        <v>284</v>
      </c>
      <c r="F1061" s="15" t="s">
        <v>37</v>
      </c>
      <c r="G1061" s="102">
        <f t="shared" si="272"/>
        <v>1500</v>
      </c>
      <c r="H1061" s="102">
        <f t="shared" si="272"/>
        <v>0</v>
      </c>
      <c r="I1061" s="102">
        <f t="shared" si="272"/>
        <v>0</v>
      </c>
      <c r="J1061" s="152"/>
    </row>
    <row r="1062" spans="1:16" s="3" customFormat="1" ht="38.25" customHeight="1">
      <c r="A1062" s="16" t="s">
        <v>38</v>
      </c>
      <c r="B1062" s="14">
        <v>794</v>
      </c>
      <c r="C1062" s="15" t="s">
        <v>19</v>
      </c>
      <c r="D1062" s="15" t="s">
        <v>168</v>
      </c>
      <c r="E1062" s="15" t="s">
        <v>284</v>
      </c>
      <c r="F1062" s="15" t="s">
        <v>39</v>
      </c>
      <c r="G1062" s="102">
        <f>'прил 5'!G1218</f>
        <v>1500</v>
      </c>
      <c r="H1062" s="102">
        <f>'прил 5'!H1218</f>
        <v>0</v>
      </c>
      <c r="I1062" s="102">
        <f>'прил 5'!I1218</f>
        <v>0</v>
      </c>
      <c r="J1062" s="152"/>
    </row>
    <row r="1063" spans="1:16" s="22" customFormat="1" ht="25.5">
      <c r="A1063" s="34" t="s">
        <v>892</v>
      </c>
      <c r="B1063" s="35">
        <v>799</v>
      </c>
      <c r="C1063" s="36" t="s">
        <v>19</v>
      </c>
      <c r="D1063" s="36" t="s">
        <v>168</v>
      </c>
      <c r="E1063" s="36" t="s">
        <v>893</v>
      </c>
      <c r="F1063" s="36"/>
      <c r="G1063" s="75">
        <f>G1065+G1073</f>
        <v>544505.63</v>
      </c>
      <c r="H1063" s="75">
        <f t="shared" ref="H1063:I1063" si="273">H1065</f>
        <v>2005321</v>
      </c>
      <c r="I1063" s="75">
        <f t="shared" si="273"/>
        <v>2025988</v>
      </c>
      <c r="P1063" s="22">
        <v>105000</v>
      </c>
    </row>
    <row r="1064" spans="1:16" s="46" customFormat="1" hidden="1">
      <c r="A1064" s="56"/>
      <c r="B1064" s="14"/>
      <c r="C1064" s="15"/>
      <c r="D1064" s="15"/>
      <c r="E1064" s="15"/>
      <c r="F1064" s="15"/>
      <c r="G1064" s="74"/>
      <c r="H1064" s="74"/>
      <c r="I1064" s="74"/>
      <c r="O1064" s="1"/>
    </row>
    <row r="1065" spans="1:16" s="46" customFormat="1" ht="25.5">
      <c r="A1065" s="16" t="s">
        <v>78</v>
      </c>
      <c r="B1065" s="14">
        <v>799</v>
      </c>
      <c r="C1065" s="15" t="s">
        <v>19</v>
      </c>
      <c r="D1065" s="15" t="s">
        <v>168</v>
      </c>
      <c r="E1065" s="15" t="s">
        <v>894</v>
      </c>
      <c r="F1065" s="15"/>
      <c r="G1065" s="74">
        <f>G1066+G1068</f>
        <v>477876.63</v>
      </c>
      <c r="H1065" s="74">
        <f t="shared" ref="H1065:I1065" si="274">H1066+H1068</f>
        <v>2005321</v>
      </c>
      <c r="I1065" s="74">
        <f t="shared" si="274"/>
        <v>2025988</v>
      </c>
      <c r="P1065" s="46">
        <v>50000</v>
      </c>
    </row>
    <row r="1066" spans="1:16" s="3" customFormat="1" ht="51">
      <c r="A1066" s="56" t="s">
        <v>56</v>
      </c>
      <c r="B1066" s="14">
        <v>799</v>
      </c>
      <c r="C1066" s="15" t="s">
        <v>19</v>
      </c>
      <c r="D1066" s="15" t="s">
        <v>168</v>
      </c>
      <c r="E1066" s="15" t="s">
        <v>894</v>
      </c>
      <c r="F1066" s="15" t="s">
        <v>59</v>
      </c>
      <c r="G1066" s="74">
        <f>G1067</f>
        <v>405837.63</v>
      </c>
      <c r="H1066" s="74">
        <f>H1067</f>
        <v>1947821</v>
      </c>
      <c r="I1066" s="74">
        <f>I1067</f>
        <v>1968488</v>
      </c>
      <c r="P1066" s="46">
        <v>42300</v>
      </c>
    </row>
    <row r="1067" spans="1:16" s="3" customFormat="1" ht="25.5">
      <c r="A1067" s="56" t="s">
        <v>57</v>
      </c>
      <c r="B1067" s="14">
        <v>799</v>
      </c>
      <c r="C1067" s="15" t="s">
        <v>19</v>
      </c>
      <c r="D1067" s="15" t="s">
        <v>168</v>
      </c>
      <c r="E1067" s="15" t="s">
        <v>894</v>
      </c>
      <c r="F1067" s="15" t="s">
        <v>60</v>
      </c>
      <c r="G1067" s="74">
        <v>405837.63</v>
      </c>
      <c r="H1067" s="74">
        <f>'прил 5'!H1551</f>
        <v>1947821</v>
      </c>
      <c r="I1067" s="74">
        <f>'прил 5'!I1551</f>
        <v>1968488</v>
      </c>
      <c r="P1067" s="46">
        <v>2045000</v>
      </c>
    </row>
    <row r="1068" spans="1:16" s="3" customFormat="1" ht="25.5">
      <c r="A1068" s="16" t="s">
        <v>36</v>
      </c>
      <c r="B1068" s="14">
        <v>799</v>
      </c>
      <c r="C1068" s="15" t="s">
        <v>19</v>
      </c>
      <c r="D1068" s="15" t="s">
        <v>168</v>
      </c>
      <c r="E1068" s="15" t="s">
        <v>894</v>
      </c>
      <c r="F1068" s="15" t="s">
        <v>37</v>
      </c>
      <c r="G1068" s="74">
        <f>G1069</f>
        <v>72039</v>
      </c>
      <c r="H1068" s="74">
        <f>H1069</f>
        <v>57500</v>
      </c>
      <c r="I1068" s="74">
        <f>I1069</f>
        <v>57500</v>
      </c>
      <c r="P1068" s="46">
        <v>16112923</v>
      </c>
    </row>
    <row r="1069" spans="1:16" s="3" customFormat="1" ht="25.5">
      <c r="A1069" s="16" t="s">
        <v>38</v>
      </c>
      <c r="B1069" s="14">
        <v>799</v>
      </c>
      <c r="C1069" s="15" t="s">
        <v>19</v>
      </c>
      <c r="D1069" s="15" t="s">
        <v>168</v>
      </c>
      <c r="E1069" s="15" t="s">
        <v>894</v>
      </c>
      <c r="F1069" s="15" t="s">
        <v>39</v>
      </c>
      <c r="G1069" s="74">
        <v>72039</v>
      </c>
      <c r="H1069" s="74">
        <f>'прил 5'!H1553</f>
        <v>57500</v>
      </c>
      <c r="I1069" s="74">
        <f>'прил 5'!I1553</f>
        <v>57500</v>
      </c>
      <c r="P1069" s="46">
        <v>67500</v>
      </c>
    </row>
    <row r="1070" spans="1:16" s="3" customFormat="1" ht="66" hidden="1" customHeight="1">
      <c r="A1070" s="30" t="s">
        <v>146</v>
      </c>
      <c r="B1070" s="14">
        <v>794</v>
      </c>
      <c r="C1070" s="15" t="s">
        <v>19</v>
      </c>
      <c r="D1070" s="15" t="s">
        <v>168</v>
      </c>
      <c r="E1070" s="15" t="s">
        <v>284</v>
      </c>
      <c r="F1070" s="15"/>
      <c r="G1070" s="74">
        <f t="shared" ref="G1070:I1071" si="275">G1071</f>
        <v>0</v>
      </c>
      <c r="H1070" s="74">
        <f t="shared" si="275"/>
        <v>0</v>
      </c>
      <c r="I1070" s="74">
        <f t="shared" si="275"/>
        <v>0</v>
      </c>
    </row>
    <row r="1071" spans="1:16" s="3" customFormat="1" ht="25.5" hidden="1">
      <c r="A1071" s="16" t="s">
        <v>36</v>
      </c>
      <c r="B1071" s="14">
        <v>794</v>
      </c>
      <c r="C1071" s="15" t="s">
        <v>19</v>
      </c>
      <c r="D1071" s="15" t="s">
        <v>168</v>
      </c>
      <c r="E1071" s="15" t="s">
        <v>284</v>
      </c>
      <c r="F1071" s="15" t="s">
        <v>37</v>
      </c>
      <c r="G1071" s="74">
        <f t="shared" si="275"/>
        <v>0</v>
      </c>
      <c r="H1071" s="74">
        <f t="shared" si="275"/>
        <v>0</v>
      </c>
      <c r="I1071" s="74">
        <f t="shared" si="275"/>
        <v>0</v>
      </c>
    </row>
    <row r="1072" spans="1:16" s="3" customFormat="1" ht="25.5" hidden="1">
      <c r="A1072" s="16" t="s">
        <v>38</v>
      </c>
      <c r="B1072" s="14">
        <v>794</v>
      </c>
      <c r="C1072" s="15" t="s">
        <v>19</v>
      </c>
      <c r="D1072" s="15" t="s">
        <v>168</v>
      </c>
      <c r="E1072" s="15" t="s">
        <v>284</v>
      </c>
      <c r="F1072" s="15" t="s">
        <v>39</v>
      </c>
      <c r="G1072" s="74"/>
      <c r="H1072" s="74"/>
      <c r="I1072" s="74"/>
    </row>
    <row r="1073" spans="1:10" s="3" customFormat="1" ht="66" customHeight="1">
      <c r="A1073" s="30" t="s">
        <v>146</v>
      </c>
      <c r="B1073" s="14">
        <v>794</v>
      </c>
      <c r="C1073" s="15" t="s">
        <v>19</v>
      </c>
      <c r="D1073" s="15" t="s">
        <v>168</v>
      </c>
      <c r="E1073" s="15" t="s">
        <v>895</v>
      </c>
      <c r="F1073" s="15"/>
      <c r="G1073" s="74">
        <f t="shared" ref="G1073:I1074" si="276">G1074</f>
        <v>66629</v>
      </c>
      <c r="H1073" s="74">
        <f t="shared" si="276"/>
        <v>0</v>
      </c>
      <c r="I1073" s="74">
        <f t="shared" si="276"/>
        <v>0</v>
      </c>
    </row>
    <row r="1074" spans="1:10" s="3" customFormat="1" ht="25.5">
      <c r="A1074" s="16" t="s">
        <v>36</v>
      </c>
      <c r="B1074" s="14">
        <v>794</v>
      </c>
      <c r="C1074" s="15" t="s">
        <v>19</v>
      </c>
      <c r="D1074" s="15" t="s">
        <v>168</v>
      </c>
      <c r="E1074" s="15" t="s">
        <v>895</v>
      </c>
      <c r="F1074" s="15" t="s">
        <v>37</v>
      </c>
      <c r="G1074" s="74">
        <f t="shared" si="276"/>
        <v>66629</v>
      </c>
      <c r="H1074" s="74">
        <f t="shared" si="276"/>
        <v>0</v>
      </c>
      <c r="I1074" s="74">
        <f t="shared" si="276"/>
        <v>0</v>
      </c>
    </row>
    <row r="1075" spans="1:10" s="3" customFormat="1" ht="25.5">
      <c r="A1075" s="16" t="s">
        <v>38</v>
      </c>
      <c r="B1075" s="14">
        <v>794</v>
      </c>
      <c r="C1075" s="15" t="s">
        <v>19</v>
      </c>
      <c r="D1075" s="15" t="s">
        <v>168</v>
      </c>
      <c r="E1075" s="15" t="s">
        <v>895</v>
      </c>
      <c r="F1075" s="15" t="s">
        <v>39</v>
      </c>
      <c r="G1075" s="74">
        <v>66629</v>
      </c>
      <c r="H1075" s="74">
        <v>0</v>
      </c>
      <c r="I1075" s="74">
        <v>0</v>
      </c>
    </row>
    <row r="1076" spans="1:10" s="184" customFormat="1" ht="25.5">
      <c r="A1076" s="227" t="s">
        <v>343</v>
      </c>
      <c r="B1076" s="223">
        <v>793</v>
      </c>
      <c r="C1076" s="224" t="s">
        <v>19</v>
      </c>
      <c r="D1076" s="224" t="s">
        <v>23</v>
      </c>
      <c r="E1076" s="224" t="s">
        <v>258</v>
      </c>
      <c r="F1076" s="224"/>
      <c r="G1076" s="225">
        <f>G1077</f>
        <v>14859845.09</v>
      </c>
      <c r="H1076" s="225">
        <f>H1077</f>
        <v>16163011</v>
      </c>
      <c r="I1076" s="225">
        <f>I1077</f>
        <v>16366025</v>
      </c>
      <c r="J1076" s="183">
        <v>8109357</v>
      </c>
    </row>
    <row r="1077" spans="1:10" s="105" customFormat="1" ht="25.5" customHeight="1">
      <c r="A1077" s="86" t="s">
        <v>51</v>
      </c>
      <c r="B1077" s="217">
        <v>793</v>
      </c>
      <c r="C1077" s="88" t="s">
        <v>19</v>
      </c>
      <c r="D1077" s="88" t="s">
        <v>23</v>
      </c>
      <c r="E1077" s="88" t="s">
        <v>302</v>
      </c>
      <c r="F1077" s="88"/>
      <c r="G1077" s="102">
        <f>G1078+G1080+G1082</f>
        <v>14859845.09</v>
      </c>
      <c r="H1077" s="102">
        <f>H1078+H1080+H1082</f>
        <v>16163011</v>
      </c>
      <c r="I1077" s="102">
        <f>I1078+I1080+I1082</f>
        <v>16366025</v>
      </c>
      <c r="J1077" s="188">
        <v>6041147</v>
      </c>
    </row>
    <row r="1078" spans="1:10" s="105" customFormat="1" ht="51">
      <c r="A1078" s="86" t="s">
        <v>330</v>
      </c>
      <c r="B1078" s="217">
        <v>793</v>
      </c>
      <c r="C1078" s="88" t="s">
        <v>19</v>
      </c>
      <c r="D1078" s="88" t="s">
        <v>23</v>
      </c>
      <c r="E1078" s="88" t="s">
        <v>302</v>
      </c>
      <c r="F1078" s="88" t="s">
        <v>59</v>
      </c>
      <c r="G1078" s="102">
        <f>G1079</f>
        <v>8579009.7799999993</v>
      </c>
      <c r="H1078" s="102">
        <f>H1079</f>
        <v>8610171</v>
      </c>
      <c r="I1078" s="102">
        <f>I1079</f>
        <v>8610171</v>
      </c>
      <c r="J1078" s="188">
        <v>496800</v>
      </c>
    </row>
    <row r="1079" spans="1:10" s="105" customFormat="1">
      <c r="A1079" s="86" t="s">
        <v>337</v>
      </c>
      <c r="B1079" s="217"/>
      <c r="C1079" s="88"/>
      <c r="D1079" s="88"/>
      <c r="E1079" s="88" t="s">
        <v>302</v>
      </c>
      <c r="F1079" s="88" t="s">
        <v>336</v>
      </c>
      <c r="G1079" s="102">
        <f>'прил 5'!G922</f>
        <v>8579009.7799999993</v>
      </c>
      <c r="H1079" s="102">
        <f>'прил 5'!H922</f>
        <v>8610171</v>
      </c>
      <c r="I1079" s="102">
        <f>'прил 5'!I922</f>
        <v>8610171</v>
      </c>
      <c r="J1079" s="188">
        <f>SUM(J1076:J1078)</f>
        <v>14647304</v>
      </c>
    </row>
    <row r="1080" spans="1:10" s="105" customFormat="1" ht="24" customHeight="1">
      <c r="A1080" s="86" t="s">
        <v>334</v>
      </c>
      <c r="B1080" s="217">
        <v>793</v>
      </c>
      <c r="C1080" s="88" t="s">
        <v>19</v>
      </c>
      <c r="D1080" s="88" t="s">
        <v>23</v>
      </c>
      <c r="E1080" s="88" t="s">
        <v>302</v>
      </c>
      <c r="F1080" s="88" t="s">
        <v>37</v>
      </c>
      <c r="G1080" s="102">
        <f>G1081</f>
        <v>6224605.6299999999</v>
      </c>
      <c r="H1080" s="102">
        <f>H1081</f>
        <v>7099260</v>
      </c>
      <c r="I1080" s="102">
        <f>I1081</f>
        <v>7302274</v>
      </c>
      <c r="J1080" s="188"/>
    </row>
    <row r="1081" spans="1:10" s="105" customFormat="1" ht="24" customHeight="1">
      <c r="A1081" s="86" t="s">
        <v>38</v>
      </c>
      <c r="B1081" s="217">
        <v>793</v>
      </c>
      <c r="C1081" s="88" t="s">
        <v>19</v>
      </c>
      <c r="D1081" s="88" t="s">
        <v>23</v>
      </c>
      <c r="E1081" s="88" t="s">
        <v>302</v>
      </c>
      <c r="F1081" s="88" t="s">
        <v>39</v>
      </c>
      <c r="G1081" s="102">
        <f>'прил 5'!G924</f>
        <v>6224605.6299999999</v>
      </c>
      <c r="H1081" s="102">
        <f>'прил 5'!H924</f>
        <v>7099260</v>
      </c>
      <c r="I1081" s="102">
        <f>'прил 5'!I924</f>
        <v>7302274</v>
      </c>
      <c r="J1081" s="188"/>
    </row>
    <row r="1082" spans="1:10" s="105" customFormat="1" ht="24" customHeight="1">
      <c r="A1082" s="86" t="s">
        <v>64</v>
      </c>
      <c r="B1082" s="217">
        <v>793</v>
      </c>
      <c r="C1082" s="88" t="s">
        <v>19</v>
      </c>
      <c r="D1082" s="88" t="s">
        <v>23</v>
      </c>
      <c r="E1082" s="88" t="s">
        <v>302</v>
      </c>
      <c r="F1082" s="88" t="s">
        <v>65</v>
      </c>
      <c r="G1082" s="102">
        <f>G1084+G1083</f>
        <v>56229.679999999993</v>
      </c>
      <c r="H1082" s="102">
        <f>H1084+H1083</f>
        <v>453580</v>
      </c>
      <c r="I1082" s="102">
        <f>I1084+I1083</f>
        <v>453580</v>
      </c>
      <c r="J1082" s="188"/>
    </row>
    <row r="1083" spans="1:10" s="105" customFormat="1" ht="24" customHeight="1">
      <c r="A1083" s="86" t="s">
        <v>339</v>
      </c>
      <c r="B1083" s="217">
        <v>793</v>
      </c>
      <c r="C1083" s="88" t="s">
        <v>19</v>
      </c>
      <c r="D1083" s="88" t="s">
        <v>23</v>
      </c>
      <c r="E1083" s="88" t="s">
        <v>302</v>
      </c>
      <c r="F1083" s="88" t="s">
        <v>338</v>
      </c>
      <c r="G1083" s="102">
        <f>'прил 5'!G928</f>
        <v>0</v>
      </c>
      <c r="H1083" s="102">
        <f>'прил 5'!AG928</f>
        <v>0</v>
      </c>
      <c r="I1083" s="102">
        <f>'прил 5'!AH928</f>
        <v>0</v>
      </c>
      <c r="J1083" s="188"/>
    </row>
    <row r="1084" spans="1:10" s="105" customFormat="1" ht="24" customHeight="1">
      <c r="A1084" s="86" t="s">
        <v>150</v>
      </c>
      <c r="B1084" s="217">
        <v>793</v>
      </c>
      <c r="C1084" s="88" t="s">
        <v>19</v>
      </c>
      <c r="D1084" s="88" t="s">
        <v>23</v>
      </c>
      <c r="E1084" s="88" t="s">
        <v>302</v>
      </c>
      <c r="F1084" s="88" t="s">
        <v>68</v>
      </c>
      <c r="G1084" s="102">
        <f>'прил 5'!G929</f>
        <v>56229.679999999993</v>
      </c>
      <c r="H1084" s="102">
        <f>'прил 5'!H929</f>
        <v>453580</v>
      </c>
      <c r="I1084" s="102">
        <f>'прил 5'!I929</f>
        <v>453580</v>
      </c>
      <c r="J1084" s="188"/>
    </row>
    <row r="1085" spans="1:10" s="231" customFormat="1" ht="34.5" customHeight="1">
      <c r="A1085" s="228" t="s">
        <v>176</v>
      </c>
      <c r="B1085" s="223">
        <v>793</v>
      </c>
      <c r="C1085" s="224" t="s">
        <v>19</v>
      </c>
      <c r="D1085" s="224" t="s">
        <v>73</v>
      </c>
      <c r="E1085" s="224" t="s">
        <v>241</v>
      </c>
      <c r="F1085" s="229"/>
      <c r="G1085" s="225">
        <f>G1086</f>
        <v>1864000</v>
      </c>
      <c r="H1085" s="225">
        <f t="shared" ref="H1085:I1085" si="277">H1086</f>
        <v>1000000</v>
      </c>
      <c r="I1085" s="225">
        <f t="shared" si="277"/>
        <v>1000000</v>
      </c>
      <c r="J1085" s="230">
        <v>1000000</v>
      </c>
    </row>
    <row r="1086" spans="1:10" s="105" customFormat="1" ht="25.5">
      <c r="A1086" s="207" t="s">
        <v>176</v>
      </c>
      <c r="B1086" s="217">
        <v>793</v>
      </c>
      <c r="C1086" s="88" t="s">
        <v>19</v>
      </c>
      <c r="D1086" s="88" t="s">
        <v>73</v>
      </c>
      <c r="E1086" s="88" t="s">
        <v>285</v>
      </c>
      <c r="F1086" s="217"/>
      <c r="G1086" s="102">
        <f>G1089+G1096+G1100+G1094+G1091+G1088+G1097</f>
        <v>1864000</v>
      </c>
      <c r="H1086" s="102">
        <f>H1089+H1096+H1100+H1094+H1091</f>
        <v>1000000</v>
      </c>
      <c r="I1086" s="102">
        <f>I1089+I1096+I1100+I1094+I1091</f>
        <v>1000000</v>
      </c>
      <c r="J1086" s="188"/>
    </row>
    <row r="1087" spans="1:10" ht="24" customHeight="1">
      <c r="A1087" s="199" t="s">
        <v>154</v>
      </c>
      <c r="B1087" s="49">
        <v>795</v>
      </c>
      <c r="C1087" s="15" t="s">
        <v>70</v>
      </c>
      <c r="D1087" s="15" t="s">
        <v>71</v>
      </c>
      <c r="E1087" s="15" t="s">
        <v>285</v>
      </c>
      <c r="F1087" s="15" t="s">
        <v>155</v>
      </c>
      <c r="G1087" s="74">
        <f>G1088</f>
        <v>30000</v>
      </c>
      <c r="H1087" s="74">
        <f>H1088</f>
        <v>0</v>
      </c>
      <c r="I1087" s="74">
        <f>I1088</f>
        <v>0</v>
      </c>
      <c r="J1087" s="1"/>
    </row>
    <row r="1088" spans="1:10" ht="18" customHeight="1">
      <c r="A1088" s="16" t="s">
        <v>156</v>
      </c>
      <c r="B1088" s="49">
        <v>795</v>
      </c>
      <c r="C1088" s="15" t="s">
        <v>70</v>
      </c>
      <c r="D1088" s="15" t="s">
        <v>71</v>
      </c>
      <c r="E1088" s="15" t="s">
        <v>285</v>
      </c>
      <c r="F1088" s="15" t="s">
        <v>157</v>
      </c>
      <c r="G1088" s="74">
        <f>'прил 5'!G1169</f>
        <v>30000</v>
      </c>
      <c r="H1088" s="74">
        <v>0</v>
      </c>
      <c r="I1088" s="74">
        <v>0</v>
      </c>
      <c r="J1088" s="1"/>
    </row>
    <row r="1089" spans="1:16" s="105" customFormat="1">
      <c r="A1089" s="86" t="s">
        <v>334</v>
      </c>
      <c r="B1089" s="217">
        <v>793</v>
      </c>
      <c r="C1089" s="88" t="s">
        <v>55</v>
      </c>
      <c r="D1089" s="88" t="s">
        <v>127</v>
      </c>
      <c r="E1089" s="88" t="s">
        <v>285</v>
      </c>
      <c r="F1089" s="88" t="s">
        <v>37</v>
      </c>
      <c r="G1089" s="102">
        <f>G1090</f>
        <v>350000</v>
      </c>
      <c r="H1089" s="102">
        <f>H1090</f>
        <v>0</v>
      </c>
      <c r="I1089" s="102">
        <f>I1090</f>
        <v>0</v>
      </c>
      <c r="J1089" s="188"/>
    </row>
    <row r="1090" spans="1:16" s="105" customFormat="1" ht="27.75" customHeight="1">
      <c r="A1090" s="86" t="s">
        <v>38</v>
      </c>
      <c r="B1090" s="217">
        <v>793</v>
      </c>
      <c r="C1090" s="88" t="s">
        <v>55</v>
      </c>
      <c r="D1090" s="88" t="s">
        <v>127</v>
      </c>
      <c r="E1090" s="88" t="s">
        <v>285</v>
      </c>
      <c r="F1090" s="88" t="s">
        <v>39</v>
      </c>
      <c r="G1090" s="102">
        <f>'прил 5'!G1312+'прил 5'!G1434</f>
        <v>350000</v>
      </c>
      <c r="H1090" s="102">
        <f>'прил 5'!H979+'прил 5'!H1306</f>
        <v>0</v>
      </c>
      <c r="I1090" s="102">
        <f>'прил 5'!I979+'прил 5'!I1306</f>
        <v>0</v>
      </c>
      <c r="J1090" s="188"/>
    </row>
    <row r="1091" spans="1:16" s="105" customFormat="1" ht="30.75" customHeight="1">
      <c r="A1091" s="86" t="s">
        <v>369</v>
      </c>
      <c r="B1091" s="217">
        <v>793</v>
      </c>
      <c r="C1091" s="88" t="s">
        <v>70</v>
      </c>
      <c r="D1091" s="88" t="s">
        <v>71</v>
      </c>
      <c r="E1091" s="88" t="s">
        <v>285</v>
      </c>
      <c r="F1091" s="88" t="s">
        <v>155</v>
      </c>
      <c r="G1091" s="102">
        <f>G1092</f>
        <v>0</v>
      </c>
      <c r="H1091" s="102">
        <f>H1092</f>
        <v>0</v>
      </c>
      <c r="I1091" s="102">
        <f>I1092</f>
        <v>0</v>
      </c>
      <c r="J1091" s="188"/>
    </row>
    <row r="1092" spans="1:16" s="105" customFormat="1" ht="30.75" customHeight="1">
      <c r="A1092" s="86" t="s">
        <v>365</v>
      </c>
      <c r="B1092" s="217">
        <v>793</v>
      </c>
      <c r="C1092" s="88" t="s">
        <v>70</v>
      </c>
      <c r="D1092" s="88" t="s">
        <v>71</v>
      </c>
      <c r="E1092" s="88" t="s">
        <v>285</v>
      </c>
      <c r="F1092" s="88" t="s">
        <v>157</v>
      </c>
      <c r="G1092" s="102">
        <f>'прил 5'!G1163</f>
        <v>0</v>
      </c>
      <c r="H1092" s="102">
        <f>'прил 5'!H1163</f>
        <v>0</v>
      </c>
      <c r="I1092" s="102">
        <f>'прил 5'!I1163</f>
        <v>0</v>
      </c>
      <c r="J1092" s="188"/>
    </row>
    <row r="1093" spans="1:16" s="105" customFormat="1" ht="30.75" customHeight="1">
      <c r="A1093" s="86" t="s">
        <v>163</v>
      </c>
      <c r="B1093" s="217">
        <v>793</v>
      </c>
      <c r="C1093" s="88" t="s">
        <v>180</v>
      </c>
      <c r="D1093" s="88" t="s">
        <v>71</v>
      </c>
      <c r="E1093" s="88" t="s">
        <v>285</v>
      </c>
      <c r="F1093" s="88" t="s">
        <v>164</v>
      </c>
      <c r="G1093" s="102">
        <f>G1094</f>
        <v>827000</v>
      </c>
      <c r="H1093" s="102">
        <v>0</v>
      </c>
      <c r="I1093" s="102">
        <v>0</v>
      </c>
    </row>
    <row r="1094" spans="1:16" s="105" customFormat="1" ht="30.75" customHeight="1">
      <c r="A1094" s="86" t="s">
        <v>185</v>
      </c>
      <c r="B1094" s="217">
        <v>793</v>
      </c>
      <c r="C1094" s="88" t="s">
        <v>180</v>
      </c>
      <c r="D1094" s="88" t="s">
        <v>71</v>
      </c>
      <c r="E1094" s="88" t="s">
        <v>285</v>
      </c>
      <c r="F1094" s="88" t="s">
        <v>186</v>
      </c>
      <c r="G1094" s="102">
        <f>'прил 5'!G1112+'прил 5'!G949+'прил 5'!G1010+'прил 5'!G1127</f>
        <v>827000</v>
      </c>
      <c r="H1094" s="102">
        <f>'прил 5'!H1112+'прил 5'!H949+'прил 5'!H1010+'прил 5'!H1127</f>
        <v>0</v>
      </c>
      <c r="I1094" s="102">
        <f>'прил 5'!I1112+'прил 5'!I949+'прил 5'!I1010+'прил 5'!I1127</f>
        <v>0</v>
      </c>
    </row>
    <row r="1095" spans="1:16" s="105" customFormat="1" hidden="1">
      <c r="A1095" s="86" t="s">
        <v>64</v>
      </c>
      <c r="B1095" s="88" t="s">
        <v>97</v>
      </c>
      <c r="C1095" s="88" t="s">
        <v>26</v>
      </c>
      <c r="D1095" s="88" t="s">
        <v>28</v>
      </c>
      <c r="E1095" s="88" t="s">
        <v>285</v>
      </c>
      <c r="F1095" s="88" t="s">
        <v>31</v>
      </c>
      <c r="G1095" s="102">
        <f>G1096</f>
        <v>0</v>
      </c>
      <c r="H1095" s="102">
        <f>H1096</f>
        <v>0</v>
      </c>
      <c r="I1095" s="102">
        <f>I1096</f>
        <v>0</v>
      </c>
      <c r="J1095" s="188"/>
    </row>
    <row r="1096" spans="1:16" s="105" customFormat="1" ht="19.5" hidden="1" customHeight="1">
      <c r="A1096" s="86" t="s">
        <v>187</v>
      </c>
      <c r="B1096" s="88" t="s">
        <v>97</v>
      </c>
      <c r="C1096" s="88" t="s">
        <v>26</v>
      </c>
      <c r="D1096" s="88" t="s">
        <v>28</v>
      </c>
      <c r="E1096" s="88" t="s">
        <v>285</v>
      </c>
      <c r="F1096" s="88" t="s">
        <v>33</v>
      </c>
      <c r="G1096" s="102">
        <f>'прил 5'!G215+'прил 5'!G573</f>
        <v>0</v>
      </c>
      <c r="H1096" s="102"/>
      <c r="I1096" s="102"/>
      <c r="J1096" s="188"/>
    </row>
    <row r="1097" spans="1:16" ht="24" customHeight="1">
      <c r="A1097" s="16" t="s">
        <v>30</v>
      </c>
      <c r="B1097" s="49">
        <v>795</v>
      </c>
      <c r="C1097" s="15" t="s">
        <v>45</v>
      </c>
      <c r="D1097" s="15" t="s">
        <v>19</v>
      </c>
      <c r="E1097" s="15" t="s">
        <v>285</v>
      </c>
      <c r="F1097" s="15" t="s">
        <v>31</v>
      </c>
      <c r="G1097" s="74">
        <f>G1098</f>
        <v>148352.20000000001</v>
      </c>
      <c r="H1097" s="74">
        <f>H1098</f>
        <v>0</v>
      </c>
      <c r="I1097" s="74">
        <f>I1098</f>
        <v>0</v>
      </c>
      <c r="J1097" s="1"/>
    </row>
    <row r="1098" spans="1:16" ht="18" customHeight="1">
      <c r="A1098" s="16" t="s">
        <v>32</v>
      </c>
      <c r="B1098" s="49">
        <v>795</v>
      </c>
      <c r="C1098" s="15" t="s">
        <v>45</v>
      </c>
      <c r="D1098" s="15" t="s">
        <v>19</v>
      </c>
      <c r="E1098" s="15" t="s">
        <v>285</v>
      </c>
      <c r="F1098" s="15" t="s">
        <v>33</v>
      </c>
      <c r="G1098" s="74">
        <f>126252.2+'прил 5'!G438</f>
        <v>148352.20000000001</v>
      </c>
      <c r="H1098" s="74">
        <v>0</v>
      </c>
      <c r="I1098" s="74">
        <v>0</v>
      </c>
      <c r="J1098" s="1"/>
    </row>
    <row r="1099" spans="1:16" s="105" customFormat="1">
      <c r="A1099" s="86" t="s">
        <v>64</v>
      </c>
      <c r="B1099" s="217">
        <v>793</v>
      </c>
      <c r="C1099" s="88" t="s">
        <v>19</v>
      </c>
      <c r="D1099" s="88" t="s">
        <v>73</v>
      </c>
      <c r="E1099" s="88" t="s">
        <v>285</v>
      </c>
      <c r="F1099" s="88" t="s">
        <v>65</v>
      </c>
      <c r="G1099" s="102">
        <f>G1100</f>
        <v>508647.8</v>
      </c>
      <c r="H1099" s="102">
        <f>H1100</f>
        <v>1000000</v>
      </c>
      <c r="I1099" s="102">
        <f>I1100</f>
        <v>1000000</v>
      </c>
      <c r="J1099" s="188"/>
    </row>
    <row r="1100" spans="1:16" s="105" customFormat="1" ht="19.5" customHeight="1">
      <c r="A1100" s="86" t="s">
        <v>187</v>
      </c>
      <c r="B1100" s="217">
        <v>793</v>
      </c>
      <c r="C1100" s="88" t="s">
        <v>19</v>
      </c>
      <c r="D1100" s="88" t="s">
        <v>73</v>
      </c>
      <c r="E1100" s="88" t="s">
        <v>285</v>
      </c>
      <c r="F1100" s="88" t="s">
        <v>188</v>
      </c>
      <c r="G1100" s="102">
        <f>'прил 5'!G881</f>
        <v>508647.8</v>
      </c>
      <c r="H1100" s="102">
        <f>'прил 5'!H881</f>
        <v>1000000</v>
      </c>
      <c r="I1100" s="102">
        <f>'прил 5'!I881</f>
        <v>1000000</v>
      </c>
      <c r="J1100" s="188"/>
    </row>
    <row r="1101" spans="1:16" s="105" customFormat="1" hidden="1">
      <c r="A1101" s="86" t="s">
        <v>32</v>
      </c>
      <c r="B1101" s="217">
        <v>757</v>
      </c>
      <c r="C1101" s="88" t="s">
        <v>45</v>
      </c>
      <c r="D1101" s="88" t="s">
        <v>19</v>
      </c>
      <c r="E1101" s="88" t="s">
        <v>285</v>
      </c>
      <c r="F1101" s="88" t="s">
        <v>33</v>
      </c>
      <c r="G1101" s="89"/>
      <c r="H1101" s="89"/>
      <c r="I1101" s="89"/>
      <c r="J1101" s="188"/>
    </row>
    <row r="1102" spans="1:16" s="184" customFormat="1" ht="26.25" customHeight="1">
      <c r="A1102" s="222" t="s">
        <v>171</v>
      </c>
      <c r="B1102" s="223">
        <v>793</v>
      </c>
      <c r="C1102" s="224" t="s">
        <v>19</v>
      </c>
      <c r="D1102" s="224" t="s">
        <v>23</v>
      </c>
      <c r="E1102" s="232" t="s">
        <v>217</v>
      </c>
      <c r="F1102" s="224"/>
      <c r="G1102" s="225">
        <f>G1106+G1128+G1132+G1125+G1119+G1122+G1111</f>
        <v>6089334.1399999997</v>
      </c>
      <c r="H1102" s="225">
        <f t="shared" ref="H1102:I1102" si="278">H1103+H1106+H1111+H1114+H1129</f>
        <v>1415000</v>
      </c>
      <c r="I1102" s="225">
        <f t="shared" si="278"/>
        <v>1415000</v>
      </c>
      <c r="J1102" s="183">
        <v>1487719</v>
      </c>
      <c r="P1102" s="183"/>
    </row>
    <row r="1103" spans="1:16" s="184" customFormat="1" ht="51.75" hidden="1" customHeight="1">
      <c r="A1103" s="86" t="s">
        <v>661</v>
      </c>
      <c r="B1103" s="217">
        <v>793</v>
      </c>
      <c r="C1103" s="88" t="s">
        <v>19</v>
      </c>
      <c r="D1103" s="88" t="s">
        <v>23</v>
      </c>
      <c r="E1103" s="88" t="s">
        <v>662</v>
      </c>
      <c r="F1103" s="88"/>
      <c r="G1103" s="102">
        <f t="shared" ref="G1103:I1104" si="279">G1104</f>
        <v>0</v>
      </c>
      <c r="H1103" s="102">
        <f t="shared" si="279"/>
        <v>0</v>
      </c>
      <c r="I1103" s="102">
        <f t="shared" si="279"/>
        <v>0</v>
      </c>
      <c r="J1103" s="183"/>
    </row>
    <row r="1104" spans="1:16" s="184" customFormat="1" ht="26.25" hidden="1" customHeight="1">
      <c r="A1104" s="86" t="s">
        <v>334</v>
      </c>
      <c r="B1104" s="217">
        <v>793</v>
      </c>
      <c r="C1104" s="88" t="s">
        <v>19</v>
      </c>
      <c r="D1104" s="88" t="s">
        <v>23</v>
      </c>
      <c r="E1104" s="88" t="s">
        <v>662</v>
      </c>
      <c r="F1104" s="88" t="s">
        <v>37</v>
      </c>
      <c r="G1104" s="102">
        <f t="shared" si="279"/>
        <v>0</v>
      </c>
      <c r="H1104" s="102">
        <f t="shared" si="279"/>
        <v>0</v>
      </c>
      <c r="I1104" s="102">
        <f t="shared" si="279"/>
        <v>0</v>
      </c>
      <c r="J1104" s="183"/>
    </row>
    <row r="1105" spans="1:10" s="184" customFormat="1" ht="26.25" hidden="1" customHeight="1">
      <c r="A1105" s="86" t="s">
        <v>38</v>
      </c>
      <c r="B1105" s="217">
        <v>793</v>
      </c>
      <c r="C1105" s="88" t="s">
        <v>19</v>
      </c>
      <c r="D1105" s="88" t="s">
        <v>23</v>
      </c>
      <c r="E1105" s="88" t="s">
        <v>662</v>
      </c>
      <c r="F1105" s="88" t="s">
        <v>39</v>
      </c>
      <c r="G1105" s="102">
        <f>'прил 5'!G939</f>
        <v>0</v>
      </c>
      <c r="H1105" s="102"/>
      <c r="I1105" s="102"/>
      <c r="J1105" s="183"/>
    </row>
    <row r="1106" spans="1:10" s="105" customFormat="1" ht="20.25" customHeight="1">
      <c r="A1106" s="86" t="s">
        <v>344</v>
      </c>
      <c r="B1106" s="217">
        <v>793</v>
      </c>
      <c r="C1106" s="88" t="s">
        <v>19</v>
      </c>
      <c r="D1106" s="88" t="s">
        <v>23</v>
      </c>
      <c r="E1106" s="88" t="s">
        <v>218</v>
      </c>
      <c r="F1106" s="88"/>
      <c r="G1106" s="102">
        <f>G1109+G1117</f>
        <v>4591062.4099999992</v>
      </c>
      <c r="H1106" s="102">
        <f t="shared" ref="H1106:I1106" si="280">H1109+H1117</f>
        <v>1415000</v>
      </c>
      <c r="I1106" s="102">
        <f t="shared" si="280"/>
        <v>1415000</v>
      </c>
      <c r="J1106" s="188"/>
    </row>
    <row r="1107" spans="1:10" s="105" customFormat="1" ht="29.25" hidden="1" customHeight="1">
      <c r="A1107" s="86" t="s">
        <v>30</v>
      </c>
      <c r="B1107" s="88" t="s">
        <v>97</v>
      </c>
      <c r="C1107" s="88" t="s">
        <v>26</v>
      </c>
      <c r="D1107" s="88" t="s">
        <v>28</v>
      </c>
      <c r="E1107" s="88" t="s">
        <v>218</v>
      </c>
      <c r="F1107" s="88" t="s">
        <v>31</v>
      </c>
      <c r="G1107" s="102">
        <f>G1108</f>
        <v>0</v>
      </c>
      <c r="H1107" s="102"/>
      <c r="I1107" s="102"/>
      <c r="J1107" s="188"/>
    </row>
    <row r="1108" spans="1:10" s="105" customFormat="1" ht="19.5" hidden="1" customHeight="1">
      <c r="A1108" s="86" t="s">
        <v>32</v>
      </c>
      <c r="B1108" s="88" t="s">
        <v>97</v>
      </c>
      <c r="C1108" s="88" t="s">
        <v>26</v>
      </c>
      <c r="D1108" s="88" t="s">
        <v>28</v>
      </c>
      <c r="E1108" s="88" t="s">
        <v>218</v>
      </c>
      <c r="F1108" s="88" t="s">
        <v>33</v>
      </c>
      <c r="G1108" s="102"/>
      <c r="H1108" s="102"/>
      <c r="I1108" s="102"/>
      <c r="J1108" s="188"/>
    </row>
    <row r="1109" spans="1:10" s="105" customFormat="1">
      <c r="A1109" s="86" t="s">
        <v>64</v>
      </c>
      <c r="B1109" s="217">
        <v>792</v>
      </c>
      <c r="C1109" s="88" t="s">
        <v>19</v>
      </c>
      <c r="D1109" s="88" t="s">
        <v>23</v>
      </c>
      <c r="E1109" s="88" t="s">
        <v>218</v>
      </c>
      <c r="F1109" s="88" t="s">
        <v>65</v>
      </c>
      <c r="G1109" s="102">
        <f t="shared" ref="G1109:I1109" si="281">G1110</f>
        <v>4591062.4099999992</v>
      </c>
      <c r="H1109" s="102">
        <f t="shared" si="281"/>
        <v>1415000</v>
      </c>
      <c r="I1109" s="102">
        <f t="shared" si="281"/>
        <v>1415000</v>
      </c>
      <c r="J1109" s="188"/>
    </row>
    <row r="1110" spans="1:10" s="105" customFormat="1" ht="15" customHeight="1">
      <c r="A1110" s="86" t="s">
        <v>339</v>
      </c>
      <c r="B1110" s="217"/>
      <c r="C1110" s="88"/>
      <c r="D1110" s="88"/>
      <c r="E1110" s="88" t="s">
        <v>218</v>
      </c>
      <c r="F1110" s="88" t="s">
        <v>338</v>
      </c>
      <c r="G1110" s="102">
        <f>'прил 5'!G780</f>
        <v>4591062.4099999992</v>
      </c>
      <c r="H1110" s="102">
        <f>'прил 5'!H780</f>
        <v>1415000</v>
      </c>
      <c r="I1110" s="102">
        <f>'прил 5'!I780</f>
        <v>1415000</v>
      </c>
      <c r="J1110" s="188"/>
    </row>
    <row r="1111" spans="1:10" s="105" customFormat="1" ht="30.75" customHeight="1">
      <c r="A1111" s="86" t="s">
        <v>419</v>
      </c>
      <c r="B1111" s="217">
        <v>793</v>
      </c>
      <c r="C1111" s="88" t="s">
        <v>19</v>
      </c>
      <c r="D1111" s="88" t="s">
        <v>23</v>
      </c>
      <c r="E1111" s="88" t="s">
        <v>418</v>
      </c>
      <c r="F1111" s="88"/>
      <c r="G1111" s="102">
        <f t="shared" ref="G1111:I1111" si="282">G1112</f>
        <v>17117</v>
      </c>
      <c r="H1111" s="102">
        <f t="shared" si="282"/>
        <v>0</v>
      </c>
      <c r="I1111" s="102">
        <f t="shared" si="282"/>
        <v>0</v>
      </c>
    </row>
    <row r="1112" spans="1:10" s="105" customFormat="1" ht="19.5" customHeight="1">
      <c r="A1112" s="86" t="s">
        <v>64</v>
      </c>
      <c r="B1112" s="217">
        <v>793</v>
      </c>
      <c r="C1112" s="88" t="s">
        <v>19</v>
      </c>
      <c r="D1112" s="88" t="s">
        <v>23</v>
      </c>
      <c r="E1112" s="88" t="s">
        <v>418</v>
      </c>
      <c r="F1112" s="88" t="s">
        <v>65</v>
      </c>
      <c r="G1112" s="102">
        <f>G1113</f>
        <v>17117</v>
      </c>
      <c r="H1112" s="102">
        <f>H1113+H1114</f>
        <v>0</v>
      </c>
      <c r="I1112" s="102">
        <f>I1113+I1114</f>
        <v>0</v>
      </c>
    </row>
    <row r="1113" spans="1:10" s="105" customFormat="1" ht="18.75" customHeight="1">
      <c r="A1113" s="86" t="s">
        <v>339</v>
      </c>
      <c r="B1113" s="217">
        <v>793</v>
      </c>
      <c r="C1113" s="88" t="s">
        <v>19</v>
      </c>
      <c r="D1113" s="88" t="s">
        <v>23</v>
      </c>
      <c r="E1113" s="88" t="s">
        <v>418</v>
      </c>
      <c r="F1113" s="88" t="s">
        <v>338</v>
      </c>
      <c r="G1113" s="102">
        <f>'прил 5'!G936+'прил 5'!G1226</f>
        <v>17117</v>
      </c>
      <c r="H1113" s="102">
        <v>0</v>
      </c>
      <c r="I1113" s="102">
        <v>0</v>
      </c>
    </row>
    <row r="1114" spans="1:10" s="105" customFormat="1" ht="40.5" customHeight="1">
      <c r="A1114" s="86" t="s">
        <v>446</v>
      </c>
      <c r="B1114" s="217">
        <v>774</v>
      </c>
      <c r="C1114" s="88" t="s">
        <v>19</v>
      </c>
      <c r="D1114" s="88" t="s">
        <v>23</v>
      </c>
      <c r="E1114" s="88" t="s">
        <v>445</v>
      </c>
      <c r="F1114" s="88"/>
      <c r="G1114" s="102">
        <f>G1115</f>
        <v>0</v>
      </c>
      <c r="H1114" s="102">
        <v>0</v>
      </c>
      <c r="I1114" s="102">
        <v>0</v>
      </c>
      <c r="J1114" s="188"/>
    </row>
    <row r="1115" spans="1:10" s="105" customFormat="1">
      <c r="A1115" s="86" t="s">
        <v>64</v>
      </c>
      <c r="B1115" s="217">
        <v>774</v>
      </c>
      <c r="C1115" s="88" t="s">
        <v>19</v>
      </c>
      <c r="D1115" s="88" t="s">
        <v>23</v>
      </c>
      <c r="E1115" s="88" t="s">
        <v>445</v>
      </c>
      <c r="F1115" s="88" t="s">
        <v>65</v>
      </c>
      <c r="G1115" s="102">
        <f>G1116</f>
        <v>0</v>
      </c>
      <c r="H1115" s="102">
        <v>0</v>
      </c>
      <c r="I1115" s="102">
        <v>0</v>
      </c>
      <c r="J1115" s="188"/>
    </row>
    <row r="1116" spans="1:10" s="105" customFormat="1" ht="15" customHeight="1">
      <c r="A1116" s="86" t="s">
        <v>339</v>
      </c>
      <c r="B1116" s="217">
        <v>774</v>
      </c>
      <c r="C1116" s="88" t="s">
        <v>19</v>
      </c>
      <c r="D1116" s="88" t="s">
        <v>23</v>
      </c>
      <c r="E1116" s="88" t="s">
        <v>445</v>
      </c>
      <c r="F1116" s="88" t="s">
        <v>338</v>
      </c>
      <c r="G1116" s="102">
        <f>'прил 5'!G359+'прил 5'!G315</f>
        <v>0</v>
      </c>
      <c r="H1116" s="102">
        <v>0</v>
      </c>
      <c r="I1116" s="102">
        <v>0</v>
      </c>
      <c r="J1116" s="188"/>
    </row>
    <row r="1117" spans="1:10" ht="18.75" customHeight="1">
      <c r="A1117" s="86" t="s">
        <v>64</v>
      </c>
      <c r="B1117" s="14">
        <v>793</v>
      </c>
      <c r="C1117" s="15" t="s">
        <v>19</v>
      </c>
      <c r="D1117" s="15" t="s">
        <v>23</v>
      </c>
      <c r="E1117" s="15" t="s">
        <v>218</v>
      </c>
      <c r="F1117" s="15" t="s">
        <v>65</v>
      </c>
      <c r="G1117" s="74">
        <f>G1118</f>
        <v>0</v>
      </c>
      <c r="H1117" s="74">
        <f>H1118</f>
        <v>0</v>
      </c>
      <c r="I1117" s="74">
        <f>I1118</f>
        <v>0</v>
      </c>
      <c r="J1117" s="1"/>
    </row>
    <row r="1118" spans="1:10" ht="18.75" customHeight="1">
      <c r="A1118" s="86" t="s">
        <v>150</v>
      </c>
      <c r="B1118" s="14">
        <v>793</v>
      </c>
      <c r="C1118" s="15" t="s">
        <v>19</v>
      </c>
      <c r="D1118" s="15" t="s">
        <v>23</v>
      </c>
      <c r="E1118" s="15" t="s">
        <v>218</v>
      </c>
      <c r="F1118" s="15" t="s">
        <v>68</v>
      </c>
      <c r="G1118" s="74"/>
      <c r="H1118" s="74"/>
      <c r="I1118" s="74"/>
      <c r="J1118" s="1"/>
    </row>
    <row r="1119" spans="1:10" ht="33" customHeight="1">
      <c r="A1119" s="86" t="s">
        <v>446</v>
      </c>
      <c r="B1119" s="14">
        <v>793</v>
      </c>
      <c r="C1119" s="15" t="s">
        <v>19</v>
      </c>
      <c r="D1119" s="15" t="s">
        <v>23</v>
      </c>
      <c r="E1119" s="15" t="s">
        <v>445</v>
      </c>
      <c r="F1119" s="15"/>
      <c r="G1119" s="74">
        <f>G1120</f>
        <v>50000</v>
      </c>
      <c r="H1119" s="74">
        <f t="shared" ref="H1119:I1119" si="283">H1120</f>
        <v>0</v>
      </c>
      <c r="I1119" s="74">
        <f t="shared" si="283"/>
        <v>0</v>
      </c>
      <c r="J1119" s="1"/>
    </row>
    <row r="1120" spans="1:10" ht="18.75" customHeight="1">
      <c r="A1120" s="86" t="s">
        <v>64</v>
      </c>
      <c r="B1120" s="14">
        <v>793</v>
      </c>
      <c r="C1120" s="15" t="s">
        <v>19</v>
      </c>
      <c r="D1120" s="15" t="s">
        <v>23</v>
      </c>
      <c r="E1120" s="15" t="s">
        <v>445</v>
      </c>
      <c r="F1120" s="15" t="s">
        <v>65</v>
      </c>
      <c r="G1120" s="74">
        <f>G1121</f>
        <v>50000</v>
      </c>
      <c r="H1120" s="74">
        <f>H1121</f>
        <v>0</v>
      </c>
      <c r="I1120" s="74">
        <f>I1121</f>
        <v>0</v>
      </c>
      <c r="J1120" s="1"/>
    </row>
    <row r="1121" spans="1:10" ht="18.75" customHeight="1">
      <c r="A1121" s="86" t="s">
        <v>150</v>
      </c>
      <c r="B1121" s="14">
        <v>793</v>
      </c>
      <c r="C1121" s="15" t="s">
        <v>19</v>
      </c>
      <c r="D1121" s="15" t="s">
        <v>23</v>
      </c>
      <c r="E1121" s="15" t="s">
        <v>445</v>
      </c>
      <c r="F1121" s="15" t="s">
        <v>68</v>
      </c>
      <c r="G1121" s="74">
        <f>'прил 5'!G942</f>
        <v>50000</v>
      </c>
      <c r="H1121" s="74">
        <v>0</v>
      </c>
      <c r="I1121" s="74">
        <v>0</v>
      </c>
      <c r="J1121" s="1"/>
    </row>
    <row r="1122" spans="1:10" ht="31.5" customHeight="1">
      <c r="A1122" s="86" t="s">
        <v>886</v>
      </c>
      <c r="B1122" s="14">
        <v>793</v>
      </c>
      <c r="C1122" s="15" t="s">
        <v>19</v>
      </c>
      <c r="D1122" s="15" t="s">
        <v>23</v>
      </c>
      <c r="E1122" s="15" t="s">
        <v>885</v>
      </c>
      <c r="F1122" s="15"/>
      <c r="G1122" s="74">
        <f>G1123</f>
        <v>535000</v>
      </c>
      <c r="H1122" s="74">
        <f t="shared" ref="H1122:I1122" si="284">H1123</f>
        <v>0</v>
      </c>
      <c r="I1122" s="74">
        <f t="shared" si="284"/>
        <v>0</v>
      </c>
      <c r="J1122" s="1"/>
    </row>
    <row r="1123" spans="1:10" ht="18.75" customHeight="1">
      <c r="A1123" s="86" t="s">
        <v>64</v>
      </c>
      <c r="B1123" s="14">
        <v>793</v>
      </c>
      <c r="C1123" s="15" t="s">
        <v>19</v>
      </c>
      <c r="D1123" s="15" t="s">
        <v>23</v>
      </c>
      <c r="E1123" s="15" t="s">
        <v>885</v>
      </c>
      <c r="F1123" s="15" t="s">
        <v>65</v>
      </c>
      <c r="G1123" s="74">
        <f>G1124</f>
        <v>535000</v>
      </c>
      <c r="H1123" s="74">
        <f>H1124</f>
        <v>0</v>
      </c>
      <c r="I1123" s="74">
        <f>I1124</f>
        <v>0</v>
      </c>
      <c r="J1123" s="1"/>
    </row>
    <row r="1124" spans="1:10" ht="18.75" customHeight="1">
      <c r="A1124" s="86" t="s">
        <v>150</v>
      </c>
      <c r="B1124" s="14">
        <v>793</v>
      </c>
      <c r="C1124" s="15" t="s">
        <v>19</v>
      </c>
      <c r="D1124" s="15" t="s">
        <v>23</v>
      </c>
      <c r="E1124" s="15" t="s">
        <v>885</v>
      </c>
      <c r="F1124" s="15" t="s">
        <v>68</v>
      </c>
      <c r="G1124" s="74">
        <f>'прил 5'!G945</f>
        <v>535000</v>
      </c>
      <c r="H1124" s="74">
        <v>0</v>
      </c>
      <c r="I1124" s="74">
        <v>0</v>
      </c>
      <c r="J1124" s="1"/>
    </row>
    <row r="1125" spans="1:10" ht="19.5" customHeight="1">
      <c r="A1125" s="86" t="s">
        <v>878</v>
      </c>
      <c r="B1125" s="14">
        <v>792</v>
      </c>
      <c r="C1125" s="15" t="s">
        <v>26</v>
      </c>
      <c r="D1125" s="15" t="s">
        <v>28</v>
      </c>
      <c r="E1125" s="15" t="s">
        <v>879</v>
      </c>
      <c r="F1125" s="15"/>
      <c r="G1125" s="74">
        <f>G1126</f>
        <v>60000</v>
      </c>
      <c r="H1125" s="74">
        <f t="shared" ref="H1125:I1125" si="285">H1126</f>
        <v>0</v>
      </c>
      <c r="I1125" s="74">
        <f t="shared" si="285"/>
        <v>0</v>
      </c>
      <c r="J1125" s="1"/>
    </row>
    <row r="1126" spans="1:10" ht="30" customHeight="1">
      <c r="A1126" s="16" t="s">
        <v>30</v>
      </c>
      <c r="B1126" s="14">
        <v>792</v>
      </c>
      <c r="C1126" s="15" t="s">
        <v>26</v>
      </c>
      <c r="D1126" s="15" t="s">
        <v>28</v>
      </c>
      <c r="E1126" s="15" t="s">
        <v>879</v>
      </c>
      <c r="F1126" s="15" t="s">
        <v>31</v>
      </c>
      <c r="G1126" s="74">
        <f>G1127</f>
        <v>60000</v>
      </c>
      <c r="H1126" s="74">
        <f>H1127</f>
        <v>0</v>
      </c>
      <c r="I1126" s="74">
        <f>I1127</f>
        <v>0</v>
      </c>
      <c r="J1126" s="1"/>
    </row>
    <row r="1127" spans="1:10" ht="18.75" customHeight="1">
      <c r="A1127" s="16" t="s">
        <v>32</v>
      </c>
      <c r="B1127" s="14">
        <v>792</v>
      </c>
      <c r="C1127" s="15" t="s">
        <v>26</v>
      </c>
      <c r="D1127" s="15" t="s">
        <v>28</v>
      </c>
      <c r="E1127" s="15" t="s">
        <v>879</v>
      </c>
      <c r="F1127" s="15" t="s">
        <v>33</v>
      </c>
      <c r="G1127" s="74">
        <f>'прил 5'!G600</f>
        <v>60000</v>
      </c>
      <c r="H1127" s="74">
        <v>0</v>
      </c>
      <c r="I1127" s="74">
        <v>0</v>
      </c>
      <c r="J1127" s="1"/>
    </row>
    <row r="1128" spans="1:10" s="105" customFormat="1" ht="25.5" customHeight="1">
      <c r="A1128" s="86" t="s">
        <v>171</v>
      </c>
      <c r="B1128" s="217">
        <v>793</v>
      </c>
      <c r="C1128" s="88" t="s">
        <v>19</v>
      </c>
      <c r="D1128" s="88" t="s">
        <v>23</v>
      </c>
      <c r="E1128" s="88" t="s">
        <v>217</v>
      </c>
      <c r="F1128" s="88"/>
      <c r="G1128" s="102">
        <f>G1129</f>
        <v>412178.4</v>
      </c>
      <c r="H1128" s="102">
        <f t="shared" ref="H1128:I1128" si="286">H1129</f>
        <v>0</v>
      </c>
      <c r="I1128" s="102">
        <f t="shared" si="286"/>
        <v>0</v>
      </c>
    </row>
    <row r="1129" spans="1:10" s="105" customFormat="1" ht="30.75" customHeight="1">
      <c r="A1129" s="86" t="s">
        <v>724</v>
      </c>
      <c r="B1129" s="217">
        <v>793</v>
      </c>
      <c r="C1129" s="88" t="s">
        <v>19</v>
      </c>
      <c r="D1129" s="88" t="s">
        <v>23</v>
      </c>
      <c r="E1129" s="88" t="s">
        <v>723</v>
      </c>
      <c r="F1129" s="88"/>
      <c r="G1129" s="102">
        <f t="shared" ref="G1129:I1130" si="287">G1130</f>
        <v>412178.4</v>
      </c>
      <c r="H1129" s="102">
        <f t="shared" si="287"/>
        <v>0</v>
      </c>
      <c r="I1129" s="102">
        <f t="shared" si="287"/>
        <v>0</v>
      </c>
    </row>
    <row r="1130" spans="1:10" s="105" customFormat="1" ht="27.75" customHeight="1">
      <c r="A1130" s="16" t="s">
        <v>334</v>
      </c>
      <c r="B1130" s="217">
        <v>793</v>
      </c>
      <c r="C1130" s="88" t="s">
        <v>19</v>
      </c>
      <c r="D1130" s="88" t="s">
        <v>23</v>
      </c>
      <c r="E1130" s="88" t="s">
        <v>723</v>
      </c>
      <c r="F1130" s="88" t="s">
        <v>37</v>
      </c>
      <c r="G1130" s="102">
        <f>G1131</f>
        <v>412178.4</v>
      </c>
      <c r="H1130" s="102">
        <f t="shared" si="287"/>
        <v>0</v>
      </c>
      <c r="I1130" s="102">
        <f t="shared" si="287"/>
        <v>0</v>
      </c>
    </row>
    <row r="1131" spans="1:10" s="105" customFormat="1" ht="28.5" customHeight="1">
      <c r="A1131" s="16" t="s">
        <v>38</v>
      </c>
      <c r="B1131" s="217">
        <v>793</v>
      </c>
      <c r="C1131" s="88" t="s">
        <v>19</v>
      </c>
      <c r="D1131" s="88" t="s">
        <v>23</v>
      </c>
      <c r="E1131" s="88" t="s">
        <v>723</v>
      </c>
      <c r="F1131" s="88" t="s">
        <v>39</v>
      </c>
      <c r="G1131" s="102">
        <v>412178.4</v>
      </c>
      <c r="H1131" s="102">
        <v>0</v>
      </c>
      <c r="I1131" s="102">
        <v>0</v>
      </c>
    </row>
    <row r="1132" spans="1:10" s="46" customFormat="1" ht="48" customHeight="1">
      <c r="A1132" s="16" t="s">
        <v>849</v>
      </c>
      <c r="B1132" s="14">
        <v>793</v>
      </c>
      <c r="C1132" s="15" t="s">
        <v>19</v>
      </c>
      <c r="D1132" s="15" t="s">
        <v>26</v>
      </c>
      <c r="E1132" s="15" t="s">
        <v>847</v>
      </c>
      <c r="F1132" s="15"/>
      <c r="G1132" s="74">
        <f t="shared" ref="G1132:I1133" si="288">G1133</f>
        <v>423976.33</v>
      </c>
      <c r="H1132" s="74">
        <f t="shared" si="288"/>
        <v>0</v>
      </c>
      <c r="I1132" s="74">
        <f t="shared" si="288"/>
        <v>0</v>
      </c>
    </row>
    <row r="1133" spans="1:10" s="46" customFormat="1" ht="29.25" customHeight="1">
      <c r="A1133" s="16" t="s">
        <v>64</v>
      </c>
      <c r="B1133" s="14">
        <v>793</v>
      </c>
      <c r="C1133" s="15" t="s">
        <v>19</v>
      </c>
      <c r="D1133" s="15" t="s">
        <v>26</v>
      </c>
      <c r="E1133" s="15" t="s">
        <v>847</v>
      </c>
      <c r="F1133" s="15" t="s">
        <v>65</v>
      </c>
      <c r="G1133" s="74">
        <f t="shared" si="288"/>
        <v>423976.33</v>
      </c>
      <c r="H1133" s="74">
        <f t="shared" si="288"/>
        <v>0</v>
      </c>
      <c r="I1133" s="74">
        <f t="shared" si="288"/>
        <v>0</v>
      </c>
    </row>
    <row r="1134" spans="1:10" s="46" customFormat="1">
      <c r="A1134" s="16" t="s">
        <v>848</v>
      </c>
      <c r="B1134" s="14">
        <v>793</v>
      </c>
      <c r="C1134" s="15" t="s">
        <v>19</v>
      </c>
      <c r="D1134" s="15" t="s">
        <v>26</v>
      </c>
      <c r="E1134" s="15" t="s">
        <v>847</v>
      </c>
      <c r="F1134" s="15" t="s">
        <v>846</v>
      </c>
      <c r="G1134" s="74">
        <v>423976.33</v>
      </c>
      <c r="H1134" s="74">
        <v>0</v>
      </c>
      <c r="I1134" s="74">
        <v>0</v>
      </c>
    </row>
    <row r="1135" spans="1:10" s="184" customFormat="1">
      <c r="A1135" s="222" t="s">
        <v>287</v>
      </c>
      <c r="B1135" s="223">
        <v>793</v>
      </c>
      <c r="C1135" s="224" t="s">
        <v>19</v>
      </c>
      <c r="D1135" s="224" t="s">
        <v>180</v>
      </c>
      <c r="E1135" s="224" t="s">
        <v>288</v>
      </c>
      <c r="F1135" s="224"/>
      <c r="G1135" s="225">
        <f>G1138+G1139</f>
        <v>9704.2199999999993</v>
      </c>
      <c r="H1135" s="225">
        <f>H1138</f>
        <v>108967.95</v>
      </c>
      <c r="I1135" s="225">
        <f>I1138</f>
        <v>4005.55</v>
      </c>
      <c r="J1135" s="183"/>
    </row>
    <row r="1136" spans="1:10" s="218" customFormat="1" ht="39.75" customHeight="1">
      <c r="A1136" s="86" t="s">
        <v>290</v>
      </c>
      <c r="B1136" s="217">
        <v>793</v>
      </c>
      <c r="C1136" s="88" t="s">
        <v>19</v>
      </c>
      <c r="D1136" s="88" t="s">
        <v>180</v>
      </c>
      <c r="E1136" s="88" t="s">
        <v>385</v>
      </c>
      <c r="F1136" s="88"/>
      <c r="G1136" s="102">
        <f t="shared" ref="G1136:I1137" si="289">G1137</f>
        <v>9704.2199999999993</v>
      </c>
      <c r="H1136" s="102">
        <f t="shared" si="289"/>
        <v>108967.95</v>
      </c>
      <c r="I1136" s="102">
        <f t="shared" si="289"/>
        <v>4005.55</v>
      </c>
      <c r="J1136" s="220">
        <v>11200</v>
      </c>
    </row>
    <row r="1137" spans="1:12" s="218" customFormat="1">
      <c r="A1137" s="86" t="s">
        <v>334</v>
      </c>
      <c r="B1137" s="217">
        <v>793</v>
      </c>
      <c r="C1137" s="88" t="s">
        <v>19</v>
      </c>
      <c r="D1137" s="88" t="s">
        <v>180</v>
      </c>
      <c r="E1137" s="88" t="s">
        <v>385</v>
      </c>
      <c r="F1137" s="88" t="s">
        <v>37</v>
      </c>
      <c r="G1137" s="102">
        <f t="shared" si="289"/>
        <v>9704.2199999999993</v>
      </c>
      <c r="H1137" s="102">
        <f t="shared" si="289"/>
        <v>108967.95</v>
      </c>
      <c r="I1137" s="102">
        <f t="shared" si="289"/>
        <v>4005.55</v>
      </c>
      <c r="J1137" s="220"/>
    </row>
    <row r="1138" spans="1:12" s="46" customFormat="1" ht="25.5">
      <c r="A1138" s="16" t="s">
        <v>38</v>
      </c>
      <c r="B1138" s="14">
        <v>793</v>
      </c>
      <c r="C1138" s="15" t="s">
        <v>19</v>
      </c>
      <c r="D1138" s="15" t="s">
        <v>180</v>
      </c>
      <c r="E1138" s="15" t="s">
        <v>385</v>
      </c>
      <c r="F1138" s="15" t="s">
        <v>39</v>
      </c>
      <c r="G1138" s="102">
        <f>'прил 5'!G871</f>
        <v>9704.2199999999993</v>
      </c>
      <c r="H1138" s="102">
        <f>'прил 5'!H871</f>
        <v>108967.95</v>
      </c>
      <c r="I1138" s="102">
        <f>'прил 5'!I871</f>
        <v>4005.55</v>
      </c>
      <c r="J1138" s="151"/>
    </row>
    <row r="1139" spans="1:12" s="46" customFormat="1">
      <c r="A1139" s="16" t="s">
        <v>287</v>
      </c>
      <c r="B1139" s="14">
        <v>793</v>
      </c>
      <c r="C1139" s="15" t="s">
        <v>19</v>
      </c>
      <c r="D1139" s="15" t="s">
        <v>26</v>
      </c>
      <c r="E1139" s="15" t="s">
        <v>288</v>
      </c>
      <c r="F1139" s="15"/>
      <c r="G1139" s="74">
        <f t="shared" ref="G1139:I1139" si="290">G1140</f>
        <v>0</v>
      </c>
      <c r="H1139" s="74">
        <f t="shared" si="290"/>
        <v>0</v>
      </c>
      <c r="I1139" s="74">
        <f t="shared" si="290"/>
        <v>0</v>
      </c>
    </row>
    <row r="1140" spans="1:12" s="46" customFormat="1" ht="48" hidden="1" customHeight="1">
      <c r="A1140" s="16"/>
      <c r="B1140" s="14"/>
      <c r="C1140" s="15"/>
      <c r="D1140" s="15"/>
      <c r="E1140" s="15"/>
      <c r="F1140" s="15"/>
      <c r="G1140" s="74"/>
      <c r="H1140" s="74"/>
      <c r="I1140" s="74"/>
    </row>
    <row r="1141" spans="1:12" s="46" customFormat="1" ht="29.25" hidden="1" customHeight="1">
      <c r="A1141" s="16"/>
      <c r="B1141" s="14"/>
      <c r="C1141" s="15"/>
      <c r="D1141" s="15"/>
      <c r="E1141" s="15"/>
      <c r="F1141" s="15"/>
      <c r="G1141" s="74"/>
      <c r="H1141" s="74"/>
      <c r="I1141" s="74"/>
    </row>
    <row r="1142" spans="1:12" s="46" customFormat="1" hidden="1">
      <c r="A1142" s="16"/>
      <c r="B1142" s="14"/>
      <c r="C1142" s="15"/>
      <c r="D1142" s="15"/>
      <c r="E1142" s="15"/>
      <c r="F1142" s="15"/>
      <c r="G1142" s="74"/>
      <c r="H1142" s="74"/>
      <c r="I1142" s="74"/>
    </row>
    <row r="1143" spans="1:12" s="22" customFormat="1" ht="26.25" customHeight="1">
      <c r="A1143" s="191" t="s">
        <v>379</v>
      </c>
      <c r="B1143" s="192"/>
      <c r="C1143" s="192"/>
      <c r="D1143" s="192"/>
      <c r="E1143" s="192"/>
      <c r="F1143" s="192"/>
      <c r="G1143" s="193">
        <f>G20+G980</f>
        <v>1502913938.5099995</v>
      </c>
      <c r="H1143" s="193">
        <f>H20+H980</f>
        <v>1569017981.4300001</v>
      </c>
      <c r="I1143" s="193">
        <f>I20+I980</f>
        <v>1802885684.4884501</v>
      </c>
      <c r="J1143" s="21"/>
      <c r="L1143" s="21">
        <f>G1077+H1077+I1077+G1055+H1055+I1055+G1049+H1049+I1049+G1041+H1041+I1041+G1014+H1014+I1014+G1010+H1010+I1010+G827+H827+I827+G619+H619+I619+G485+H485+I485+G54+H54+I54</f>
        <v>269729073.54844999</v>
      </c>
    </row>
    <row r="1144" spans="1:12" s="18" customFormat="1" hidden="1">
      <c r="A1144" s="16"/>
      <c r="B1144" s="14"/>
      <c r="C1144" s="15"/>
      <c r="D1144" s="15"/>
      <c r="E1144" s="15"/>
      <c r="F1144" s="15"/>
      <c r="G1144" s="102"/>
      <c r="H1144" s="102"/>
      <c r="I1144" s="102"/>
      <c r="J1144" s="17"/>
    </row>
    <row r="1145" spans="1:12" s="18" customFormat="1" hidden="1">
      <c r="A1145" s="16"/>
      <c r="B1145" s="14"/>
      <c r="C1145" s="15"/>
      <c r="D1145" s="15"/>
      <c r="E1145" s="15"/>
      <c r="F1145" s="15"/>
      <c r="G1145" s="102"/>
      <c r="H1145" s="102"/>
      <c r="I1145" s="102"/>
      <c r="J1145" s="17"/>
    </row>
    <row r="1146" spans="1:12" hidden="1"/>
    <row r="1147" spans="1:12" hidden="1">
      <c r="G1147" s="104">
        <v>1303746913.27</v>
      </c>
      <c r="H1147" s="104">
        <v>1303746913.27</v>
      </c>
      <c r="I1147" s="104">
        <v>1303746913.27</v>
      </c>
    </row>
    <row r="1148" spans="1:12" ht="21.75" hidden="1" customHeight="1">
      <c r="G1148" s="104">
        <f>G1143-G1147</f>
        <v>199167025.23999953</v>
      </c>
      <c r="H1148" s="104">
        <f>H1143-H1147</f>
        <v>265271068.16000009</v>
      </c>
      <c r="I1148" s="104">
        <f>I1143-I1147</f>
        <v>499138771.21845007</v>
      </c>
    </row>
    <row r="1149" spans="1:12" hidden="1"/>
    <row r="1150" spans="1:12" hidden="1">
      <c r="G1150" s="104" t="e">
        <f>#REF!+#REF!+#REF!+G280+#REF!+#REF!+#REF!+#REF!+G800+G1100+#REF!</f>
        <v>#REF!</v>
      </c>
      <c r="H1150" s="104" t="e">
        <f>#REF!+#REF!+#REF!+H280+#REF!+#REF!+#REF!+#REF!+H800+H1100+#REF!</f>
        <v>#REF!</v>
      </c>
      <c r="I1150" s="104" t="e">
        <f>#REF!+#REF!+#REF!+I280+#REF!+#REF!+#REF!+#REF!+I800+I1100+#REF!</f>
        <v>#REF!</v>
      </c>
    </row>
    <row r="1151" spans="1:12" hidden="1">
      <c r="B1151" s="1"/>
      <c r="C1151" s="1"/>
      <c r="D1151" s="1"/>
      <c r="E1151" s="1"/>
      <c r="F1151" s="1"/>
    </row>
    <row r="1152" spans="1:12" hidden="1">
      <c r="B1152" s="1"/>
      <c r="C1152" s="1"/>
      <c r="D1152" s="1"/>
      <c r="E1152" s="1"/>
      <c r="F1152" s="1"/>
      <c r="G1152" s="104">
        <f>'прил 5'!G1561-'прил 6'!G1143</f>
        <v>0</v>
      </c>
      <c r="H1152" s="104">
        <f>H1143-'прил 5'!H1561</f>
        <v>0</v>
      </c>
      <c r="I1152" s="104">
        <f>I1143-'прил 5'!I1561</f>
        <v>0</v>
      </c>
    </row>
    <row r="1153" spans="2:15" hidden="1">
      <c r="B1153" s="1"/>
      <c r="C1153" s="1"/>
      <c r="D1153" s="1"/>
      <c r="E1153" s="1"/>
      <c r="F1153" s="1"/>
      <c r="G1153" s="104" t="e">
        <f>G1150-G1100</f>
        <v>#REF!</v>
      </c>
      <c r="H1153" s="104" t="e">
        <f>H1150-H1100</f>
        <v>#REF!</v>
      </c>
      <c r="I1153" s="104" t="e">
        <f>I1150-I1100</f>
        <v>#REF!</v>
      </c>
    </row>
    <row r="1154" spans="2:15" hidden="1">
      <c r="B1154" s="1"/>
      <c r="C1154" s="1"/>
      <c r="D1154" s="1"/>
      <c r="E1154" s="1"/>
      <c r="F1154" s="1"/>
    </row>
    <row r="1156" spans="2:15">
      <c r="G1156" s="104">
        <f>G1143-'прил 5'!G1561</f>
        <v>0</v>
      </c>
      <c r="H1156" s="104">
        <f>H1143-'прил 5'!H1561</f>
        <v>0</v>
      </c>
      <c r="I1156" s="104">
        <f>I1143-'прил 5'!I1561</f>
        <v>0</v>
      </c>
    </row>
    <row r="1158" spans="2:15">
      <c r="G1158" s="104">
        <f>G1143-'прил 4'!F69</f>
        <v>0</v>
      </c>
      <c r="H1158" s="104">
        <f>H1143-'прил 4'!G69</f>
        <v>0</v>
      </c>
      <c r="I1158" s="104">
        <f>I1143-'прил 4'!H69</f>
        <v>0</v>
      </c>
    </row>
    <row r="1159" spans="2:15" hidden="1"/>
    <row r="1160" spans="2:15" hidden="1"/>
    <row r="1161" spans="2:15" hidden="1">
      <c r="G1161" s="104">
        <v>1343198834.8699999</v>
      </c>
      <c r="H1161" s="104">
        <v>1850737958.21</v>
      </c>
      <c r="I1161" s="104">
        <v>1758125252.48</v>
      </c>
    </row>
    <row r="1162" spans="2:15" hidden="1"/>
    <row r="1163" spans="2:15" hidden="1">
      <c r="G1163" s="104">
        <f>G1143-G1161</f>
        <v>159715103.63999963</v>
      </c>
      <c r="H1163" s="104">
        <f t="shared" ref="H1163:O1163" si="291">H1143-H1161</f>
        <v>-281719976.77999997</v>
      </c>
      <c r="I1163" s="104">
        <f t="shared" si="291"/>
        <v>44760432.008450031</v>
      </c>
      <c r="J1163" s="104">
        <f t="shared" si="291"/>
        <v>0</v>
      </c>
      <c r="K1163" s="104">
        <f t="shared" si="291"/>
        <v>0</v>
      </c>
      <c r="L1163" s="104">
        <f t="shared" si="291"/>
        <v>269729073.54844999</v>
      </c>
      <c r="M1163" s="104">
        <f t="shared" si="291"/>
        <v>0</v>
      </c>
      <c r="N1163" s="104">
        <f t="shared" si="291"/>
        <v>0</v>
      </c>
      <c r="O1163" s="104">
        <f t="shared" si="291"/>
        <v>0</v>
      </c>
    </row>
    <row r="1164" spans="2:15" hidden="1"/>
    <row r="1165" spans="2:15" hidden="1"/>
    <row r="1166" spans="2:15" hidden="1">
      <c r="H1166" s="104">
        <v>1905203612.9400001</v>
      </c>
      <c r="I1166" s="104">
        <v>1812594464.3800001</v>
      </c>
    </row>
    <row r="1167" spans="2:15" hidden="1"/>
    <row r="1168" spans="2:15" hidden="1">
      <c r="H1168" s="104">
        <f>H1166-H1143</f>
        <v>336185631.50999999</v>
      </c>
      <c r="I1168" s="104">
        <f>I1166-I1143</f>
        <v>9708779.8915500641</v>
      </c>
    </row>
    <row r="1169" spans="5:9" hidden="1"/>
    <row r="1170" spans="5:9" hidden="1"/>
    <row r="1173" spans="5:9">
      <c r="G1173" s="104">
        <f>'прил 5'!G1561</f>
        <v>1502913938.5099998</v>
      </c>
      <c r="H1173" s="104">
        <f>'прил 5'!H1561</f>
        <v>1569017981.4300003</v>
      </c>
      <c r="I1173" s="104">
        <f>'прил 5'!I1561</f>
        <v>1802885684.4884501</v>
      </c>
    </row>
    <row r="1176" spans="5:9">
      <c r="E1176" s="60" t="s">
        <v>887</v>
      </c>
      <c r="G1176" s="104">
        <v>1493355924.01</v>
      </c>
      <c r="H1176" s="104">
        <v>1567867981.4300001</v>
      </c>
      <c r="I1176" s="104">
        <v>1811515960.3800001</v>
      </c>
    </row>
    <row r="1178" spans="5:9">
      <c r="G1178" s="104">
        <f>G1176-G1143</f>
        <v>-9558014.4999995232</v>
      </c>
      <c r="H1178" s="104">
        <f t="shared" ref="H1178:I1178" si="292">H1176-H1143</f>
        <v>-1150000</v>
      </c>
      <c r="I1178" s="104">
        <f t="shared" si="292"/>
        <v>8630275.8915500641</v>
      </c>
    </row>
  </sheetData>
  <mergeCells count="39">
    <mergeCell ref="B1:D1"/>
    <mergeCell ref="E1:G1"/>
    <mergeCell ref="B2:C2"/>
    <mergeCell ref="D2:G2"/>
    <mergeCell ref="B3:D3"/>
    <mergeCell ref="E3:G3"/>
    <mergeCell ref="B4:C4"/>
    <mergeCell ref="D4:G4"/>
    <mergeCell ref="B5:D5"/>
    <mergeCell ref="E5:G5"/>
    <mergeCell ref="B6:C6"/>
    <mergeCell ref="D6:G6"/>
    <mergeCell ref="A16:A18"/>
    <mergeCell ref="A15:I15"/>
    <mergeCell ref="B13:D13"/>
    <mergeCell ref="E13:G13"/>
    <mergeCell ref="G17:G18"/>
    <mergeCell ref="D17:D18"/>
    <mergeCell ref="B17:B18"/>
    <mergeCell ref="C17:C18"/>
    <mergeCell ref="F16:F18"/>
    <mergeCell ref="E16:E18"/>
    <mergeCell ref="H17:H18"/>
    <mergeCell ref="I17:I18"/>
    <mergeCell ref="B14:C14"/>
    <mergeCell ref="D14:G14"/>
    <mergeCell ref="B10:C10"/>
    <mergeCell ref="D10:G10"/>
    <mergeCell ref="G16:I16"/>
    <mergeCell ref="B11:D11"/>
    <mergeCell ref="E11:G11"/>
    <mergeCell ref="B12:C12"/>
    <mergeCell ref="D12:G12"/>
    <mergeCell ref="B7:D7"/>
    <mergeCell ref="E7:G7"/>
    <mergeCell ref="B8:C8"/>
    <mergeCell ref="D8:G8"/>
    <mergeCell ref="B9:D9"/>
    <mergeCell ref="E9:G9"/>
  </mergeCells>
  <phoneticPr fontId="25" type="noConversion"/>
  <pageMargins left="0.66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052" max="16383" man="1"/>
    <brk id="114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</vt:lpstr>
      <vt:lpstr>прил 5</vt:lpstr>
      <vt:lpstr>прил 6</vt:lpstr>
      <vt:lpstr>'прил 4'!Область_печати</vt:lpstr>
      <vt:lpstr>'прил 5'!Область_печати</vt:lpstr>
      <vt:lpstr>'прил 6'!Область_печати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2021-12-13T08:54:52Z</cp:lastPrinted>
  <dcterms:created xsi:type="dcterms:W3CDTF">2014-11-17T05:43:53Z</dcterms:created>
  <dcterms:modified xsi:type="dcterms:W3CDTF">2021-12-29T06:10:09Z</dcterms:modified>
</cp:coreProperties>
</file>