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-60" yWindow="-60" windowWidth="15480" windowHeight="11640" tabRatio="894" activeTab="2"/>
  </bookViews>
  <sheets>
    <sheet name="оконч.2022 и бюджет 2023-25" sheetId="73" r:id="rId1"/>
    <sheet name="на 01.03." sheetId="76" r:id="rId2"/>
    <sheet name="на 01.04" sheetId="7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1">'на 01.03.'!$A$1:$N$313</definedName>
    <definedName name="_xlnm.Print_Area" localSheetId="2">'на 01.04'!$A$1:$N$313</definedName>
    <definedName name="_xlnm.Print_Area" localSheetId="0">'оконч.2022 и бюджет 2023-25'!$A$1:$N$309</definedName>
  </definedNames>
  <calcPr calcId="125725"/>
  <customWorkbookViews>
    <customWorkbookView name="Admin - Личное представление" guid="{5CF87B84-330A-4B5B-965F-1A1485DEE261}" mergeInterval="0" personalView="1" maximized="1" windowWidth="1916" windowHeight="934" activeSheetId="5"/>
    <customWorkbookView name="Тарбаева Т. М. - Личное представление" guid="{E576B4FF-74CD-4A03-9529-DBADD5518170}" mergeInterval="0" personalView="1" maximized="1" windowWidth="1916" windowHeight="934" activeSheetId="5"/>
  </customWorkbookViews>
</workbook>
</file>

<file path=xl/calcChain.xml><?xml version="1.0" encoding="utf-8"?>
<calcChain xmlns="http://schemas.openxmlformats.org/spreadsheetml/2006/main">
  <c r="M314" i="76"/>
  <c r="L314"/>
  <c r="K314"/>
  <c r="J314"/>
  <c r="I314"/>
  <c r="G309"/>
  <c r="G308"/>
  <c r="G307"/>
  <c r="M306"/>
  <c r="L306"/>
  <c r="K306"/>
  <c r="J306"/>
  <c r="I306"/>
  <c r="H306"/>
  <c r="G306"/>
  <c r="M305"/>
  <c r="L305"/>
  <c r="K305"/>
  <c r="J305"/>
  <c r="I305"/>
  <c r="H305"/>
  <c r="G305" s="1"/>
  <c r="M304"/>
  <c r="L304"/>
  <c r="K304"/>
  <c r="J304"/>
  <c r="I304"/>
  <c r="H304"/>
  <c r="G304"/>
  <c r="M303"/>
  <c r="L303"/>
  <c r="L302" s="1"/>
  <c r="K303"/>
  <c r="J303"/>
  <c r="J302" s="1"/>
  <c r="I303"/>
  <c r="H303"/>
  <c r="K302"/>
  <c r="G301"/>
  <c r="G300"/>
  <c r="G299"/>
  <c r="M298"/>
  <c r="L298"/>
  <c r="K298"/>
  <c r="J298"/>
  <c r="I298"/>
  <c r="H298"/>
  <c r="G298"/>
  <c r="M297"/>
  <c r="L297"/>
  <c r="K297"/>
  <c r="J297"/>
  <c r="I297"/>
  <c r="H297"/>
  <c r="G297" s="1"/>
  <c r="M296"/>
  <c r="L296"/>
  <c r="K296"/>
  <c r="J296"/>
  <c r="I296"/>
  <c r="H296"/>
  <c r="G296"/>
  <c r="M295"/>
  <c r="L295"/>
  <c r="K295"/>
  <c r="J295"/>
  <c r="I295"/>
  <c r="H295"/>
  <c r="M294"/>
  <c r="K294"/>
  <c r="I294"/>
  <c r="G293"/>
  <c r="G292"/>
  <c r="J291"/>
  <c r="H291"/>
  <c r="M290"/>
  <c r="L290"/>
  <c r="K290"/>
  <c r="J290"/>
  <c r="I290"/>
  <c r="M289"/>
  <c r="L289"/>
  <c r="K289"/>
  <c r="J289"/>
  <c r="I289"/>
  <c r="H289"/>
  <c r="G289" s="1"/>
  <c r="M288"/>
  <c r="M286" s="1"/>
  <c r="L288"/>
  <c r="K288"/>
  <c r="J288"/>
  <c r="I288"/>
  <c r="I286" s="1"/>
  <c r="H288"/>
  <c r="G288"/>
  <c r="M287"/>
  <c r="L287"/>
  <c r="L286" s="1"/>
  <c r="K287"/>
  <c r="J287"/>
  <c r="J286" s="1"/>
  <c r="I287"/>
  <c r="H287"/>
  <c r="K286"/>
  <c r="G285"/>
  <c r="G284"/>
  <c r="G283"/>
  <c r="M282"/>
  <c r="L282"/>
  <c r="K282"/>
  <c r="J282"/>
  <c r="I282"/>
  <c r="H282"/>
  <c r="G282"/>
  <c r="G281"/>
  <c r="G280"/>
  <c r="G279"/>
  <c r="M278"/>
  <c r="L278"/>
  <c r="K278"/>
  <c r="J278"/>
  <c r="I278"/>
  <c r="H278"/>
  <c r="G278"/>
  <c r="G277"/>
  <c r="G276"/>
  <c r="G275"/>
  <c r="M274"/>
  <c r="L274"/>
  <c r="K274"/>
  <c r="J274"/>
  <c r="I274"/>
  <c r="H274"/>
  <c r="G274"/>
  <c r="G273"/>
  <c r="G272"/>
  <c r="G271"/>
  <c r="M270"/>
  <c r="L270"/>
  <c r="K270"/>
  <c r="J270"/>
  <c r="I270"/>
  <c r="H270"/>
  <c r="G270"/>
  <c r="G269"/>
  <c r="G268"/>
  <c r="G267"/>
  <c r="M266"/>
  <c r="L266"/>
  <c r="K266"/>
  <c r="J266"/>
  <c r="I266"/>
  <c r="H266"/>
  <c r="G266"/>
  <c r="G265"/>
  <c r="G264"/>
  <c r="G263"/>
  <c r="M262"/>
  <c r="L262"/>
  <c r="K262"/>
  <c r="J262"/>
  <c r="I262"/>
  <c r="H262"/>
  <c r="G262"/>
  <c r="G261"/>
  <c r="G260"/>
  <c r="J259"/>
  <c r="I259"/>
  <c r="G259" s="1"/>
  <c r="G258" s="1"/>
  <c r="M258"/>
  <c r="L258"/>
  <c r="K258"/>
  <c r="J258"/>
  <c r="H258"/>
  <c r="G257"/>
  <c r="G256"/>
  <c r="J255"/>
  <c r="I255"/>
  <c r="M254"/>
  <c r="L254"/>
  <c r="K254"/>
  <c r="J254"/>
  <c r="I254"/>
  <c r="H254"/>
  <c r="M253"/>
  <c r="L253"/>
  <c r="K253"/>
  <c r="J253"/>
  <c r="I253"/>
  <c r="H253"/>
  <c r="G253" s="1"/>
  <c r="M252"/>
  <c r="L252"/>
  <c r="K252"/>
  <c r="J252"/>
  <c r="I252"/>
  <c r="H252"/>
  <c r="G252"/>
  <c r="M251"/>
  <c r="L251"/>
  <c r="K251"/>
  <c r="J251"/>
  <c r="H251"/>
  <c r="M250"/>
  <c r="K250"/>
  <c r="G249"/>
  <c r="I248"/>
  <c r="G248" s="1"/>
  <c r="I247"/>
  <c r="M246"/>
  <c r="L246"/>
  <c r="K246"/>
  <c r="J246"/>
  <c r="I246"/>
  <c r="H246"/>
  <c r="G245"/>
  <c r="G244"/>
  <c r="J243"/>
  <c r="I243"/>
  <c r="G243" s="1"/>
  <c r="G242" s="1"/>
  <c r="M242"/>
  <c r="L242"/>
  <c r="K242"/>
  <c r="J242"/>
  <c r="H242"/>
  <c r="G241"/>
  <c r="G240"/>
  <c r="G239"/>
  <c r="M238"/>
  <c r="L238"/>
  <c r="K238"/>
  <c r="J238"/>
  <c r="I238"/>
  <c r="H238"/>
  <c r="G238"/>
  <c r="G237"/>
  <c r="G236"/>
  <c r="J235"/>
  <c r="H235"/>
  <c r="M234"/>
  <c r="L234"/>
  <c r="K234"/>
  <c r="J234"/>
  <c r="I234"/>
  <c r="G233"/>
  <c r="G232"/>
  <c r="J231"/>
  <c r="H231"/>
  <c r="M230"/>
  <c r="L230"/>
  <c r="K230"/>
  <c r="J230"/>
  <c r="I230"/>
  <c r="M229"/>
  <c r="L229"/>
  <c r="K229"/>
  <c r="J229"/>
  <c r="I229"/>
  <c r="H229"/>
  <c r="G229" s="1"/>
  <c r="M228"/>
  <c r="L228"/>
  <c r="K228"/>
  <c r="K226" s="1"/>
  <c r="J228"/>
  <c r="I228"/>
  <c r="H228"/>
  <c r="G228"/>
  <c r="M227"/>
  <c r="L227"/>
  <c r="L226" s="1"/>
  <c r="K227"/>
  <c r="J227"/>
  <c r="J226" s="1"/>
  <c r="H227"/>
  <c r="M226"/>
  <c r="G225"/>
  <c r="G224"/>
  <c r="G223"/>
  <c r="M222"/>
  <c r="L222"/>
  <c r="K222"/>
  <c r="J222"/>
  <c r="I222"/>
  <c r="H222"/>
  <c r="G222"/>
  <c r="G221"/>
  <c r="G220"/>
  <c r="G219"/>
  <c r="M218"/>
  <c r="L218"/>
  <c r="K218"/>
  <c r="J218"/>
  <c r="I218"/>
  <c r="H218"/>
  <c r="G218"/>
  <c r="G217"/>
  <c r="G216"/>
  <c r="G215"/>
  <c r="M214"/>
  <c r="L214"/>
  <c r="K214"/>
  <c r="J214"/>
  <c r="I214"/>
  <c r="H214"/>
  <c r="G214"/>
  <c r="P213"/>
  <c r="G213"/>
  <c r="G212"/>
  <c r="J211"/>
  <c r="H211"/>
  <c r="G211"/>
  <c r="G210" s="1"/>
  <c r="M210"/>
  <c r="L210"/>
  <c r="K210"/>
  <c r="J210"/>
  <c r="I210"/>
  <c r="H210"/>
  <c r="G209"/>
  <c r="G208"/>
  <c r="I207"/>
  <c r="I206" s="1"/>
  <c r="H207"/>
  <c r="G207"/>
  <c r="G206" s="1"/>
  <c r="M206"/>
  <c r="L206"/>
  <c r="K206"/>
  <c r="J206"/>
  <c r="H206"/>
  <c r="G205"/>
  <c r="G204"/>
  <c r="G203"/>
  <c r="G202" s="1"/>
  <c r="M202"/>
  <c r="L202"/>
  <c r="K202"/>
  <c r="J202"/>
  <c r="I202"/>
  <c r="H202"/>
  <c r="G201"/>
  <c r="J200"/>
  <c r="G200"/>
  <c r="J199"/>
  <c r="H199"/>
  <c r="M198"/>
  <c r="L198"/>
  <c r="K198"/>
  <c r="J198"/>
  <c r="I198"/>
  <c r="G197"/>
  <c r="H196"/>
  <c r="G196" s="1"/>
  <c r="H195"/>
  <c r="W194"/>
  <c r="M194"/>
  <c r="L194"/>
  <c r="K194"/>
  <c r="J194"/>
  <c r="I194"/>
  <c r="G193"/>
  <c r="G192"/>
  <c r="G191"/>
  <c r="G190" s="1"/>
  <c r="M190"/>
  <c r="L190"/>
  <c r="J190"/>
  <c r="I190"/>
  <c r="G189"/>
  <c r="G188"/>
  <c r="G187"/>
  <c r="G186" s="1"/>
  <c r="M186"/>
  <c r="L186"/>
  <c r="K186"/>
  <c r="J186"/>
  <c r="I186"/>
  <c r="H186"/>
  <c r="G185"/>
  <c r="G184"/>
  <c r="G183"/>
  <c r="G182" s="1"/>
  <c r="M182"/>
  <c r="L182"/>
  <c r="K182"/>
  <c r="J182"/>
  <c r="I182"/>
  <c r="H182"/>
  <c r="G181"/>
  <c r="G180"/>
  <c r="Q179"/>
  <c r="P179"/>
  <c r="I179"/>
  <c r="G179" s="1"/>
  <c r="M178"/>
  <c r="L178"/>
  <c r="K178"/>
  <c r="J178"/>
  <c r="I178"/>
  <c r="H178"/>
  <c r="G178"/>
  <c r="G177"/>
  <c r="I176"/>
  <c r="G175"/>
  <c r="M174"/>
  <c r="L174"/>
  <c r="K174"/>
  <c r="J174"/>
  <c r="H174"/>
  <c r="G173"/>
  <c r="G172"/>
  <c r="Q171"/>
  <c r="P171"/>
  <c r="G171"/>
  <c r="G170" s="1"/>
  <c r="M170"/>
  <c r="L170"/>
  <c r="K170"/>
  <c r="J170"/>
  <c r="I170"/>
  <c r="H170"/>
  <c r="G169"/>
  <c r="G168"/>
  <c r="Q167"/>
  <c r="P167"/>
  <c r="K167"/>
  <c r="G167" s="1"/>
  <c r="G166" s="1"/>
  <c r="M166"/>
  <c r="L166"/>
  <c r="J166"/>
  <c r="I166"/>
  <c r="H166"/>
  <c r="G165"/>
  <c r="K164"/>
  <c r="J164"/>
  <c r="H164"/>
  <c r="G164" s="1"/>
  <c r="Q163"/>
  <c r="P163"/>
  <c r="L163"/>
  <c r="L159" s="1"/>
  <c r="L158" s="1"/>
  <c r="K163"/>
  <c r="J163"/>
  <c r="J159" s="1"/>
  <c r="I163"/>
  <c r="G163"/>
  <c r="G162" s="1"/>
  <c r="M162"/>
  <c r="L162"/>
  <c r="I162"/>
  <c r="H162"/>
  <c r="M161"/>
  <c r="L161"/>
  <c r="K161"/>
  <c r="J161"/>
  <c r="I161"/>
  <c r="H161"/>
  <c r="G161"/>
  <c r="M160"/>
  <c r="L160"/>
  <c r="J160"/>
  <c r="H160"/>
  <c r="M159"/>
  <c r="K159"/>
  <c r="J158"/>
  <c r="G157"/>
  <c r="G156"/>
  <c r="G155"/>
  <c r="M154"/>
  <c r="L154"/>
  <c r="K154"/>
  <c r="J154"/>
  <c r="I154"/>
  <c r="H154"/>
  <c r="G154"/>
  <c r="G153"/>
  <c r="G152"/>
  <c r="G151"/>
  <c r="M150"/>
  <c r="L150"/>
  <c r="K150"/>
  <c r="J150"/>
  <c r="I150"/>
  <c r="H150"/>
  <c r="G150"/>
  <c r="G149"/>
  <c r="G148"/>
  <c r="G147"/>
  <c r="M146"/>
  <c r="L146"/>
  <c r="K146"/>
  <c r="J146"/>
  <c r="I146"/>
  <c r="H146"/>
  <c r="G146"/>
  <c r="J145"/>
  <c r="G145"/>
  <c r="J144"/>
  <c r="H144"/>
  <c r="G144" s="1"/>
  <c r="J143"/>
  <c r="G143" s="1"/>
  <c r="G142" s="1"/>
  <c r="M142"/>
  <c r="L142"/>
  <c r="K142"/>
  <c r="I142"/>
  <c r="G141"/>
  <c r="J140"/>
  <c r="G140" s="1"/>
  <c r="J139"/>
  <c r="I139"/>
  <c r="G139"/>
  <c r="M138"/>
  <c r="L138"/>
  <c r="K138"/>
  <c r="J138"/>
  <c r="I138"/>
  <c r="H138"/>
  <c r="G137"/>
  <c r="G136"/>
  <c r="I135"/>
  <c r="G135" s="1"/>
  <c r="G134" s="1"/>
  <c r="M134"/>
  <c r="L134"/>
  <c r="K134"/>
  <c r="J134"/>
  <c r="I134"/>
  <c r="H134"/>
  <c r="G133"/>
  <c r="G132"/>
  <c r="J131"/>
  <c r="I131"/>
  <c r="G131" s="1"/>
  <c r="G130" s="1"/>
  <c r="M130"/>
  <c r="L130"/>
  <c r="K130"/>
  <c r="J130"/>
  <c r="I130"/>
  <c r="H130"/>
  <c r="M129"/>
  <c r="L129"/>
  <c r="K129"/>
  <c r="J129"/>
  <c r="I129"/>
  <c r="H129"/>
  <c r="G129" s="1"/>
  <c r="M128"/>
  <c r="L128"/>
  <c r="K128"/>
  <c r="I128"/>
  <c r="M127"/>
  <c r="L127"/>
  <c r="L126" s="1"/>
  <c r="K127"/>
  <c r="J127"/>
  <c r="H127"/>
  <c r="M126"/>
  <c r="K126"/>
  <c r="G125"/>
  <c r="J124"/>
  <c r="I124"/>
  <c r="H124"/>
  <c r="G124" s="1"/>
  <c r="G123"/>
  <c r="G122" s="1"/>
  <c r="M122"/>
  <c r="L122"/>
  <c r="K122"/>
  <c r="J122"/>
  <c r="I122"/>
  <c r="H122"/>
  <c r="G121"/>
  <c r="G120"/>
  <c r="I119"/>
  <c r="I118" s="1"/>
  <c r="H119"/>
  <c r="G119"/>
  <c r="G118" s="1"/>
  <c r="M118"/>
  <c r="L118"/>
  <c r="K118"/>
  <c r="J118"/>
  <c r="H118"/>
  <c r="G117"/>
  <c r="H116"/>
  <c r="G116"/>
  <c r="I115"/>
  <c r="H115"/>
  <c r="G115" s="1"/>
  <c r="G114" s="1"/>
  <c r="M114"/>
  <c r="L114"/>
  <c r="K114"/>
  <c r="J114"/>
  <c r="I114"/>
  <c r="G113"/>
  <c r="G112"/>
  <c r="G111"/>
  <c r="M110"/>
  <c r="L110"/>
  <c r="K110"/>
  <c r="J110"/>
  <c r="I110"/>
  <c r="H110"/>
  <c r="G110"/>
  <c r="G109"/>
  <c r="G108"/>
  <c r="G107"/>
  <c r="M106"/>
  <c r="L106"/>
  <c r="K106"/>
  <c r="J106"/>
  <c r="I106"/>
  <c r="H106"/>
  <c r="G106"/>
  <c r="G105"/>
  <c r="J104"/>
  <c r="I104"/>
  <c r="H104"/>
  <c r="G104" s="1"/>
  <c r="J103"/>
  <c r="J99" s="1"/>
  <c r="J98" s="1"/>
  <c r="I103"/>
  <c r="G103"/>
  <c r="M102"/>
  <c r="L102"/>
  <c r="K102"/>
  <c r="J102"/>
  <c r="I102"/>
  <c r="H102"/>
  <c r="M101"/>
  <c r="M13" s="1"/>
  <c r="L101"/>
  <c r="K101"/>
  <c r="K13" s="1"/>
  <c r="J101"/>
  <c r="I101"/>
  <c r="I13" s="1"/>
  <c r="H101"/>
  <c r="G101"/>
  <c r="M100"/>
  <c r="L100"/>
  <c r="K100"/>
  <c r="J100"/>
  <c r="I100"/>
  <c r="H100"/>
  <c r="G100" s="1"/>
  <c r="M99"/>
  <c r="M98" s="1"/>
  <c r="L99"/>
  <c r="K99"/>
  <c r="K98" s="1"/>
  <c r="I99"/>
  <c r="I98" s="1"/>
  <c r="L98"/>
  <c r="G97"/>
  <c r="G96"/>
  <c r="G95"/>
  <c r="G94" s="1"/>
  <c r="M94"/>
  <c r="L94"/>
  <c r="K94"/>
  <c r="J94"/>
  <c r="I94"/>
  <c r="H94"/>
  <c r="G93"/>
  <c r="G92"/>
  <c r="G91"/>
  <c r="G90" s="1"/>
  <c r="M90"/>
  <c r="L90"/>
  <c r="K90"/>
  <c r="J90"/>
  <c r="I90"/>
  <c r="H90"/>
  <c r="G89"/>
  <c r="J88"/>
  <c r="I88"/>
  <c r="G88" s="1"/>
  <c r="I87"/>
  <c r="G87" s="1"/>
  <c r="M86"/>
  <c r="L86"/>
  <c r="K86"/>
  <c r="J86"/>
  <c r="I86"/>
  <c r="H86"/>
  <c r="G85"/>
  <c r="G84"/>
  <c r="J83"/>
  <c r="I83"/>
  <c r="G83" s="1"/>
  <c r="G82" s="1"/>
  <c r="M82"/>
  <c r="L82"/>
  <c r="K82"/>
  <c r="J82"/>
  <c r="I82"/>
  <c r="H82"/>
  <c r="G81"/>
  <c r="J80"/>
  <c r="G80" s="1"/>
  <c r="J79"/>
  <c r="G79" s="1"/>
  <c r="G78" s="1"/>
  <c r="M78"/>
  <c r="L78"/>
  <c r="K78"/>
  <c r="I78"/>
  <c r="H78"/>
  <c r="G77"/>
  <c r="G76"/>
  <c r="I75"/>
  <c r="G75"/>
  <c r="G74" s="1"/>
  <c r="M74"/>
  <c r="L74"/>
  <c r="K74"/>
  <c r="J74"/>
  <c r="I74"/>
  <c r="H74"/>
  <c r="G73"/>
  <c r="G72"/>
  <c r="I71"/>
  <c r="G71" s="1"/>
  <c r="G70" s="1"/>
  <c r="M70"/>
  <c r="L70"/>
  <c r="K70"/>
  <c r="J70"/>
  <c r="I70"/>
  <c r="H70"/>
  <c r="G69"/>
  <c r="G68"/>
  <c r="G67"/>
  <c r="M66"/>
  <c r="L66"/>
  <c r="K66"/>
  <c r="J66"/>
  <c r="I66"/>
  <c r="H66"/>
  <c r="G66"/>
  <c r="G65"/>
  <c r="G64"/>
  <c r="J63"/>
  <c r="I63"/>
  <c r="G63" s="1"/>
  <c r="G62" s="1"/>
  <c r="M62"/>
  <c r="L62"/>
  <c r="K62"/>
  <c r="J62"/>
  <c r="I62"/>
  <c r="H62"/>
  <c r="G61"/>
  <c r="G60"/>
  <c r="G59"/>
  <c r="M58"/>
  <c r="L58"/>
  <c r="K58"/>
  <c r="J58"/>
  <c r="I58"/>
  <c r="H58"/>
  <c r="G58"/>
  <c r="G57"/>
  <c r="G56"/>
  <c r="G55"/>
  <c r="M54"/>
  <c r="L54"/>
  <c r="K54"/>
  <c r="J54"/>
  <c r="I54"/>
  <c r="H54"/>
  <c r="G54"/>
  <c r="G53"/>
  <c r="J52"/>
  <c r="J50" s="1"/>
  <c r="I52"/>
  <c r="H52"/>
  <c r="G52" s="1"/>
  <c r="I51"/>
  <c r="G51" s="1"/>
  <c r="M50"/>
  <c r="L50"/>
  <c r="K50"/>
  <c r="I50"/>
  <c r="G49"/>
  <c r="G48"/>
  <c r="G47"/>
  <c r="M46"/>
  <c r="L46"/>
  <c r="K46"/>
  <c r="J46"/>
  <c r="I46"/>
  <c r="H46"/>
  <c r="G46"/>
  <c r="G45"/>
  <c r="O44"/>
  <c r="G44"/>
  <c r="G43"/>
  <c r="G42" s="1"/>
  <c r="M42"/>
  <c r="L42"/>
  <c r="K42"/>
  <c r="J42"/>
  <c r="I42"/>
  <c r="H42"/>
  <c r="G41"/>
  <c r="G38" s="1"/>
  <c r="G40"/>
  <c r="G39"/>
  <c r="M38"/>
  <c r="L38"/>
  <c r="K38"/>
  <c r="J38"/>
  <c r="I38"/>
  <c r="H38"/>
  <c r="M37"/>
  <c r="L37"/>
  <c r="K37"/>
  <c r="J37"/>
  <c r="J13" s="1"/>
  <c r="I37"/>
  <c r="H37"/>
  <c r="G37" s="1"/>
  <c r="M36"/>
  <c r="L36"/>
  <c r="L12" s="1"/>
  <c r="K36"/>
  <c r="J36"/>
  <c r="H36"/>
  <c r="M35"/>
  <c r="L35"/>
  <c r="K35"/>
  <c r="J35"/>
  <c r="H35"/>
  <c r="M34"/>
  <c r="K34"/>
  <c r="G33"/>
  <c r="G32"/>
  <c r="G31"/>
  <c r="M30"/>
  <c r="L30"/>
  <c r="K30"/>
  <c r="J30"/>
  <c r="I30"/>
  <c r="H30"/>
  <c r="G30"/>
  <c r="G29"/>
  <c r="J28"/>
  <c r="G28" s="1"/>
  <c r="G27"/>
  <c r="M26"/>
  <c r="L26"/>
  <c r="K26"/>
  <c r="I26"/>
  <c r="H26"/>
  <c r="G25"/>
  <c r="G24"/>
  <c r="I23"/>
  <c r="G23" s="1"/>
  <c r="G22" s="1"/>
  <c r="M22"/>
  <c r="L22"/>
  <c r="K22"/>
  <c r="J22"/>
  <c r="H22"/>
  <c r="G21"/>
  <c r="J20"/>
  <c r="I20"/>
  <c r="H20"/>
  <c r="I19"/>
  <c r="M18"/>
  <c r="L18"/>
  <c r="K18"/>
  <c r="I18"/>
  <c r="M17"/>
  <c r="L17"/>
  <c r="K17"/>
  <c r="J17"/>
  <c r="I17"/>
  <c r="H17"/>
  <c r="G17" s="1"/>
  <c r="M16"/>
  <c r="M12" s="1"/>
  <c r="L16"/>
  <c r="K16"/>
  <c r="K14" s="1"/>
  <c r="I16"/>
  <c r="M15"/>
  <c r="L15"/>
  <c r="L14" s="1"/>
  <c r="K15"/>
  <c r="J15"/>
  <c r="H15"/>
  <c r="M14"/>
  <c r="L13"/>
  <c r="H13"/>
  <c r="K12"/>
  <c r="J11"/>
  <c r="M6"/>
  <c r="L6"/>
  <c r="K6"/>
  <c r="M5"/>
  <c r="L5"/>
  <c r="K5"/>
  <c r="J5"/>
  <c r="I5"/>
  <c r="G13" l="1"/>
  <c r="G19"/>
  <c r="I15"/>
  <c r="G35"/>
  <c r="H34"/>
  <c r="M312"/>
  <c r="J6"/>
  <c r="H11"/>
  <c r="L11"/>
  <c r="L10" s="1"/>
  <c r="G15"/>
  <c r="G20"/>
  <c r="H18"/>
  <c r="H16"/>
  <c r="J18"/>
  <c r="J16"/>
  <c r="I22"/>
  <c r="J26"/>
  <c r="G26"/>
  <c r="J34"/>
  <c r="L34"/>
  <c r="G50"/>
  <c r="G86"/>
  <c r="G102"/>
  <c r="G138"/>
  <c r="L313"/>
  <c r="J313"/>
  <c r="G160"/>
  <c r="G176"/>
  <c r="I174"/>
  <c r="I160"/>
  <c r="G195"/>
  <c r="G194" s="1"/>
  <c r="H159"/>
  <c r="G251"/>
  <c r="G250" s="1"/>
  <c r="H250"/>
  <c r="G287"/>
  <c r="G286" s="1"/>
  <c r="H286"/>
  <c r="G303"/>
  <c r="G302" s="1"/>
  <c r="H302"/>
  <c r="I313"/>
  <c r="K313"/>
  <c r="M313"/>
  <c r="J311"/>
  <c r="H313"/>
  <c r="G313" s="1"/>
  <c r="K11"/>
  <c r="K10" s="1"/>
  <c r="M11"/>
  <c r="M10" s="1"/>
  <c r="I35"/>
  <c r="I36"/>
  <c r="I12" s="1"/>
  <c r="I312" s="1"/>
  <c r="H50"/>
  <c r="J78"/>
  <c r="H99"/>
  <c r="H114"/>
  <c r="I127"/>
  <c r="I126" s="1"/>
  <c r="H128"/>
  <c r="J128"/>
  <c r="J126" s="1"/>
  <c r="H142"/>
  <c r="J142"/>
  <c r="I159"/>
  <c r="I158" s="1"/>
  <c r="M158"/>
  <c r="J162"/>
  <c r="K162"/>
  <c r="K160"/>
  <c r="K312" s="1"/>
  <c r="K166"/>
  <c r="G174"/>
  <c r="H194"/>
  <c r="G199"/>
  <c r="G198" s="1"/>
  <c r="H198"/>
  <c r="H226"/>
  <c r="G231"/>
  <c r="G230" s="1"/>
  <c r="H230"/>
  <c r="G235"/>
  <c r="G234" s="1"/>
  <c r="H234"/>
  <c r="I242"/>
  <c r="G247"/>
  <c r="G246" s="1"/>
  <c r="I227"/>
  <c r="I226" s="1"/>
  <c r="J250"/>
  <c r="L250"/>
  <c r="G255"/>
  <c r="G254" s="1"/>
  <c r="I251"/>
  <c r="I250" s="1"/>
  <c r="I258"/>
  <c r="G291"/>
  <c r="G290" s="1"/>
  <c r="H290"/>
  <c r="G295"/>
  <c r="G294" s="1"/>
  <c r="H294"/>
  <c r="J294"/>
  <c r="L294"/>
  <c r="I302"/>
  <c r="M302"/>
  <c r="K311"/>
  <c r="L312"/>
  <c r="L311"/>
  <c r="L310" s="1"/>
  <c r="L315" s="1"/>
  <c r="K310" l="1"/>
  <c r="K315" s="1"/>
  <c r="J12"/>
  <c r="H12"/>
  <c r="G16"/>
  <c r="G14" s="1"/>
  <c r="G11"/>
  <c r="H10"/>
  <c r="G36"/>
  <c r="G34" s="1"/>
  <c r="G18"/>
  <c r="H311"/>
  <c r="M311"/>
  <c r="M310" s="1"/>
  <c r="M315" s="1"/>
  <c r="G227"/>
  <c r="G226" s="1"/>
  <c r="G128"/>
  <c r="H126"/>
  <c r="G99"/>
  <c r="G98" s="1"/>
  <c r="H98"/>
  <c r="I34"/>
  <c r="H158"/>
  <c r="G159"/>
  <c r="G158" s="1"/>
  <c r="K158"/>
  <c r="G127"/>
  <c r="H14"/>
  <c r="I11"/>
  <c r="I14"/>
  <c r="J14"/>
  <c r="AO38" l="1"/>
  <c r="AO36"/>
  <c r="AO35"/>
  <c r="AO37"/>
  <c r="J10"/>
  <c r="J312"/>
  <c r="J310" s="1"/>
  <c r="J315" s="1"/>
  <c r="I10"/>
  <c r="I311"/>
  <c r="I310" s="1"/>
  <c r="I315" s="1"/>
  <c r="G126"/>
  <c r="G311"/>
  <c r="G12"/>
  <c r="G10" s="1"/>
  <c r="H312"/>
  <c r="G312" s="1"/>
  <c r="H310" l="1"/>
  <c r="G310"/>
  <c r="AO39"/>
  <c r="L314" i="74" l="1"/>
  <c r="M314"/>
  <c r="K314"/>
  <c r="K164"/>
  <c r="M124"/>
  <c r="M88"/>
  <c r="K51"/>
  <c r="M28"/>
  <c r="K20"/>
  <c r="H159" l="1"/>
  <c r="I159" l="1"/>
  <c r="K159"/>
  <c r="L159"/>
  <c r="L158" s="1"/>
  <c r="M159"/>
  <c r="I160"/>
  <c r="K160"/>
  <c r="L160"/>
  <c r="M160"/>
  <c r="M158" s="1"/>
  <c r="I161"/>
  <c r="J161"/>
  <c r="K161"/>
  <c r="L161"/>
  <c r="M161"/>
  <c r="H160"/>
  <c r="H161"/>
  <c r="G169"/>
  <c r="G168"/>
  <c r="P167"/>
  <c r="Q167" s="1"/>
  <c r="K167"/>
  <c r="G167"/>
  <c r="M166"/>
  <c r="L166"/>
  <c r="K166"/>
  <c r="J166"/>
  <c r="I166"/>
  <c r="H166"/>
  <c r="J314"/>
  <c r="I314"/>
  <c r="G309"/>
  <c r="G308"/>
  <c r="G307"/>
  <c r="M306"/>
  <c r="L306"/>
  <c r="K306"/>
  <c r="J306"/>
  <c r="I306"/>
  <c r="H306"/>
  <c r="G306"/>
  <c r="M305"/>
  <c r="L305"/>
  <c r="K305"/>
  <c r="J305"/>
  <c r="I305"/>
  <c r="H305"/>
  <c r="G305" s="1"/>
  <c r="M304"/>
  <c r="L304"/>
  <c r="K304"/>
  <c r="J304"/>
  <c r="I304"/>
  <c r="H304"/>
  <c r="G304"/>
  <c r="M303"/>
  <c r="L303"/>
  <c r="L302" s="1"/>
  <c r="K303"/>
  <c r="J303"/>
  <c r="J302" s="1"/>
  <c r="I303"/>
  <c r="H303"/>
  <c r="K302"/>
  <c r="G301"/>
  <c r="G300"/>
  <c r="G299"/>
  <c r="M298"/>
  <c r="L298"/>
  <c r="K298"/>
  <c r="J298"/>
  <c r="I298"/>
  <c r="H298"/>
  <c r="G298"/>
  <c r="M297"/>
  <c r="L297"/>
  <c r="K297"/>
  <c r="J297"/>
  <c r="I297"/>
  <c r="H297"/>
  <c r="G297" s="1"/>
  <c r="M296"/>
  <c r="L296"/>
  <c r="K296"/>
  <c r="J296"/>
  <c r="I296"/>
  <c r="H296"/>
  <c r="G296"/>
  <c r="M295"/>
  <c r="L295"/>
  <c r="K295"/>
  <c r="J295"/>
  <c r="I295"/>
  <c r="H295"/>
  <c r="M294"/>
  <c r="K294"/>
  <c r="I294"/>
  <c r="G293"/>
  <c r="G292"/>
  <c r="G291"/>
  <c r="G290" s="1"/>
  <c r="J291"/>
  <c r="J287" s="1"/>
  <c r="H291"/>
  <c r="M290"/>
  <c r="L290"/>
  <c r="K290"/>
  <c r="J290"/>
  <c r="I290"/>
  <c r="H290"/>
  <c r="M289"/>
  <c r="L289"/>
  <c r="K289"/>
  <c r="J289"/>
  <c r="I289"/>
  <c r="H289"/>
  <c r="G289"/>
  <c r="M288"/>
  <c r="L288"/>
  <c r="K288"/>
  <c r="J288"/>
  <c r="I288"/>
  <c r="H288"/>
  <c r="G288" s="1"/>
  <c r="M287"/>
  <c r="L287"/>
  <c r="I287"/>
  <c r="I286" s="1"/>
  <c r="H287"/>
  <c r="J286"/>
  <c r="G285"/>
  <c r="G284"/>
  <c r="G283"/>
  <c r="G282" s="1"/>
  <c r="M282"/>
  <c r="L282"/>
  <c r="K282"/>
  <c r="J282"/>
  <c r="I282"/>
  <c r="H282"/>
  <c r="G281"/>
  <c r="G280"/>
  <c r="G279"/>
  <c r="G278" s="1"/>
  <c r="M278"/>
  <c r="L278"/>
  <c r="K278"/>
  <c r="J278"/>
  <c r="I278"/>
  <c r="H278"/>
  <c r="G277"/>
  <c r="G276"/>
  <c r="G275"/>
  <c r="G274" s="1"/>
  <c r="M274"/>
  <c r="L274"/>
  <c r="K274"/>
  <c r="J274"/>
  <c r="I274"/>
  <c r="H274"/>
  <c r="G273"/>
  <c r="G272"/>
  <c r="G271"/>
  <c r="M270"/>
  <c r="L270"/>
  <c r="K270"/>
  <c r="J270"/>
  <c r="I270"/>
  <c r="H270"/>
  <c r="G270"/>
  <c r="G269"/>
  <c r="G268"/>
  <c r="G267"/>
  <c r="G266" s="1"/>
  <c r="M266"/>
  <c r="L266"/>
  <c r="K266"/>
  <c r="J266"/>
  <c r="I266"/>
  <c r="H266"/>
  <c r="G265"/>
  <c r="G264"/>
  <c r="G263"/>
  <c r="M262"/>
  <c r="L262"/>
  <c r="K262"/>
  <c r="J262"/>
  <c r="I262"/>
  <c r="H262"/>
  <c r="G262"/>
  <c r="G261"/>
  <c r="G260"/>
  <c r="J259"/>
  <c r="I259"/>
  <c r="G259"/>
  <c r="G258" s="1"/>
  <c r="M258"/>
  <c r="L258"/>
  <c r="K258"/>
  <c r="J258"/>
  <c r="I258"/>
  <c r="H258"/>
  <c r="G257"/>
  <c r="G256"/>
  <c r="K251"/>
  <c r="K250" s="1"/>
  <c r="J255"/>
  <c r="J254" s="1"/>
  <c r="I255"/>
  <c r="M254"/>
  <c r="L254"/>
  <c r="K254"/>
  <c r="I254"/>
  <c r="H254"/>
  <c r="M253"/>
  <c r="L253"/>
  <c r="K253"/>
  <c r="J253"/>
  <c r="I253"/>
  <c r="H253"/>
  <c r="G253" s="1"/>
  <c r="M252"/>
  <c r="L252"/>
  <c r="K252"/>
  <c r="J252"/>
  <c r="I252"/>
  <c r="H252"/>
  <c r="G252"/>
  <c r="M251"/>
  <c r="M250" s="1"/>
  <c r="L251"/>
  <c r="H251"/>
  <c r="G249"/>
  <c r="I248"/>
  <c r="G248"/>
  <c r="I247"/>
  <c r="G247"/>
  <c r="G246" s="1"/>
  <c r="L246"/>
  <c r="J246"/>
  <c r="I246"/>
  <c r="H246"/>
  <c r="G245"/>
  <c r="G244"/>
  <c r="J243"/>
  <c r="I243"/>
  <c r="G243"/>
  <c r="G242" s="1"/>
  <c r="M242"/>
  <c r="L242"/>
  <c r="K242"/>
  <c r="J242"/>
  <c r="I242"/>
  <c r="H242"/>
  <c r="G241"/>
  <c r="G240"/>
  <c r="G239"/>
  <c r="G238" s="1"/>
  <c r="M238"/>
  <c r="L238"/>
  <c r="K238"/>
  <c r="J238"/>
  <c r="I238"/>
  <c r="H238"/>
  <c r="G237"/>
  <c r="G236"/>
  <c r="J235"/>
  <c r="H235"/>
  <c r="G235"/>
  <c r="G234" s="1"/>
  <c r="M234"/>
  <c r="L234"/>
  <c r="K234"/>
  <c r="J234"/>
  <c r="I234"/>
  <c r="H234"/>
  <c r="G233"/>
  <c r="G232"/>
  <c r="J231"/>
  <c r="H231"/>
  <c r="G231"/>
  <c r="G230" s="1"/>
  <c r="M230"/>
  <c r="L230"/>
  <c r="K230"/>
  <c r="J230"/>
  <c r="I230"/>
  <c r="H230"/>
  <c r="M229"/>
  <c r="L229"/>
  <c r="K229"/>
  <c r="J229"/>
  <c r="I229"/>
  <c r="H229"/>
  <c r="G229"/>
  <c r="L228"/>
  <c r="L226" s="1"/>
  <c r="J228"/>
  <c r="I228"/>
  <c r="H228"/>
  <c r="M227"/>
  <c r="L227"/>
  <c r="K227"/>
  <c r="I227"/>
  <c r="I226" s="1"/>
  <c r="H227"/>
  <c r="G225"/>
  <c r="G224"/>
  <c r="G223"/>
  <c r="G222" s="1"/>
  <c r="M222"/>
  <c r="L222"/>
  <c r="K222"/>
  <c r="J222"/>
  <c r="I222"/>
  <c r="H222"/>
  <c r="G221"/>
  <c r="G220"/>
  <c r="G219"/>
  <c r="G218" s="1"/>
  <c r="M218"/>
  <c r="L218"/>
  <c r="K218"/>
  <c r="J218"/>
  <c r="I218"/>
  <c r="H218"/>
  <c r="G217"/>
  <c r="G216"/>
  <c r="G215"/>
  <c r="G214" s="1"/>
  <c r="M214"/>
  <c r="L214"/>
  <c r="K214"/>
  <c r="J214"/>
  <c r="I214"/>
  <c r="H214"/>
  <c r="P213"/>
  <c r="G213"/>
  <c r="G212"/>
  <c r="G211"/>
  <c r="J211"/>
  <c r="H211"/>
  <c r="M210"/>
  <c r="L210"/>
  <c r="K210"/>
  <c r="J210"/>
  <c r="I210"/>
  <c r="H210"/>
  <c r="G209"/>
  <c r="G208"/>
  <c r="K206"/>
  <c r="I207"/>
  <c r="H207"/>
  <c r="M206"/>
  <c r="L206"/>
  <c r="J206"/>
  <c r="I206"/>
  <c r="G205"/>
  <c r="G204"/>
  <c r="G203"/>
  <c r="M202"/>
  <c r="L202"/>
  <c r="K202"/>
  <c r="J202"/>
  <c r="I202"/>
  <c r="H202"/>
  <c r="G202"/>
  <c r="G201"/>
  <c r="J200"/>
  <c r="G200" s="1"/>
  <c r="J199"/>
  <c r="H199"/>
  <c r="G199"/>
  <c r="M198"/>
  <c r="L198"/>
  <c r="K198"/>
  <c r="I198"/>
  <c r="H198"/>
  <c r="G197"/>
  <c r="H196"/>
  <c r="G196"/>
  <c r="H195"/>
  <c r="G195"/>
  <c r="W194"/>
  <c r="M194"/>
  <c r="L194"/>
  <c r="K194"/>
  <c r="J194"/>
  <c r="I194"/>
  <c r="H194"/>
  <c r="G194"/>
  <c r="G193"/>
  <c r="G192"/>
  <c r="G191"/>
  <c r="M190"/>
  <c r="L190"/>
  <c r="J190"/>
  <c r="I190"/>
  <c r="G190"/>
  <c r="G189"/>
  <c r="G188"/>
  <c r="G187"/>
  <c r="M186"/>
  <c r="L186"/>
  <c r="K186"/>
  <c r="J186"/>
  <c r="I186"/>
  <c r="H186"/>
  <c r="G186"/>
  <c r="G185"/>
  <c r="G184"/>
  <c r="G183"/>
  <c r="M182"/>
  <c r="L182"/>
  <c r="K182"/>
  <c r="J182"/>
  <c r="I182"/>
  <c r="H182"/>
  <c r="G182"/>
  <c r="G181"/>
  <c r="G180"/>
  <c r="P179"/>
  <c r="Q179" s="1"/>
  <c r="I179"/>
  <c r="G179"/>
  <c r="M178"/>
  <c r="L178"/>
  <c r="K178"/>
  <c r="J178"/>
  <c r="I178"/>
  <c r="H178"/>
  <c r="G177"/>
  <c r="I176"/>
  <c r="G176"/>
  <c r="G175"/>
  <c r="M174"/>
  <c r="L174"/>
  <c r="K174"/>
  <c r="J174"/>
  <c r="I174"/>
  <c r="H174"/>
  <c r="G174"/>
  <c r="G173"/>
  <c r="G172"/>
  <c r="P171"/>
  <c r="Q171" s="1"/>
  <c r="G171"/>
  <c r="M170"/>
  <c r="L170"/>
  <c r="K170"/>
  <c r="J170"/>
  <c r="I170"/>
  <c r="H170"/>
  <c r="G165"/>
  <c r="J164"/>
  <c r="H164"/>
  <c r="G164"/>
  <c r="P163"/>
  <c r="Q163" s="1"/>
  <c r="L163"/>
  <c r="K163"/>
  <c r="J163"/>
  <c r="J159" s="1"/>
  <c r="I163"/>
  <c r="M162"/>
  <c r="L162"/>
  <c r="K162"/>
  <c r="I162"/>
  <c r="H162"/>
  <c r="G157"/>
  <c r="G156"/>
  <c r="G155"/>
  <c r="M154"/>
  <c r="L154"/>
  <c r="K154"/>
  <c r="J154"/>
  <c r="I154"/>
  <c r="H154"/>
  <c r="G153"/>
  <c r="G152"/>
  <c r="G151"/>
  <c r="G150" s="1"/>
  <c r="M150"/>
  <c r="L150"/>
  <c r="J150"/>
  <c r="I150"/>
  <c r="H150"/>
  <c r="G149"/>
  <c r="G148"/>
  <c r="M146"/>
  <c r="L146"/>
  <c r="J146"/>
  <c r="I146"/>
  <c r="H146"/>
  <c r="J145"/>
  <c r="G145" s="1"/>
  <c r="J144"/>
  <c r="J128" s="1"/>
  <c r="H144"/>
  <c r="G143"/>
  <c r="J143"/>
  <c r="M142"/>
  <c r="L142"/>
  <c r="I142"/>
  <c r="H142"/>
  <c r="G141"/>
  <c r="J140"/>
  <c r="G140"/>
  <c r="J139"/>
  <c r="I139"/>
  <c r="G139" s="1"/>
  <c r="G138" s="1"/>
  <c r="M138"/>
  <c r="L138"/>
  <c r="K138"/>
  <c r="J138"/>
  <c r="I138"/>
  <c r="H138"/>
  <c r="G137"/>
  <c r="G136"/>
  <c r="K134"/>
  <c r="I135"/>
  <c r="G135"/>
  <c r="G134" s="1"/>
  <c r="M134"/>
  <c r="L134"/>
  <c r="J134"/>
  <c r="I134"/>
  <c r="H134"/>
  <c r="G133"/>
  <c r="L128"/>
  <c r="G132"/>
  <c r="J131"/>
  <c r="J127" s="1"/>
  <c r="I131"/>
  <c r="G131"/>
  <c r="M130"/>
  <c r="L130"/>
  <c r="K130"/>
  <c r="J130"/>
  <c r="I130"/>
  <c r="H130"/>
  <c r="M129"/>
  <c r="L129"/>
  <c r="K129"/>
  <c r="I129"/>
  <c r="H129"/>
  <c r="M128"/>
  <c r="I128"/>
  <c r="H128"/>
  <c r="H126" s="1"/>
  <c r="L127"/>
  <c r="I127"/>
  <c r="I126" s="1"/>
  <c r="H127"/>
  <c r="G125"/>
  <c r="J124"/>
  <c r="I124"/>
  <c r="H124"/>
  <c r="G124" s="1"/>
  <c r="G123"/>
  <c r="M122"/>
  <c r="K122"/>
  <c r="I122"/>
  <c r="G121"/>
  <c r="G120"/>
  <c r="K118"/>
  <c r="I119"/>
  <c r="H119"/>
  <c r="M118"/>
  <c r="L118"/>
  <c r="J118"/>
  <c r="I118"/>
  <c r="G117"/>
  <c r="M114"/>
  <c r="H116"/>
  <c r="G116"/>
  <c r="G115"/>
  <c r="I115"/>
  <c r="I114" s="1"/>
  <c r="H115"/>
  <c r="J114"/>
  <c r="H114"/>
  <c r="G113"/>
  <c r="G112"/>
  <c r="G111"/>
  <c r="G110" s="1"/>
  <c r="M110"/>
  <c r="L110"/>
  <c r="K110"/>
  <c r="J110"/>
  <c r="I110"/>
  <c r="H110"/>
  <c r="G109"/>
  <c r="G108"/>
  <c r="G107"/>
  <c r="G106" s="1"/>
  <c r="M106"/>
  <c r="L106"/>
  <c r="K106"/>
  <c r="J106"/>
  <c r="I106"/>
  <c r="H106"/>
  <c r="G105"/>
  <c r="J104"/>
  <c r="I104"/>
  <c r="H104"/>
  <c r="J103"/>
  <c r="I103"/>
  <c r="M102"/>
  <c r="K102"/>
  <c r="I102"/>
  <c r="M101"/>
  <c r="L101"/>
  <c r="K101"/>
  <c r="J101"/>
  <c r="I101"/>
  <c r="H101"/>
  <c r="M100"/>
  <c r="I100"/>
  <c r="M99"/>
  <c r="J99"/>
  <c r="M98"/>
  <c r="G97"/>
  <c r="G96"/>
  <c r="G95"/>
  <c r="M94"/>
  <c r="L94"/>
  <c r="K94"/>
  <c r="J94"/>
  <c r="I94"/>
  <c r="H94"/>
  <c r="G94"/>
  <c r="G93"/>
  <c r="G92"/>
  <c r="G91"/>
  <c r="M90"/>
  <c r="L90"/>
  <c r="K90"/>
  <c r="J90"/>
  <c r="I90"/>
  <c r="H90"/>
  <c r="G90"/>
  <c r="G89"/>
  <c r="J88"/>
  <c r="J36" s="1"/>
  <c r="I88"/>
  <c r="I87"/>
  <c r="G87" s="1"/>
  <c r="M86"/>
  <c r="L86"/>
  <c r="K86"/>
  <c r="J86"/>
  <c r="H86"/>
  <c r="G85"/>
  <c r="G84"/>
  <c r="G83"/>
  <c r="G82" s="1"/>
  <c r="J83"/>
  <c r="I83"/>
  <c r="M82"/>
  <c r="L82"/>
  <c r="K82"/>
  <c r="J82"/>
  <c r="I82"/>
  <c r="H82"/>
  <c r="G81"/>
  <c r="J80"/>
  <c r="G80" s="1"/>
  <c r="J79"/>
  <c r="M78"/>
  <c r="L78"/>
  <c r="K78"/>
  <c r="I78"/>
  <c r="H78"/>
  <c r="G77"/>
  <c r="G76"/>
  <c r="I75"/>
  <c r="M74"/>
  <c r="L74"/>
  <c r="K74"/>
  <c r="J74"/>
  <c r="H74"/>
  <c r="G73"/>
  <c r="G72"/>
  <c r="I71"/>
  <c r="G71"/>
  <c r="G70" s="1"/>
  <c r="M70"/>
  <c r="L70"/>
  <c r="K70"/>
  <c r="J70"/>
  <c r="I70"/>
  <c r="H70"/>
  <c r="G69"/>
  <c r="G68"/>
  <c r="G67"/>
  <c r="G66" s="1"/>
  <c r="M66"/>
  <c r="L66"/>
  <c r="K66"/>
  <c r="J66"/>
  <c r="I66"/>
  <c r="H66"/>
  <c r="G65"/>
  <c r="G64"/>
  <c r="J63"/>
  <c r="I63"/>
  <c r="G63"/>
  <c r="G62" s="1"/>
  <c r="M62"/>
  <c r="L62"/>
  <c r="K62"/>
  <c r="J62"/>
  <c r="I62"/>
  <c r="H62"/>
  <c r="G61"/>
  <c r="G60"/>
  <c r="G59"/>
  <c r="G58" s="1"/>
  <c r="M58"/>
  <c r="L58"/>
  <c r="K58"/>
  <c r="J58"/>
  <c r="I58"/>
  <c r="H58"/>
  <c r="M54"/>
  <c r="G57"/>
  <c r="G54" s="1"/>
  <c r="G56"/>
  <c r="G55"/>
  <c r="L54"/>
  <c r="J54"/>
  <c r="I54"/>
  <c r="H54"/>
  <c r="G53"/>
  <c r="L36"/>
  <c r="K36"/>
  <c r="J52"/>
  <c r="I52"/>
  <c r="I50" s="1"/>
  <c r="H52"/>
  <c r="G52"/>
  <c r="G51"/>
  <c r="K50"/>
  <c r="I51"/>
  <c r="L50"/>
  <c r="J50"/>
  <c r="H50"/>
  <c r="G49"/>
  <c r="G48"/>
  <c r="G47"/>
  <c r="G46" s="1"/>
  <c r="M46"/>
  <c r="L46"/>
  <c r="K46"/>
  <c r="J46"/>
  <c r="I46"/>
  <c r="H46"/>
  <c r="G45"/>
  <c r="O44"/>
  <c r="G44"/>
  <c r="G43"/>
  <c r="M42"/>
  <c r="L42"/>
  <c r="K42"/>
  <c r="J42"/>
  <c r="I42"/>
  <c r="H42"/>
  <c r="G42"/>
  <c r="G41"/>
  <c r="G40"/>
  <c r="G39"/>
  <c r="G38" s="1"/>
  <c r="M38"/>
  <c r="L38"/>
  <c r="K38"/>
  <c r="J38"/>
  <c r="I38"/>
  <c r="H38"/>
  <c r="M37"/>
  <c r="L37"/>
  <c r="K37"/>
  <c r="J37"/>
  <c r="I37"/>
  <c r="H37"/>
  <c r="G37"/>
  <c r="H36"/>
  <c r="M35"/>
  <c r="L35"/>
  <c r="K35"/>
  <c r="H35"/>
  <c r="H34"/>
  <c r="G33"/>
  <c r="L30"/>
  <c r="G32"/>
  <c r="G30" s="1"/>
  <c r="G31"/>
  <c r="M30"/>
  <c r="K30"/>
  <c r="J30"/>
  <c r="I30"/>
  <c r="H30"/>
  <c r="G29"/>
  <c r="M6"/>
  <c r="L26"/>
  <c r="J28"/>
  <c r="G28" s="1"/>
  <c r="G26" s="1"/>
  <c r="G27"/>
  <c r="M26"/>
  <c r="K26"/>
  <c r="I26"/>
  <c r="H26"/>
  <c r="G25"/>
  <c r="G24"/>
  <c r="I23"/>
  <c r="G23" s="1"/>
  <c r="M22"/>
  <c r="K22"/>
  <c r="J22"/>
  <c r="I22"/>
  <c r="H22"/>
  <c r="G22"/>
  <c r="G21"/>
  <c r="K16"/>
  <c r="J20"/>
  <c r="I20"/>
  <c r="H20"/>
  <c r="G20"/>
  <c r="K18"/>
  <c r="I19"/>
  <c r="G19"/>
  <c r="L18"/>
  <c r="J18"/>
  <c r="H18"/>
  <c r="M17"/>
  <c r="L17"/>
  <c r="K17"/>
  <c r="J17"/>
  <c r="I17"/>
  <c r="I13" s="1"/>
  <c r="H17"/>
  <c r="G17"/>
  <c r="J16"/>
  <c r="J14" s="1"/>
  <c r="H16"/>
  <c r="M15"/>
  <c r="J15"/>
  <c r="H15"/>
  <c r="H14" s="1"/>
  <c r="K6"/>
  <c r="J26" l="1"/>
  <c r="J160"/>
  <c r="G18"/>
  <c r="J129"/>
  <c r="G129" s="1"/>
  <c r="J142"/>
  <c r="L286"/>
  <c r="G210"/>
  <c r="G130"/>
  <c r="L13"/>
  <c r="K13"/>
  <c r="K313" s="1"/>
  <c r="G50"/>
  <c r="L34"/>
  <c r="M13"/>
  <c r="M313" s="1"/>
  <c r="G114"/>
  <c r="L126"/>
  <c r="G154"/>
  <c r="G166"/>
  <c r="G144"/>
  <c r="G142" s="1"/>
  <c r="J6"/>
  <c r="L6"/>
  <c r="K5"/>
  <c r="L16"/>
  <c r="M50"/>
  <c r="K54"/>
  <c r="G75"/>
  <c r="G74" s="1"/>
  <c r="G88"/>
  <c r="G86" s="1"/>
  <c r="L114"/>
  <c r="K114"/>
  <c r="M127"/>
  <c r="M126" s="1"/>
  <c r="K142"/>
  <c r="K150"/>
  <c r="G161"/>
  <c r="J251"/>
  <c r="J250" s="1"/>
  <c r="K287"/>
  <c r="G287" s="1"/>
  <c r="G286" s="1"/>
  <c r="I18"/>
  <c r="I16"/>
  <c r="M18"/>
  <c r="M16"/>
  <c r="M14" s="1"/>
  <c r="L22"/>
  <c r="L15"/>
  <c r="K34"/>
  <c r="G79"/>
  <c r="G78" s="1"/>
  <c r="J78"/>
  <c r="J98"/>
  <c r="G104"/>
  <c r="H102"/>
  <c r="H100"/>
  <c r="J102"/>
  <c r="J100"/>
  <c r="J12" s="1"/>
  <c r="J5"/>
  <c r="L102"/>
  <c r="L100"/>
  <c r="L5"/>
  <c r="G119"/>
  <c r="G118" s="1"/>
  <c r="H118"/>
  <c r="J126"/>
  <c r="I5"/>
  <c r="M5"/>
  <c r="I15"/>
  <c r="K15"/>
  <c r="I35"/>
  <c r="I36"/>
  <c r="M36"/>
  <c r="M34" s="1"/>
  <c r="I74"/>
  <c r="J35"/>
  <c r="I86"/>
  <c r="H99"/>
  <c r="L99"/>
  <c r="K100"/>
  <c r="G101"/>
  <c r="H13"/>
  <c r="G103"/>
  <c r="G102" s="1"/>
  <c r="I99"/>
  <c r="I98" s="1"/>
  <c r="K99"/>
  <c r="H122"/>
  <c r="J122"/>
  <c r="L122"/>
  <c r="G122"/>
  <c r="L313"/>
  <c r="J162"/>
  <c r="G207"/>
  <c r="G206" s="1"/>
  <c r="H206"/>
  <c r="G303"/>
  <c r="G302" s="1"/>
  <c r="H302"/>
  <c r="I313"/>
  <c r="H313"/>
  <c r="K128"/>
  <c r="G163"/>
  <c r="G162" s="1"/>
  <c r="I158"/>
  <c r="K158"/>
  <c r="G170"/>
  <c r="G178"/>
  <c r="J198"/>
  <c r="G198"/>
  <c r="H226"/>
  <c r="J227"/>
  <c r="K246"/>
  <c r="K228"/>
  <c r="M246"/>
  <c r="M228"/>
  <c r="H250"/>
  <c r="L250"/>
  <c r="G255"/>
  <c r="G254" s="1"/>
  <c r="I251"/>
  <c r="I250" s="1"/>
  <c r="H286"/>
  <c r="K286"/>
  <c r="M286"/>
  <c r="G295"/>
  <c r="G294" s="1"/>
  <c r="H294"/>
  <c r="J294"/>
  <c r="L294"/>
  <c r="I302"/>
  <c r="M302"/>
  <c r="I5" i="73"/>
  <c r="J5"/>
  <c r="M283"/>
  <c r="L283"/>
  <c r="J312" i="74" l="1"/>
  <c r="J13"/>
  <c r="J313" s="1"/>
  <c r="L98"/>
  <c r="G36"/>
  <c r="G16"/>
  <c r="K98"/>
  <c r="L12"/>
  <c r="L312" s="1"/>
  <c r="G13"/>
  <c r="K12"/>
  <c r="K312" s="1"/>
  <c r="M11"/>
  <c r="M311" s="1"/>
  <c r="G227"/>
  <c r="J226"/>
  <c r="K226"/>
  <c r="G228"/>
  <c r="I14"/>
  <c r="G15"/>
  <c r="I11"/>
  <c r="G128"/>
  <c r="I12"/>
  <c r="I312" s="1"/>
  <c r="G251"/>
  <c r="G250" s="1"/>
  <c r="M226"/>
  <c r="G159"/>
  <c r="H158"/>
  <c r="G313"/>
  <c r="G160"/>
  <c r="J158"/>
  <c r="G99"/>
  <c r="H98"/>
  <c r="H11"/>
  <c r="J11"/>
  <c r="J10" s="1"/>
  <c r="J34"/>
  <c r="I34"/>
  <c r="G35"/>
  <c r="K14"/>
  <c r="G100"/>
  <c r="H12"/>
  <c r="L11"/>
  <c r="L14"/>
  <c r="M12"/>
  <c r="M244" i="73"/>
  <c r="M242" s="1"/>
  <c r="L244"/>
  <c r="L242" s="1"/>
  <c r="K244"/>
  <c r="K242"/>
  <c r="M238"/>
  <c r="L238"/>
  <c r="K238"/>
  <c r="M234"/>
  <c r="L234"/>
  <c r="K234"/>
  <c r="M230"/>
  <c r="L230"/>
  <c r="K230"/>
  <c r="G14" i="74" l="1"/>
  <c r="M10"/>
  <c r="G34"/>
  <c r="AO38" s="1"/>
  <c r="L10"/>
  <c r="L311"/>
  <c r="L310" s="1"/>
  <c r="L315" s="1"/>
  <c r="H10"/>
  <c r="H311"/>
  <c r="G98"/>
  <c r="G226"/>
  <c r="G12"/>
  <c r="H312"/>
  <c r="G158"/>
  <c r="I10"/>
  <c r="I311"/>
  <c r="I310" s="1"/>
  <c r="I315" s="1"/>
  <c r="J311"/>
  <c r="J310" s="1"/>
  <c r="J315" s="1"/>
  <c r="M312"/>
  <c r="M310" s="1"/>
  <c r="M315" s="1"/>
  <c r="I99" i="73"/>
  <c r="J99"/>
  <c r="L99"/>
  <c r="M99"/>
  <c r="I100"/>
  <c r="I101"/>
  <c r="J101"/>
  <c r="K101"/>
  <c r="L101"/>
  <c r="M101"/>
  <c r="H100"/>
  <c r="H101"/>
  <c r="H99"/>
  <c r="G117"/>
  <c r="M116"/>
  <c r="M114" s="1"/>
  <c r="L116"/>
  <c r="K116"/>
  <c r="H116"/>
  <c r="G116"/>
  <c r="M115"/>
  <c r="L115"/>
  <c r="K115"/>
  <c r="G115" s="1"/>
  <c r="I115"/>
  <c r="I114" s="1"/>
  <c r="H115"/>
  <c r="J114"/>
  <c r="H114"/>
  <c r="G113"/>
  <c r="G112"/>
  <c r="G111"/>
  <c r="G110" s="1"/>
  <c r="M110"/>
  <c r="L110"/>
  <c r="K110"/>
  <c r="J110"/>
  <c r="I110"/>
  <c r="H110"/>
  <c r="G109"/>
  <c r="G108"/>
  <c r="G107"/>
  <c r="G106" s="1"/>
  <c r="M106"/>
  <c r="L106"/>
  <c r="K106"/>
  <c r="J106"/>
  <c r="I106"/>
  <c r="H106"/>
  <c r="L35"/>
  <c r="I37"/>
  <c r="J37"/>
  <c r="H37"/>
  <c r="H35"/>
  <c r="G81"/>
  <c r="J80"/>
  <c r="G80" s="1"/>
  <c r="K79"/>
  <c r="K78" s="1"/>
  <c r="J79"/>
  <c r="M78"/>
  <c r="L78"/>
  <c r="I78"/>
  <c r="H78"/>
  <c r="G77"/>
  <c r="G76"/>
  <c r="K75"/>
  <c r="I75"/>
  <c r="M74"/>
  <c r="L74"/>
  <c r="K74"/>
  <c r="J74"/>
  <c r="H74"/>
  <c r="G73"/>
  <c r="G72"/>
  <c r="I71"/>
  <c r="G71" s="1"/>
  <c r="M70"/>
  <c r="L70"/>
  <c r="K70"/>
  <c r="J70"/>
  <c r="H70"/>
  <c r="G69"/>
  <c r="G68"/>
  <c r="G67"/>
  <c r="M66"/>
  <c r="L66"/>
  <c r="K66"/>
  <c r="J66"/>
  <c r="I66"/>
  <c r="H66"/>
  <c r="G65"/>
  <c r="G64"/>
  <c r="J63"/>
  <c r="J62" s="1"/>
  <c r="I63"/>
  <c r="M62"/>
  <c r="L62"/>
  <c r="K62"/>
  <c r="H62"/>
  <c r="G61"/>
  <c r="G60"/>
  <c r="G59"/>
  <c r="M58"/>
  <c r="L58"/>
  <c r="K58"/>
  <c r="J58"/>
  <c r="I58"/>
  <c r="H58"/>
  <c r="M57"/>
  <c r="M37" s="1"/>
  <c r="L57"/>
  <c r="L37" s="1"/>
  <c r="K57"/>
  <c r="G57" s="1"/>
  <c r="G56"/>
  <c r="G55"/>
  <c r="L54"/>
  <c r="J54"/>
  <c r="I54"/>
  <c r="H54"/>
  <c r="AO35" i="74" l="1"/>
  <c r="AO37"/>
  <c r="AO36"/>
  <c r="G312"/>
  <c r="H310"/>
  <c r="G114" i="73"/>
  <c r="L114"/>
  <c r="K114"/>
  <c r="I70"/>
  <c r="G70"/>
  <c r="G79"/>
  <c r="G78" s="1"/>
  <c r="J78"/>
  <c r="K37"/>
  <c r="G66"/>
  <c r="G75"/>
  <c r="G74" s="1"/>
  <c r="G58"/>
  <c r="G63"/>
  <c r="G62" s="1"/>
  <c r="I74"/>
  <c r="K54"/>
  <c r="M54"/>
  <c r="G54"/>
  <c r="I62"/>
  <c r="AO39" i="74" l="1"/>
  <c r="L247" i="73"/>
  <c r="M247"/>
  <c r="I248"/>
  <c r="J248"/>
  <c r="K248"/>
  <c r="L248"/>
  <c r="M248"/>
  <c r="I249"/>
  <c r="J249"/>
  <c r="K249"/>
  <c r="L249"/>
  <c r="M249"/>
  <c r="H248"/>
  <c r="H249"/>
  <c r="H247"/>
  <c r="G265"/>
  <c r="G264"/>
  <c r="K263"/>
  <c r="G263" s="1"/>
  <c r="M262"/>
  <c r="L262"/>
  <c r="J262"/>
  <c r="I262"/>
  <c r="H262"/>
  <c r="M159"/>
  <c r="L160"/>
  <c r="M160"/>
  <c r="I161"/>
  <c r="K161"/>
  <c r="L161"/>
  <c r="M161"/>
  <c r="H161"/>
  <c r="G201"/>
  <c r="G200"/>
  <c r="G199"/>
  <c r="G198" s="1"/>
  <c r="M198"/>
  <c r="L198"/>
  <c r="K198"/>
  <c r="J198"/>
  <c r="I198"/>
  <c r="H198"/>
  <c r="G197"/>
  <c r="J196"/>
  <c r="G196" s="1"/>
  <c r="J195"/>
  <c r="H195"/>
  <c r="M194"/>
  <c r="L194"/>
  <c r="K194"/>
  <c r="I194"/>
  <c r="K154"/>
  <c r="L154"/>
  <c r="M154"/>
  <c r="G181"/>
  <c r="G180"/>
  <c r="G179"/>
  <c r="M178"/>
  <c r="L178"/>
  <c r="K178"/>
  <c r="J178"/>
  <c r="I178"/>
  <c r="H178"/>
  <c r="I52"/>
  <c r="H46"/>
  <c r="H42"/>
  <c r="G47"/>
  <c r="G49"/>
  <c r="M104"/>
  <c r="L104"/>
  <c r="K104"/>
  <c r="J104"/>
  <c r="I104"/>
  <c r="H104"/>
  <c r="M52"/>
  <c r="L52"/>
  <c r="K52"/>
  <c r="J52"/>
  <c r="J50" s="1"/>
  <c r="H52"/>
  <c r="H36" s="1"/>
  <c r="M20"/>
  <c r="L20"/>
  <c r="K20"/>
  <c r="J20"/>
  <c r="J18" s="1"/>
  <c r="I20"/>
  <c r="H20"/>
  <c r="H16" s="1"/>
  <c r="M310"/>
  <c r="L310"/>
  <c r="K310"/>
  <c r="J310"/>
  <c r="I310"/>
  <c r="G305"/>
  <c r="G304"/>
  <c r="G303"/>
  <c r="M302"/>
  <c r="L302"/>
  <c r="K302"/>
  <c r="J302"/>
  <c r="I302"/>
  <c r="H302"/>
  <c r="M301"/>
  <c r="L301"/>
  <c r="K301"/>
  <c r="J301"/>
  <c r="I301"/>
  <c r="H301"/>
  <c r="M300"/>
  <c r="L300"/>
  <c r="K300"/>
  <c r="J300"/>
  <c r="I300"/>
  <c r="H300"/>
  <c r="M299"/>
  <c r="L299"/>
  <c r="K299"/>
  <c r="J299"/>
  <c r="I299"/>
  <c r="H299"/>
  <c r="G297"/>
  <c r="G296"/>
  <c r="G295"/>
  <c r="M294"/>
  <c r="L294"/>
  <c r="K294"/>
  <c r="J294"/>
  <c r="I294"/>
  <c r="H294"/>
  <c r="M293"/>
  <c r="L293"/>
  <c r="K293"/>
  <c r="J293"/>
  <c r="I293"/>
  <c r="H293"/>
  <c r="M292"/>
  <c r="L292"/>
  <c r="K292"/>
  <c r="J292"/>
  <c r="I292"/>
  <c r="H292"/>
  <c r="M291"/>
  <c r="L291"/>
  <c r="K291"/>
  <c r="J291"/>
  <c r="I291"/>
  <c r="H291"/>
  <c r="G289"/>
  <c r="G288"/>
  <c r="M286"/>
  <c r="K287"/>
  <c r="K283" s="1"/>
  <c r="J287"/>
  <c r="J283" s="1"/>
  <c r="H287"/>
  <c r="L286"/>
  <c r="I286"/>
  <c r="M285"/>
  <c r="L285"/>
  <c r="K285"/>
  <c r="J285"/>
  <c r="I285"/>
  <c r="H285"/>
  <c r="M284"/>
  <c r="L284"/>
  <c r="K284"/>
  <c r="J284"/>
  <c r="I284"/>
  <c r="H284"/>
  <c r="I283"/>
  <c r="G281"/>
  <c r="G280"/>
  <c r="G279"/>
  <c r="M278"/>
  <c r="L278"/>
  <c r="K278"/>
  <c r="J278"/>
  <c r="I278"/>
  <c r="H278"/>
  <c r="G277"/>
  <c r="G276"/>
  <c r="G275"/>
  <c r="M274"/>
  <c r="L274"/>
  <c r="K274"/>
  <c r="J274"/>
  <c r="I274"/>
  <c r="H274"/>
  <c r="G273"/>
  <c r="G272"/>
  <c r="G271"/>
  <c r="M270"/>
  <c r="L270"/>
  <c r="K270"/>
  <c r="J270"/>
  <c r="I270"/>
  <c r="H270"/>
  <c r="G269"/>
  <c r="G268"/>
  <c r="K267"/>
  <c r="G267" s="1"/>
  <c r="M266"/>
  <c r="L266"/>
  <c r="J266"/>
  <c r="I266"/>
  <c r="H266"/>
  <c r="G261"/>
  <c r="G260"/>
  <c r="K259"/>
  <c r="G259" s="1"/>
  <c r="M258"/>
  <c r="L258"/>
  <c r="J258"/>
  <c r="I258"/>
  <c r="H258"/>
  <c r="G257"/>
  <c r="G256"/>
  <c r="K255"/>
  <c r="K254" s="1"/>
  <c r="J255"/>
  <c r="J254" s="1"/>
  <c r="I255"/>
  <c r="I254" s="1"/>
  <c r="M254"/>
  <c r="L254"/>
  <c r="H254"/>
  <c r="G253"/>
  <c r="G252"/>
  <c r="K251"/>
  <c r="J251"/>
  <c r="J250" s="1"/>
  <c r="I251"/>
  <c r="I250" s="1"/>
  <c r="M250"/>
  <c r="L250"/>
  <c r="H250"/>
  <c r="G245"/>
  <c r="L224"/>
  <c r="I244"/>
  <c r="I224" s="1"/>
  <c r="I243"/>
  <c r="G243" s="1"/>
  <c r="J242"/>
  <c r="H242"/>
  <c r="G241"/>
  <c r="G240"/>
  <c r="J239"/>
  <c r="J238" s="1"/>
  <c r="I239"/>
  <c r="I238"/>
  <c r="H238"/>
  <c r="G237"/>
  <c r="G236"/>
  <c r="G235"/>
  <c r="J234"/>
  <c r="I234"/>
  <c r="H234"/>
  <c r="G233"/>
  <c r="G232"/>
  <c r="J231"/>
  <c r="J230" s="1"/>
  <c r="H231"/>
  <c r="I230"/>
  <c r="G229"/>
  <c r="G228"/>
  <c r="K223"/>
  <c r="J227"/>
  <c r="H227"/>
  <c r="M226"/>
  <c r="L226"/>
  <c r="J226"/>
  <c r="I226"/>
  <c r="M225"/>
  <c r="L225"/>
  <c r="K225"/>
  <c r="J225"/>
  <c r="I225"/>
  <c r="H225"/>
  <c r="J224"/>
  <c r="H224"/>
  <c r="M223"/>
  <c r="L223"/>
  <c r="G221"/>
  <c r="G220"/>
  <c r="G219"/>
  <c r="M218"/>
  <c r="L218"/>
  <c r="K218"/>
  <c r="J218"/>
  <c r="I218"/>
  <c r="H218"/>
  <c r="G217"/>
  <c r="G216"/>
  <c r="G215"/>
  <c r="M214"/>
  <c r="L214"/>
  <c r="K214"/>
  <c r="J214"/>
  <c r="I214"/>
  <c r="H214"/>
  <c r="G213"/>
  <c r="G212"/>
  <c r="G211"/>
  <c r="M210"/>
  <c r="L210"/>
  <c r="K210"/>
  <c r="J210"/>
  <c r="I210"/>
  <c r="H210"/>
  <c r="P209"/>
  <c r="G209"/>
  <c r="G208"/>
  <c r="K207"/>
  <c r="K206" s="1"/>
  <c r="J207"/>
  <c r="J206" s="1"/>
  <c r="H207"/>
  <c r="M206"/>
  <c r="L206"/>
  <c r="I206"/>
  <c r="H206"/>
  <c r="G205"/>
  <c r="G204"/>
  <c r="K203"/>
  <c r="I203"/>
  <c r="I202" s="1"/>
  <c r="H203"/>
  <c r="M202"/>
  <c r="L202"/>
  <c r="J202"/>
  <c r="G193"/>
  <c r="H192"/>
  <c r="H191"/>
  <c r="G191" s="1"/>
  <c r="W190"/>
  <c r="M190"/>
  <c r="L190"/>
  <c r="K190"/>
  <c r="J190"/>
  <c r="I190"/>
  <c r="G189"/>
  <c r="G188"/>
  <c r="G187"/>
  <c r="M186"/>
  <c r="L186"/>
  <c r="J186"/>
  <c r="I186"/>
  <c r="G185"/>
  <c r="G184"/>
  <c r="G183"/>
  <c r="M182"/>
  <c r="L182"/>
  <c r="K182"/>
  <c r="J182"/>
  <c r="I182"/>
  <c r="H182"/>
  <c r="G177"/>
  <c r="G176"/>
  <c r="P175"/>
  <c r="Q175" s="1"/>
  <c r="I175"/>
  <c r="G175" s="1"/>
  <c r="M174"/>
  <c r="L174"/>
  <c r="K174"/>
  <c r="J174"/>
  <c r="H174"/>
  <c r="G173"/>
  <c r="I172"/>
  <c r="I160" s="1"/>
  <c r="G171"/>
  <c r="M170"/>
  <c r="L170"/>
  <c r="K170"/>
  <c r="J170"/>
  <c r="H170"/>
  <c r="J161"/>
  <c r="G168"/>
  <c r="P167"/>
  <c r="Q167" s="1"/>
  <c r="K167"/>
  <c r="K166" s="1"/>
  <c r="M166"/>
  <c r="L166"/>
  <c r="I166"/>
  <c r="H166"/>
  <c r="G165"/>
  <c r="K164"/>
  <c r="K160" s="1"/>
  <c r="J164"/>
  <c r="H164"/>
  <c r="P163"/>
  <c r="Q163" s="1"/>
  <c r="L163"/>
  <c r="L159" s="1"/>
  <c r="K163"/>
  <c r="J163"/>
  <c r="J159" s="1"/>
  <c r="I163"/>
  <c r="I162" s="1"/>
  <c r="M162"/>
  <c r="G157"/>
  <c r="G156"/>
  <c r="G155"/>
  <c r="J154"/>
  <c r="I154"/>
  <c r="H154"/>
  <c r="G153"/>
  <c r="G152"/>
  <c r="K151"/>
  <c r="G151" s="1"/>
  <c r="M150"/>
  <c r="L150"/>
  <c r="J150"/>
  <c r="I150"/>
  <c r="H150"/>
  <c r="G149"/>
  <c r="G148"/>
  <c r="K147"/>
  <c r="G147" s="1"/>
  <c r="M146"/>
  <c r="L146"/>
  <c r="J146"/>
  <c r="I146"/>
  <c r="H146"/>
  <c r="M129"/>
  <c r="L129"/>
  <c r="K145"/>
  <c r="K129" s="1"/>
  <c r="J145"/>
  <c r="J129" s="1"/>
  <c r="K144"/>
  <c r="J144"/>
  <c r="H144"/>
  <c r="H128" s="1"/>
  <c r="M143"/>
  <c r="M127" s="1"/>
  <c r="K143"/>
  <c r="J143"/>
  <c r="I142"/>
  <c r="H142"/>
  <c r="G141"/>
  <c r="J140"/>
  <c r="J139"/>
  <c r="I139"/>
  <c r="M138"/>
  <c r="L138"/>
  <c r="K138"/>
  <c r="I138"/>
  <c r="H138"/>
  <c r="G137"/>
  <c r="K136"/>
  <c r="G136" s="1"/>
  <c r="K135"/>
  <c r="I135"/>
  <c r="M134"/>
  <c r="L134"/>
  <c r="J134"/>
  <c r="I134"/>
  <c r="H134"/>
  <c r="G133"/>
  <c r="M132"/>
  <c r="M128" s="1"/>
  <c r="L132"/>
  <c r="K132"/>
  <c r="G132" s="1"/>
  <c r="K131"/>
  <c r="J131"/>
  <c r="J130" s="1"/>
  <c r="I131"/>
  <c r="I130" s="1"/>
  <c r="M130"/>
  <c r="L130"/>
  <c r="H130"/>
  <c r="I129"/>
  <c r="H129"/>
  <c r="I128"/>
  <c r="H127"/>
  <c r="G125"/>
  <c r="M124"/>
  <c r="M122" s="1"/>
  <c r="L124"/>
  <c r="K124"/>
  <c r="K122" s="1"/>
  <c r="J124"/>
  <c r="I124"/>
  <c r="I122" s="1"/>
  <c r="H124"/>
  <c r="H122" s="1"/>
  <c r="G123"/>
  <c r="L122"/>
  <c r="G121"/>
  <c r="G120"/>
  <c r="K119"/>
  <c r="K118" s="1"/>
  <c r="I119"/>
  <c r="I118" s="1"/>
  <c r="H119"/>
  <c r="M118"/>
  <c r="L118"/>
  <c r="J118"/>
  <c r="G105"/>
  <c r="K103"/>
  <c r="J103"/>
  <c r="I103"/>
  <c r="G97"/>
  <c r="G95"/>
  <c r="K94"/>
  <c r="J94"/>
  <c r="H94"/>
  <c r="G93"/>
  <c r="G92"/>
  <c r="G91"/>
  <c r="M90"/>
  <c r="L90"/>
  <c r="K90"/>
  <c r="J90"/>
  <c r="I90"/>
  <c r="H90"/>
  <c r="G89"/>
  <c r="M88"/>
  <c r="L88"/>
  <c r="K88"/>
  <c r="J88"/>
  <c r="I88"/>
  <c r="I87"/>
  <c r="G87" s="1"/>
  <c r="M86"/>
  <c r="L86"/>
  <c r="K86"/>
  <c r="J86"/>
  <c r="H86"/>
  <c r="G85"/>
  <c r="G84"/>
  <c r="K83"/>
  <c r="K82" s="1"/>
  <c r="J83"/>
  <c r="J35" s="1"/>
  <c r="I83"/>
  <c r="M82"/>
  <c r="L82"/>
  <c r="J82"/>
  <c r="H82"/>
  <c r="G53"/>
  <c r="M51"/>
  <c r="M35" s="1"/>
  <c r="K51"/>
  <c r="I51"/>
  <c r="I35" s="1"/>
  <c r="G48"/>
  <c r="M46"/>
  <c r="L46"/>
  <c r="K46"/>
  <c r="J46"/>
  <c r="I46"/>
  <c r="O44"/>
  <c r="K42"/>
  <c r="J42"/>
  <c r="I42"/>
  <c r="M38"/>
  <c r="L38"/>
  <c r="K38"/>
  <c r="J38"/>
  <c r="I38"/>
  <c r="G33"/>
  <c r="M32"/>
  <c r="M30" s="1"/>
  <c r="L32"/>
  <c r="L30" s="1"/>
  <c r="K32"/>
  <c r="G32" s="1"/>
  <c r="G31"/>
  <c r="J30"/>
  <c r="I30"/>
  <c r="H30"/>
  <c r="G29"/>
  <c r="M28"/>
  <c r="M26" s="1"/>
  <c r="L28"/>
  <c r="K28"/>
  <c r="K26" s="1"/>
  <c r="J28"/>
  <c r="G27"/>
  <c r="I26"/>
  <c r="H26"/>
  <c r="G25"/>
  <c r="G24"/>
  <c r="M23"/>
  <c r="L23"/>
  <c r="K23"/>
  <c r="K22" s="1"/>
  <c r="I23"/>
  <c r="I22" s="1"/>
  <c r="M22"/>
  <c r="J22"/>
  <c r="H22"/>
  <c r="G21"/>
  <c r="M19"/>
  <c r="K19"/>
  <c r="I19"/>
  <c r="M17"/>
  <c r="L17"/>
  <c r="K17"/>
  <c r="J17"/>
  <c r="I17"/>
  <c r="H17"/>
  <c r="J15"/>
  <c r="H15"/>
  <c r="J122" l="1"/>
  <c r="J100"/>
  <c r="J98" s="1"/>
  <c r="L18"/>
  <c r="L5"/>
  <c r="K5"/>
  <c r="M5"/>
  <c r="K100"/>
  <c r="M100"/>
  <c r="K99"/>
  <c r="J160"/>
  <c r="L102"/>
  <c r="L100"/>
  <c r="L98" s="1"/>
  <c r="I36"/>
  <c r="J36"/>
  <c r="K35"/>
  <c r="L36"/>
  <c r="K36"/>
  <c r="M36"/>
  <c r="G178"/>
  <c r="K247"/>
  <c r="K246" s="1"/>
  <c r="I50"/>
  <c r="G164"/>
  <c r="G167"/>
  <c r="G174"/>
  <c r="G285"/>
  <c r="G262"/>
  <c r="K30"/>
  <c r="H18"/>
  <c r="G83"/>
  <c r="G82" s="1"/>
  <c r="I86"/>
  <c r="G90"/>
  <c r="G103"/>
  <c r="K159"/>
  <c r="K158" s="1"/>
  <c r="G258"/>
  <c r="G266"/>
  <c r="G292"/>
  <c r="I247"/>
  <c r="I246" s="1"/>
  <c r="H159"/>
  <c r="K262"/>
  <c r="G145"/>
  <c r="M224"/>
  <c r="M222" s="1"/>
  <c r="J247"/>
  <c r="J246" s="1"/>
  <c r="H160"/>
  <c r="G20"/>
  <c r="H12"/>
  <c r="J102"/>
  <c r="I159"/>
  <c r="G101"/>
  <c r="G195"/>
  <c r="G194" s="1"/>
  <c r="G17"/>
  <c r="G30"/>
  <c r="G139"/>
  <c r="J138"/>
  <c r="J127"/>
  <c r="G144"/>
  <c r="H162"/>
  <c r="I174"/>
  <c r="H223"/>
  <c r="I242"/>
  <c r="K258"/>
  <c r="J282"/>
  <c r="L282"/>
  <c r="M282"/>
  <c r="J286"/>
  <c r="G287"/>
  <c r="G286" s="1"/>
  <c r="G300"/>
  <c r="H194"/>
  <c r="J194"/>
  <c r="G28"/>
  <c r="G26" s="1"/>
  <c r="L16"/>
  <c r="K128"/>
  <c r="K130"/>
  <c r="K134"/>
  <c r="L142"/>
  <c r="K266"/>
  <c r="K6"/>
  <c r="K50"/>
  <c r="M158"/>
  <c r="H11"/>
  <c r="H50"/>
  <c r="L162"/>
  <c r="G214"/>
  <c r="G255"/>
  <c r="G254" s="1"/>
  <c r="I290"/>
  <c r="K290"/>
  <c r="M290"/>
  <c r="J298"/>
  <c r="L298"/>
  <c r="K298"/>
  <c r="M98"/>
  <c r="K224"/>
  <c r="G244"/>
  <c r="G242" s="1"/>
  <c r="K250"/>
  <c r="G104"/>
  <c r="G210"/>
  <c r="G218"/>
  <c r="G19"/>
  <c r="M15"/>
  <c r="M11" s="1"/>
  <c r="M307" s="1"/>
  <c r="M13"/>
  <c r="M309" s="1"/>
  <c r="K13"/>
  <c r="K309" s="1"/>
  <c r="K146"/>
  <c r="G248"/>
  <c r="G270"/>
  <c r="G278"/>
  <c r="K16"/>
  <c r="G51"/>
  <c r="G163"/>
  <c r="H102"/>
  <c r="G146"/>
  <c r="G150"/>
  <c r="J162"/>
  <c r="K162"/>
  <c r="G182"/>
  <c r="H190"/>
  <c r="G207"/>
  <c r="G206" s="1"/>
  <c r="G231"/>
  <c r="G230" s="1"/>
  <c r="G234"/>
  <c r="M246"/>
  <c r="I282"/>
  <c r="G294"/>
  <c r="G302"/>
  <c r="L13"/>
  <c r="L309" s="1"/>
  <c r="L128"/>
  <c r="I13"/>
  <c r="I309" s="1"/>
  <c r="H14"/>
  <c r="J16"/>
  <c r="L26"/>
  <c r="G88"/>
  <c r="G86" s="1"/>
  <c r="M126"/>
  <c r="L222"/>
  <c r="G239"/>
  <c r="G238" s="1"/>
  <c r="K286"/>
  <c r="J13"/>
  <c r="G46"/>
  <c r="H38"/>
  <c r="G45"/>
  <c r="G43"/>
  <c r="G40"/>
  <c r="J26"/>
  <c r="M6"/>
  <c r="L6"/>
  <c r="G124"/>
  <c r="G122" s="1"/>
  <c r="G135"/>
  <c r="G134" s="1"/>
  <c r="K142"/>
  <c r="G154"/>
  <c r="L158"/>
  <c r="G186"/>
  <c r="I223"/>
  <c r="I222" s="1"/>
  <c r="G225"/>
  <c r="K226"/>
  <c r="H230"/>
  <c r="J223"/>
  <c r="J222" s="1"/>
  <c r="G274"/>
  <c r="H283"/>
  <c r="G283" s="1"/>
  <c r="H286"/>
  <c r="G293"/>
  <c r="G301"/>
  <c r="K18"/>
  <c r="K15"/>
  <c r="L22"/>
  <c r="L15"/>
  <c r="I18"/>
  <c r="I16"/>
  <c r="M18"/>
  <c r="M16"/>
  <c r="G23"/>
  <c r="G22" s="1"/>
  <c r="I15"/>
  <c r="L94"/>
  <c r="I102"/>
  <c r="K102"/>
  <c r="M102"/>
  <c r="G119"/>
  <c r="G118" s="1"/>
  <c r="H118"/>
  <c r="G129"/>
  <c r="G143"/>
  <c r="J142"/>
  <c r="G169"/>
  <c r="J166"/>
  <c r="G172"/>
  <c r="G170" s="1"/>
  <c r="I170"/>
  <c r="L50"/>
  <c r="L42"/>
  <c r="I82"/>
  <c r="J6"/>
  <c r="I94"/>
  <c r="H126"/>
  <c r="L127"/>
  <c r="G131"/>
  <c r="G130" s="1"/>
  <c r="I127"/>
  <c r="I126" s="1"/>
  <c r="K127"/>
  <c r="G140"/>
  <c r="J128"/>
  <c r="M142"/>
  <c r="K150"/>
  <c r="G203"/>
  <c r="G202" s="1"/>
  <c r="H202"/>
  <c r="K202"/>
  <c r="G192"/>
  <c r="G190" s="1"/>
  <c r="G249"/>
  <c r="G284"/>
  <c r="G299"/>
  <c r="H298"/>
  <c r="H222"/>
  <c r="G227"/>
  <c r="G226" s="1"/>
  <c r="H226"/>
  <c r="H246"/>
  <c r="L246"/>
  <c r="G251"/>
  <c r="G250" s="1"/>
  <c r="K282"/>
  <c r="G291"/>
  <c r="H290"/>
  <c r="J290"/>
  <c r="L290"/>
  <c r="I298"/>
  <c r="M298"/>
  <c r="G166" l="1"/>
  <c r="L126"/>
  <c r="J11"/>
  <c r="H158"/>
  <c r="G102"/>
  <c r="H282"/>
  <c r="G162"/>
  <c r="G18"/>
  <c r="G290"/>
  <c r="G128"/>
  <c r="K126"/>
  <c r="G142"/>
  <c r="G223"/>
  <c r="G298"/>
  <c r="G138"/>
  <c r="M14"/>
  <c r="I12"/>
  <c r="K34"/>
  <c r="L12"/>
  <c r="K222"/>
  <c r="G224"/>
  <c r="G222" s="1"/>
  <c r="I158"/>
  <c r="I11"/>
  <c r="J158"/>
  <c r="I98"/>
  <c r="M12"/>
  <c r="J309"/>
  <c r="G282"/>
  <c r="K98"/>
  <c r="L11"/>
  <c r="K11"/>
  <c r="J14"/>
  <c r="J12"/>
  <c r="J308" s="1"/>
  <c r="K12"/>
  <c r="K308" s="1"/>
  <c r="G39"/>
  <c r="G41"/>
  <c r="H13"/>
  <c r="H308"/>
  <c r="G100"/>
  <c r="G16"/>
  <c r="G247"/>
  <c r="G246" s="1"/>
  <c r="G160"/>
  <c r="G161"/>
  <c r="G159"/>
  <c r="G127"/>
  <c r="G44"/>
  <c r="G42" s="1"/>
  <c r="M42"/>
  <c r="J126"/>
  <c r="I14"/>
  <c r="G15"/>
  <c r="G14" s="1"/>
  <c r="K14"/>
  <c r="J34"/>
  <c r="I34"/>
  <c r="G35"/>
  <c r="G99"/>
  <c r="G98" s="1"/>
  <c r="H98"/>
  <c r="G96"/>
  <c r="G94" s="1"/>
  <c r="M94"/>
  <c r="I308"/>
  <c r="L14"/>
  <c r="G126" l="1"/>
  <c r="H34"/>
  <c r="G11"/>
  <c r="G37"/>
  <c r="G38"/>
  <c r="J10"/>
  <c r="J307"/>
  <c r="I10"/>
  <c r="I307"/>
  <c r="I306" s="1"/>
  <c r="I311" s="1"/>
  <c r="M50"/>
  <c r="G52"/>
  <c r="G50" s="1"/>
  <c r="L307"/>
  <c r="H10"/>
  <c r="K10"/>
  <c r="K307"/>
  <c r="K306" s="1"/>
  <c r="K311" s="1"/>
  <c r="L308"/>
  <c r="L34"/>
  <c r="G158"/>
  <c r="J306" l="1"/>
  <c r="G13"/>
  <c r="H309"/>
  <c r="G309" s="1"/>
  <c r="H307"/>
  <c r="G307" s="1"/>
  <c r="L10"/>
  <c r="M34"/>
  <c r="G36"/>
  <c r="G34" s="1"/>
  <c r="L306"/>
  <c r="L311" s="1"/>
  <c r="J311" l="1"/>
  <c r="H306"/>
  <c r="AO38"/>
  <c r="AO37"/>
  <c r="AO36"/>
  <c r="AO35"/>
  <c r="M10"/>
  <c r="M308"/>
  <c r="G12"/>
  <c r="G10" s="1"/>
  <c r="M306" l="1"/>
  <c r="M311" s="1"/>
  <c r="G308"/>
  <c r="G306" s="1"/>
  <c r="AO39"/>
  <c r="G147" i="74" l="1"/>
  <c r="G146" s="1"/>
  <c r="K146"/>
  <c r="K127"/>
  <c r="K126" l="1"/>
  <c r="G127"/>
  <c r="G126" s="1"/>
  <c r="K11"/>
  <c r="K311" l="1"/>
  <c r="K10"/>
  <c r="G11"/>
  <c r="G10" s="1"/>
  <c r="K310" l="1"/>
  <c r="K315" s="1"/>
  <c r="G311"/>
  <c r="G310" s="1"/>
</calcChain>
</file>

<file path=xl/comments1.xml><?xml version="1.0" encoding="utf-8"?>
<comments xmlns="http://schemas.openxmlformats.org/spreadsheetml/2006/main">
  <authors>
    <author>obpm2</author>
  </authors>
  <commentList>
    <comment ref="N2" authorId="0">
      <text>
        <r>
          <rPr>
            <sz val="9"/>
            <color indexed="81"/>
            <rFont val="Tahoma"/>
            <family val="2"/>
            <charset val="204"/>
          </rPr>
          <t xml:space="preserve">когда вносим изменения то к постановлению
</t>
        </r>
      </text>
    </comment>
    <comment ref="H179" authorId="0">
      <text>
        <r>
          <rPr>
            <sz val="9"/>
            <color indexed="81"/>
            <rFont val="Tahoma"/>
            <family val="2"/>
            <charset val="204"/>
          </rPr>
          <t xml:space="preserve">бордюр для площадки ГТО
</t>
        </r>
      </text>
    </comment>
  </commentList>
</comments>
</file>

<file path=xl/comments2.xml><?xml version="1.0" encoding="utf-8"?>
<comments xmlns="http://schemas.openxmlformats.org/spreadsheetml/2006/main">
  <authors>
    <author>obpm2</author>
  </authors>
  <commentList>
    <comment ref="N2" authorId="0">
      <text>
        <r>
          <rPr>
            <sz val="9"/>
            <color indexed="81"/>
            <rFont val="Tahoma"/>
            <family val="2"/>
            <charset val="204"/>
          </rPr>
          <t xml:space="preserve">когда вносим изменения то к постановлению
</t>
        </r>
      </text>
    </comment>
    <comment ref="H183" authorId="0">
      <text>
        <r>
          <rPr>
            <sz val="9"/>
            <color indexed="81"/>
            <rFont val="Tahoma"/>
            <family val="2"/>
            <charset val="204"/>
          </rPr>
          <t xml:space="preserve">бордюр для площадки ГТО
</t>
        </r>
      </text>
    </comment>
  </commentList>
</comments>
</file>

<file path=xl/comments3.xml><?xml version="1.0" encoding="utf-8"?>
<comments xmlns="http://schemas.openxmlformats.org/spreadsheetml/2006/main">
  <authors>
    <author>obpm2</author>
  </authors>
  <commentList>
    <comment ref="N2" authorId="0">
      <text>
        <r>
          <rPr>
            <sz val="9"/>
            <color indexed="81"/>
            <rFont val="Tahoma"/>
            <family val="2"/>
            <charset val="204"/>
          </rPr>
          <t xml:space="preserve">когда вносим изменения то к постановлению
</t>
        </r>
      </text>
    </comment>
    <comment ref="H183" authorId="0">
      <text>
        <r>
          <rPr>
            <sz val="9"/>
            <color indexed="81"/>
            <rFont val="Tahoma"/>
            <family val="2"/>
            <charset val="204"/>
          </rPr>
          <t xml:space="preserve">бордюр для площадки ГТО
</t>
        </r>
      </text>
    </comment>
  </commentList>
</comments>
</file>

<file path=xl/sharedStrings.xml><?xml version="1.0" encoding="utf-8"?>
<sst xmlns="http://schemas.openxmlformats.org/spreadsheetml/2006/main" count="2073" uniqueCount="159">
  <si>
    <t xml:space="preserve">ПЕРЕЧЕНЬ мероприятий </t>
  </si>
  <si>
    <t xml:space="preserve"> муниципальной программы</t>
  </si>
  <si>
    <t>№ п/п</t>
  </si>
  <si>
    <t>Наименование мероприятия программы</t>
  </si>
  <si>
    <t>Исполнители</t>
  </si>
  <si>
    <t>Соисполнители</t>
  </si>
  <si>
    <t>Срок начала /окончания работ</t>
  </si>
  <si>
    <t>Источники финансирования</t>
  </si>
  <si>
    <t>Объемы финансирования,                                                        в т.ч.по годам (рублях)</t>
  </si>
  <si>
    <t>Ожидаемые результаты реализации мероприятия(**)</t>
  </si>
  <si>
    <t>Всего</t>
  </si>
  <si>
    <t>Управление образования</t>
  </si>
  <si>
    <t>МБДОУ  АЛЕНУШКА; МБОУ БЕР.ОГ;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</si>
  <si>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>2020-2024</t>
  </si>
  <si>
    <t>Всего:</t>
  </si>
  <si>
    <t>в т.ч. Районный бюджет</t>
  </si>
  <si>
    <t>в т.ч. Областной бюджет</t>
  </si>
  <si>
    <t>в т.ч. Федеральный бюджет</t>
  </si>
  <si>
    <t>1.1.</t>
  </si>
  <si>
    <t>Обеспечение доступности дошкольного образования</t>
  </si>
  <si>
    <t xml:space="preserve">1) 100 % детей в возрасте до3-лет охвачено услугами дошкольного образования;                                                                                                                       2) 100% граждан положительно оценивших качество услуг психолого- педагогической , методической и консультативной помощи, от общего числа обратившихся за получением услуги НП "Поддержка семей, имеющих детей";                                                                                           3) 100% выполнение  уровня средней заработной платы педагогов дошкольного образования в соответствии с соглашением Министерства образования и науки Архангельской области;                         </t>
  </si>
  <si>
    <t>Обеспечение деятельности дошкольных образовательных организаций (муниципальное задание)</t>
  </si>
  <si>
    <t xml:space="preserve">Проезд к месту отдыха и обратно </t>
  </si>
  <si>
    <t>Возмещение расходов,связанных с реализацией мер соцподдержки педработникам,проживающих в сельских населенных пунктах и рабочем поселке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</si>
  <si>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</si>
  <si>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1.2.</t>
  </si>
  <si>
    <t>Обеспечение доступности и качества общего образования</t>
  </si>
  <si>
    <t xml:space="preserve"> МБОУ БЕР.ОГ;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</si>
  <si>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 xml:space="preserve">1) Повышение до 95%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учреждений;                                                                                            2) 100% освоения обучающимися основной общеобразовательной программы по ее завершении;
3) 95% обучающихся на уровне среднего общего образования обучаются по углубленным программам
4) 100% выполнение показателя средней  заработной   платы педагогов  школ в соответствии с соглашением Министерства образования и науки Архангельской области;
5) показатель удовлетворенности участников образовательных отношений качеством образовательных услуг  к концу программы не ниже 3,6;
6) 100% выпускников, освоивших образовательные программы основного общего и успешно прошедших государственную итоговую аттестацию по образовательным программам основного общего образования и получивших аттестат об основном общем образовании;
7) 100% выпускников, освоивших образовательные программы среднего общего и успешно прошедших государственную итоговую аттестацию по образовательным программам основного общего образования и получивших аттестат о среднем общем образовании;
8) 100% детей с ограниченными возможностями здоровья в возрасте от 7 до 18 лет, обучающихся по программам общего образования ( в любой форме), от общей численности детей с ограниченными возможностями здоровья в возрасте от 7 до 18 лет;
9) 100% пунктов проведения ГИА в форме ЕГЭ, оснащенных для применения технологий по печати и сканированию экзаменационных материалов в ППЭ, от общего числа ППЭ;
10) 90% детей обучающихся в школе, получающих горячее питание                                                                                           11) Доля детей, получающих услугу по подвозу на олимпиады, конкурсы, мероприятия:
 Муниципальный этап – 35%
Региональный этап – 6% 
                                                                                                                              </t>
  </si>
  <si>
    <t>1.2.1.</t>
  </si>
  <si>
    <t>Оснащение образовательных организаций  в соответствиии с требованиями ФГОС</t>
  </si>
  <si>
    <t>1.2.2.</t>
  </si>
  <si>
    <t>Приобретение учебников по ФГОС</t>
  </si>
  <si>
    <t>1.2.3.</t>
  </si>
  <si>
    <t>Обеспечение высокоскоростного интернета</t>
  </si>
  <si>
    <t>Обеспечение деятельности общеобразовательных организаций (муниципальное задание)</t>
  </si>
  <si>
    <t>Выявление детей с ограниченными возможностями здоровья и проведение их комплексного обследования (ЦППРК)</t>
  </si>
  <si>
    <t xml:space="preserve"> МБОУ ОСШ №2</t>
  </si>
  <si>
    <t>1.2.8.</t>
  </si>
  <si>
    <t>Резервный фонд для создания групп,классов-комплектов и объединений дополнительного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</si>
  <si>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</si>
  <si>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Подвоз на олимпиады, конкурсы, мероприятия</t>
  </si>
  <si>
    <t>МБОУ БЕР.ОГ;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</si>
  <si>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>Организация и проведение учебных сборов  юношей 10-х классов.</t>
  </si>
  <si>
    <t>1.3.</t>
  </si>
  <si>
    <t>Мероприятия направленные на повышение престижа профессии педагог</t>
  </si>
  <si>
    <t>1.3.2.</t>
  </si>
  <si>
    <t>Обеспечение обучения педагогических работников по дополнительным профессиональным программам (программам повышения квалификации и программам профессиолнальной переподготовки)</t>
  </si>
  <si>
    <t>1.4.</t>
  </si>
  <si>
    <t>Развитие дополнительного образования обучающихся  Устьянского района</t>
  </si>
  <si>
    <t>УПРАВЛЕНИЕ КУЛЬТУРЫ; МБОУ БЕР.ОГ;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</si>
  <si>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 xml:space="preserve">1) 80% охваченных образовательными программами дополнительного образования НП "Успех каждого ребенка";
2) 50%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в рамках проекта «Шаги в профессию» (Обучающиеся  8-11классов) НП "Успех каждого ребенка";
3) 95% участников открытых онлайн-уроков, реализуемых с учетом опыта цикла открытых уроков «Проектория», направленных на раннюю профориентацию НП "Успех каждого ребенка";                         4)30% детей в возрасте от 5 до 18 лет, имеющих право на получение дополнительного образования в рамках системы персонифицированного финансирования в рамках НП «Успех каждого ребенка»;
5) 30% обучающихся  охваченных в технозонах «ДАТА –парка» НП "Успех каждого ребенка";
6) 8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и гуманитарного профилей (Точки роста) НП "Современная школа";
7) 2000 обучающихся занятых в центрах гуманитарного и цифрового профиля (Точки роста) НП "Успех каждого ребенка";                                                                                                8) 55% обучающихся по программам общего образования, дополнительного образования для детей, для которых формируется цифровой образовательный профиль и индивидуальный план  обучения с использованием федеральной информационно-сервисной платформой цифровой образовательной среды. НП «Цифровая образовательная среда».
9) 100% выполнение показателя средней  заработной   платы педагогов дополнительного образования в соответствии с соглашением Министерства образования и науки Архангельской области.
</t>
  </si>
  <si>
    <t>Обеспечение деятельности образовательных организаций дополнительного образования  (муниципальное задание)</t>
  </si>
  <si>
    <t>Открытие  центров цифрового, гуманитарного профиля (точки роста)</t>
  </si>
  <si>
    <t>МБОУ ОСОШ №1; МБОУ УСТЬЯНСКАЯ СОШ</t>
  </si>
  <si>
    <t>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</si>
  <si>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>1.5.</t>
  </si>
  <si>
    <t>Создание условий для укрепления здоровья учащихся</t>
  </si>
  <si>
    <t>Приобретение спортивного инвентаря и оборудования</t>
  </si>
  <si>
    <t>Ремонт спортивных залов и обновление материально-технической  базы  для занятий физической культурой и спортом</t>
  </si>
  <si>
    <t xml:space="preserve"> МБОУ БЕСТУЖ.СОШ; МБОУ ДМИТР.СОШ; МБОУ КИЗЕМ.СОШ; МБОУ МАЛОД.СОШ</t>
  </si>
  <si>
    <t>Создание и модернизация объектов спортивной инфраструктуры для занятий физической культурой и спортом</t>
  </si>
  <si>
    <t>МБОУ "ИЛЕЗСКАЯ СОШ"</t>
  </si>
  <si>
    <t>Устройство душевых комнат в здании раздевалок хоккейного корта</t>
  </si>
  <si>
    <t>Обеспечение питанием обучающихся,проживающих в интернате</t>
  </si>
  <si>
    <t>МБОУ УЛЬЯНОВСКАЯ СОШ; МБОУ УСТЬЯНСКАЯ СОШ</t>
  </si>
  <si>
    <t>100% детей, проживающих в интернате, получают горячее питание</t>
  </si>
  <si>
    <t xml:space="preserve">Оснащение пищеблоков в образовательных учреждениях </t>
  </si>
  <si>
    <t>100% образовательных организаций оснащены пищеблоками</t>
  </si>
  <si>
    <t>Укрепление материально-технической базы дошкольных образовательных организаций</t>
  </si>
  <si>
    <t xml:space="preserve">Обновление материально-технической базы дошкольных образовательных организаций </t>
  </si>
  <si>
    <t>Обустройство плоскостных сооружений</t>
  </si>
  <si>
    <t xml:space="preserve">Обеспечение бесплатным горячим питанием обучающихся, осваивающих образовательные программы начального общего образования
</t>
  </si>
  <si>
    <t>100% детей, осваивающих образовательные программы начального общего образования получают горячее питание</t>
  </si>
  <si>
    <t xml:space="preserve"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
</t>
  </si>
  <si>
    <t>100% детей с ограниченными возможностями здоровья, сирот и инвалидов в дошкольных образовательных организациях получают бесплатное питание</t>
  </si>
  <si>
    <t xml:space="preserve">Субсидия на организацию бесплатного двухразового питания обучающихся с ограниченными возможностями здоровья в образовательных учреждениях
 </t>
  </si>
  <si>
    <t>100% детей с ограниченными возможностями здоровья осваивающих образовательные программы  получают бесплатное двухразовое питание</t>
  </si>
  <si>
    <t>2.1.</t>
  </si>
  <si>
    <t>Проведение ремонтных работ в образовательных организациях</t>
  </si>
  <si>
    <t xml:space="preserve"> МБОУ ДМИТ.СОШ; МБОУ КИЗ.СОШ; МБОУ СТР.СОШ; МБОУ УСТ.СОШ; МБОУ УЛ.СОШ</t>
  </si>
  <si>
    <t>2.2.</t>
  </si>
  <si>
    <t>Создание безопасных условий по подвозу обучающихся к месту учебы и обратно, оснащение образовательных организаций школьными автобусами</t>
  </si>
  <si>
    <t>2.3.</t>
  </si>
  <si>
    <t>Создание условий, отвечающих требованиям пожарной безопасности</t>
  </si>
  <si>
    <t>Установка цифрового образовательного кольца</t>
  </si>
  <si>
    <t>2.5.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</si>
  <si>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</si>
  <si>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 xml:space="preserve"> Создание муниципального информационно-библиотечного центра и  школьных ИБЦ</t>
  </si>
  <si>
    <t>2.7.</t>
  </si>
  <si>
    <t>Создание условий для инклюзивного образования ( для безбарьерных условий маломобильных людей в рамках программы "Доступная среда" )</t>
  </si>
  <si>
    <t>2.8.</t>
  </si>
  <si>
    <t>Благоустройство территорий муниципальных образовательных организаций</t>
  </si>
  <si>
    <t>УПРАВЛЕНИЕ КУЛЬТУРЫ;  МБОУ БЕР.ОГ; МБОУ БЕСТ.СОШ; МБОУ ДМИТ.СОШ; МБОУ ИЛЕЗ.СОШ; МБОУ КИЗ.СОШ; МБОУ ЛОЙГ.СОШ; МБОУ МАЛОД.СОШ;  МБОУ Н/Ш Д/С МОНТЕССОРИ; МБОУ ОСШ №1; МБОУ ОСШ №2; МБОУ СТР.СОШ; МБОУ УСТ.СОШ; МБОУ УЛ.СОШ</t>
  </si>
  <si>
    <t>3.1.</t>
  </si>
  <si>
    <t>МБОУ БЕР.ОГ; МБОУ БЕСТ.СОШ; МБОУ ДМИТ.СОШ; МБОУ ИЛЕЗ.СОШ; МБОУ КИЗ.СОШ; МБОУ ЛОЙГ.СОШ; МБОУ МАЛОД.СОШ;  МБОУ Н/Ш Д/С МОНТЕССОРИ; МБОУ ОСШ №1; МБОУ ОСШ №2; МБОУ СТР.СОШ; МБОУ УСТ.СОШ; МБОУ УЛ.СОШ</t>
  </si>
  <si>
    <t>Акарицидная обработка территорий оздровительных лагерей с дневным пребыванием детей</t>
  </si>
  <si>
    <t>Организация курсовой подготовки работников, занятых организацией летнего отдыха детей</t>
  </si>
  <si>
    <t>Трудоустройство несовершеннолетних, в т.ч несовершеннолетних, попавших в трудную жизненную ситуацию</t>
  </si>
  <si>
    <t xml:space="preserve"> МБОУ БЕР.ОГ; МБОУ БЕСТ.СОШ; МБОУ ДМИТ.СОШ; МБОУ ИЛЕЗ.СОШ; МБОУ КИЗ.СОШ; МБОУ ЛОЙГ.СОШ; МБОУ МАЛОД.СОШ;  МБОУ Н/Ш Д/С МОНТЕССОРИ; МБОУ ОСШ №1; МБОУ ОСШ №2; МБОУ СТР.СОШ; МБОУ УСТ.СОШ; МБОУ УЛ.СОШ</t>
  </si>
  <si>
    <t>Мероприятия по оздоровлению и организации занятости детей</t>
  </si>
  <si>
    <r>
      <t>УПРАВЛЕНИЕ КУЛЬТУРЫ</t>
    </r>
    <r>
      <rPr>
        <sz val="8"/>
        <rFont val="Times New Roman"/>
        <family val="1"/>
        <charset val="204"/>
      </rPr>
      <t>;</t>
    </r>
    <r>
      <rPr>
        <sz val="6"/>
        <rFont val="Times New Roman"/>
        <family val="1"/>
        <charset val="204"/>
      </rPr>
      <t xml:space="preserve">  МБОУ БЕР.ОГ; МБОУ БЕСТ.СОШ; МБОУ ДМИТ.СОШ; МБОУ ИЛЕЗ.СОШ; МБОУ КИЗ.СОШ; МБОУ ЛОЙГ.СОШ; МБОУ МАЛОД.СОШ;  МБОУ Н/Ш Д/С МОНТЕССОРИ; МБОУ ОСШ №1; МБОУ ОСШ №2; МБОУ СТР.СОШ; МБОУ УСТ.СОШ; МБОУ УЛ.СОШ</t>
    </r>
  </si>
  <si>
    <t>4.1.</t>
  </si>
  <si>
    <t>Школа одаренных детей</t>
  </si>
  <si>
    <t>Участия в конференциях (Юность Поморья, Форум гражданских инициатив " Я гражданин России", Живая классика)</t>
  </si>
  <si>
    <t xml:space="preserve">Участия во Всероссийской олимпиаде школьников (региональный этап, муниципальный этап ) </t>
  </si>
  <si>
    <t>4.5.</t>
  </si>
  <si>
    <t>Организация и проведение районного праздника "Юные дарования Устьи"</t>
  </si>
  <si>
    <t>4.6.</t>
  </si>
  <si>
    <t xml:space="preserve">Развитие технического творчества </t>
  </si>
  <si>
    <t>Развитие естественно-научного направления</t>
  </si>
  <si>
    <t>4.7.</t>
  </si>
  <si>
    <t>5.1.</t>
  </si>
  <si>
    <t>-</t>
  </si>
  <si>
    <t>эффективность реализации муниципальной программы - 0,9</t>
  </si>
  <si>
    <t>.</t>
  </si>
  <si>
    <t>ИТОГО ОБЪЕМЫ ФИНАНСИРОВАНИЯ ПО ПРОГРАММЕ</t>
  </si>
  <si>
    <t>субвенция</t>
  </si>
  <si>
    <t>льготы педагогам</t>
  </si>
  <si>
    <t>Реализация мероприятий по модернизации (капитальному ремонту) школьных систем образования</t>
  </si>
  <si>
    <t>2.4.</t>
  </si>
  <si>
    <t>2.6.</t>
  </si>
  <si>
    <t>2.9.</t>
  </si>
  <si>
    <t>Подпрограмма 6 "Создание условий для развития кадрового потенциала" Задача:  Обеспечение потребности системы образования Устьянского муниципального района в квалифицированных кадрах (педагогах) с высшим образованием</t>
  </si>
  <si>
    <t>6.1.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</si>
  <si>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</si>
  <si>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Привлечение студентов для дальнейшей работы в образовательных учреждениях, расположенных на территории муниципального образования Устьянский муниципальный район - 2 педагога в год</t>
  </si>
  <si>
    <t>Подпрограмма 7 "Создание условий для повышения престижа учительской профессии" Задача: повышение престижа профессии педагога в профессиональной среде и обществе</t>
  </si>
  <si>
    <t>7.1.</t>
  </si>
  <si>
    <t>Участие в мероприятиях направленных на повышение престижа профессии педагог</t>
  </si>
  <si>
    <t>Увеличение до 15% доли педагогов, обобщивших  и распространивших свой  педагогический опыт;
Увеличение доли образовательных организаций, внедряющих инновационные методы и приёмы воспитания (от общего количества образовательных организаций) до 60%;
Количество педагогов, принявших участие в конкурсах профессионального мастерства муниципального уровня – 12 чел</t>
  </si>
  <si>
    <t>Приложение 4</t>
  </si>
  <si>
    <t>Спортивные соревнования и др.(спартакиада, раонные меропр.)</t>
  </si>
  <si>
    <t>в т.ч. Местный бюджет</t>
  </si>
  <si>
    <t xml:space="preserve"> "Развитие образования Устьянского муниципального округа"</t>
  </si>
  <si>
    <t>"Развитие образования Устьянского муниципального округа"</t>
  </si>
  <si>
    <t xml:space="preserve">Субсидия на обеспечение мероприятий по организации предоставления дополнительных мер социальной поддержи семьям военнослужащих в виде бесплатного питания обучающихся в ОО и бесплатного присмотра и ухода за детьми  в ДОУ
 </t>
  </si>
  <si>
    <t>100% детей получают дополнительные меры социальной поддержи семьям военнослужащих в виде бесплатного питания обучающихся в ОО и бесплатного присмотра и ухода за детьми  в ДОУ</t>
  </si>
  <si>
    <t>Укрепление  материально-технической базы  стационарных  оздоровительных лагерей</t>
  </si>
  <si>
    <t>Подпрограмма 5 "Создание условий для реализации программы" Задача: обеспечить эффективную деятельность органов исполнительной власти в сфере образования</t>
  </si>
  <si>
    <t>Расходы на содержание органов местного самоуправления в сфере образования</t>
  </si>
  <si>
    <t>Подпрограмма 3 "Отдых  детей  в  каникулярный  период" Цели: создать условия для организации и обеспечения отдыха, оздоровления и занятости детей  в каникулярный период.</t>
  </si>
  <si>
    <t>Подпрограмма 4 "Создание условий для развития одаренных детей" Цели: выявление и поддержка одаренных (талантливых) детей,  создание  условий, обеспечивающих повышение творческой активности, развитию лидерских качеств обучающихся.</t>
  </si>
  <si>
    <t xml:space="preserve">Подпрограмма 2 "Создание безопасной инфраструктуры образовательных организаций" Цель: обеспечить современные (безопасные) условия для организации общего и дополнительного образования в Устьянском муниципальном округе.
</t>
  </si>
  <si>
    <t>7.2.</t>
  </si>
  <si>
    <t>7.3.</t>
  </si>
  <si>
    <t>Подпрограмма 1 "Развитие  общего и дополнительного образования Устьянского муниципального окргуа" Задача: создать условия для эффективного использования кадрового, материально-технического ресурсов образования для обеспечения высокого его  качества, максимального удовлетворения образовательных потребностей обучающихся, запросов семьи и общества.</t>
  </si>
  <si>
    <t>УПРАВЛЕНИЕ КУЛЬТУРЫ;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</si>
  <si>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 xml:space="preserve">1) Снижение до 35% муниципальных  образовательных учреждений, здания которых находятся в аварийном состоянии или требуют капитального ремонта, в общем числе муниципальных образовательных учреждений 
2) 100% транспортных средств, осуществляющих подвоз детей к месту учебы и обратно, срок эксплуатации которых не превышает 10 лет;                                                                                                                    3) 100% муниципальных  образовательных учреждений в которых установлена пожарная сигнализация
4) 50% муниципальных общеобразовательных учреждений с моделью цифровой образовательной среды НП "Цифровая образовательная среда";                                                                                                                     5) 100% муниципальных  образовательных учреждений, в которых установлены системы  видеонаблюдения;
6) 9 спортивных залов с обновленной материально-технической  базой  для занятий физической культурой и спортом
7) 6 муниципальных общеобразовательных учреждений в которых установлено цифровое образовательное кольцо
8) 40%  информационно библиотечных центров в числе общего количества школьных библиотек
</t>
  </si>
  <si>
    <t xml:space="preserve"> МБОУУстСОШ</t>
  </si>
  <si>
    <t xml:space="preserve">
1) 5% несовершеннолетних  охвачены трудоустройством в т.ч  несовершеннолетних попавших в ТЖС;
2) 70% детей охвачены организованным оздоровлением;</t>
  </si>
  <si>
    <t>65% детей, охваченных образовательными программами дополнительного образования физкультурно-оздоровительной и спортивной направленности;                                                         - 8%  участники   районного праздника  «Юные дарования Устьи»;
- Участие во всероссийской олимпиаде школьников:
Школьный этап – 60%      Муниципальный этап – 35%
Региональный этап – 6%       Заключительный этап -0,06%</t>
  </si>
  <si>
    <t>к постановлению от 08 февраля 2023 года № 201</t>
  </si>
  <si>
    <t>2020-2025</t>
  </si>
  <si>
    <r>
      <t xml:space="preserve">Обеспечение функционирования системы персонифицированного финансирования дополнительного образования детей </t>
    </r>
    <r>
      <rPr>
        <sz val="12"/>
        <color rgb="FFFF0000"/>
        <rFont val="Times New Roman"/>
        <family val="1"/>
        <charset val="204"/>
      </rPr>
      <t>(через предоставление социальных сертификатов)</t>
    </r>
  </si>
  <si>
    <t>Реализация мероприятий по модернизации системы дошкольного образования</t>
  </si>
  <si>
    <t>Обеспечение функционирования системы персонифицированного финансирования дополнительного образования детей (через предоставление социальных сертификатов)</t>
  </si>
  <si>
    <t>к постановлению от 17 марта 2023 года № 450</t>
  </si>
  <si>
    <t>к постановлению от 10 апреля 2023 года № 672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</si>
</sst>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0">
    <font>
      <sz val="10"/>
      <name val="Arial"/>
    </font>
    <font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0" tint="-0.249977111117893"/>
      <name val="Times New Roman"/>
      <family val="1"/>
      <charset val="204"/>
    </font>
    <font>
      <sz val="9"/>
      <color theme="0" tint="-0.1499984740745262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3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" fontId="3" fillId="2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/>
    <xf numFmtId="164" fontId="3" fillId="2" borderId="0" xfId="0" applyNumberFormat="1" applyFont="1" applyFill="1"/>
    <xf numFmtId="164" fontId="15" fillId="2" borderId="0" xfId="0" applyNumberFormat="1" applyFont="1" applyFill="1"/>
    <xf numFmtId="4" fontId="15" fillId="2" borderId="2" xfId="0" applyNumberFormat="1" applyFont="1" applyFill="1" applyBorder="1"/>
    <xf numFmtId="0" fontId="15" fillId="2" borderId="0" xfId="0" applyFont="1" applyFill="1"/>
    <xf numFmtId="0" fontId="3" fillId="2" borderId="2" xfId="0" applyFont="1" applyFill="1" applyBorder="1"/>
    <xf numFmtId="0" fontId="3" fillId="0" borderId="1" xfId="0" applyFont="1" applyBorder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2" borderId="0" xfId="0" applyFont="1" applyFill="1"/>
    <xf numFmtId="0" fontId="12" fillId="0" borderId="0" xfId="0" applyFont="1" applyAlignment="1">
      <alignment vertical="center"/>
    </xf>
    <xf numFmtId="4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4" fontId="12" fillId="0" borderId="1" xfId="0" applyNumberFormat="1" applyFont="1" applyBorder="1"/>
    <xf numFmtId="0" fontId="12" fillId="0" borderId="1" xfId="0" applyFont="1" applyBorder="1"/>
    <xf numFmtId="0" fontId="12" fillId="0" borderId="0" xfId="0" applyFont="1" applyAlignment="1">
      <alignment horizontal="right" vertical="center" indent="1"/>
    </xf>
    <xf numFmtId="0" fontId="12" fillId="0" borderId="0" xfId="0" applyFont="1" applyAlignment="1">
      <alignment horizontal="left" vertical="center" indent="1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4" fontId="12" fillId="2" borderId="0" xfId="0" applyNumberFormat="1" applyFont="1" applyFill="1"/>
    <xf numFmtId="0" fontId="14" fillId="2" borderId="0" xfId="1" applyFont="1" applyFill="1"/>
    <xf numFmtId="4" fontId="14" fillId="2" borderId="0" xfId="1" applyNumberFormat="1" applyFont="1" applyFill="1"/>
    <xf numFmtId="4" fontId="16" fillId="2" borderId="0" xfId="0" applyNumberFormat="1" applyFont="1" applyFill="1"/>
    <xf numFmtId="0" fontId="3" fillId="3" borderId="1" xfId="0" applyFont="1" applyFill="1" applyBorder="1"/>
    <xf numFmtId="4" fontId="12" fillId="3" borderId="1" xfId="0" applyNumberFormat="1" applyFont="1" applyFill="1" applyBorder="1"/>
    <xf numFmtId="4" fontId="12" fillId="3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4" fontId="12" fillId="4" borderId="1" xfId="0" applyNumberFormat="1" applyFont="1" applyFill="1" applyBorder="1"/>
    <xf numFmtId="4" fontId="12" fillId="4" borderId="1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4" fontId="8" fillId="2" borderId="0" xfId="0" applyNumberFormat="1" applyFont="1" applyFill="1"/>
    <xf numFmtId="0" fontId="3" fillId="5" borderId="1" xfId="0" applyFont="1" applyFill="1" applyBorder="1"/>
    <xf numFmtId="4" fontId="12" fillId="5" borderId="1" xfId="0" applyNumberFormat="1" applyFont="1" applyFill="1" applyBorder="1"/>
    <xf numFmtId="4" fontId="17" fillId="2" borderId="0" xfId="0" applyNumberFormat="1" applyFont="1" applyFill="1"/>
    <xf numFmtId="0" fontId="17" fillId="0" borderId="0" xfId="0" applyFont="1" applyAlignment="1">
      <alignment horizontal="left" vertical="center" indent="1"/>
    </xf>
    <xf numFmtId="4" fontId="12" fillId="0" borderId="1" xfId="0" applyNumberFormat="1" applyFont="1" applyFill="1" applyBorder="1"/>
    <xf numFmtId="0" fontId="3" fillId="0" borderId="1" xfId="0" applyFont="1" applyFill="1" applyBorder="1"/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inden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indent="1"/>
    </xf>
    <xf numFmtId="0" fontId="3" fillId="2" borderId="0" xfId="1" applyFont="1" applyFill="1" applyAlignment="1">
      <alignment horizontal="center" vertical="center"/>
    </xf>
    <xf numFmtId="0" fontId="10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/>
    <xf numFmtId="0" fontId="12" fillId="2" borderId="0" xfId="1" applyFont="1" applyFill="1"/>
    <xf numFmtId="4" fontId="3" fillId="2" borderId="0" xfId="1" applyNumberFormat="1" applyFont="1" applyFill="1"/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 indent="1"/>
    </xf>
    <xf numFmtId="4" fontId="13" fillId="2" borderId="0" xfId="1" applyNumberFormat="1" applyFont="1" applyFill="1" applyAlignment="1">
      <alignment horizontal="center" wrapText="1"/>
    </xf>
    <xf numFmtId="0" fontId="13" fillId="2" borderId="0" xfId="1" applyFont="1" applyFill="1" applyAlignment="1">
      <alignment horizontal="center" wrapText="1"/>
    </xf>
    <xf numFmtId="0" fontId="12" fillId="0" borderId="0" xfId="1" applyFont="1" applyAlignment="1">
      <alignment horizontal="left" vertical="center" indent="1"/>
    </xf>
    <xf numFmtId="4" fontId="12" fillId="2" borderId="0" xfId="1" applyNumberFormat="1" applyFont="1" applyFill="1"/>
    <xf numFmtId="4" fontId="16" fillId="2" borderId="0" xfId="1" applyNumberFormat="1" applyFont="1" applyFill="1"/>
    <xf numFmtId="0" fontId="17" fillId="0" borderId="0" xfId="1" applyFont="1" applyAlignment="1">
      <alignment horizontal="left" vertical="center" indent="1"/>
    </xf>
    <xf numFmtId="4" fontId="17" fillId="2" borderId="0" xfId="1" applyNumberFormat="1" applyFont="1" applyFill="1"/>
    <xf numFmtId="0" fontId="10" fillId="2" borderId="0" xfId="1" applyFont="1" applyFill="1" applyAlignment="1">
      <alignment horizontal="center"/>
    </xf>
    <xf numFmtId="0" fontId="11" fillId="2" borderId="1" xfId="1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 vertical="center"/>
    </xf>
    <xf numFmtId="0" fontId="3" fillId="3" borderId="1" xfId="1" applyFont="1" applyFill="1" applyBorder="1"/>
    <xf numFmtId="4" fontId="12" fillId="3" borderId="1" xfId="1" applyNumberFormat="1" applyFont="1" applyFill="1" applyBorder="1"/>
    <xf numFmtId="4" fontId="12" fillId="3" borderId="1" xfId="1" applyNumberFormat="1" applyFont="1" applyFill="1" applyBorder="1" applyAlignment="1">
      <alignment horizontal="right"/>
    </xf>
    <xf numFmtId="0" fontId="3" fillId="4" borderId="1" xfId="1" applyFont="1" applyFill="1" applyBorder="1"/>
    <xf numFmtId="4" fontId="12" fillId="4" borderId="1" xfId="1" applyNumberFormat="1" applyFont="1" applyFill="1" applyBorder="1"/>
    <xf numFmtId="4" fontId="12" fillId="4" borderId="1" xfId="1" applyNumberFormat="1" applyFont="1" applyFill="1" applyBorder="1" applyAlignment="1">
      <alignment horizontal="right"/>
    </xf>
    <xf numFmtId="0" fontId="3" fillId="0" borderId="1" xfId="1" applyFont="1" applyBorder="1"/>
    <xf numFmtId="4" fontId="12" fillId="0" borderId="1" xfId="1" applyNumberFormat="1" applyFont="1" applyBorder="1"/>
    <xf numFmtId="4" fontId="12" fillId="0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0" xfId="1" applyNumberFormat="1" applyFont="1" applyFill="1"/>
    <xf numFmtId="164" fontId="15" fillId="2" borderId="0" xfId="1" applyNumberFormat="1" applyFont="1" applyFill="1"/>
    <xf numFmtId="0" fontId="3" fillId="0" borderId="1" xfId="1" applyFont="1" applyFill="1" applyBorder="1"/>
    <xf numFmtId="4" fontId="15" fillId="2" borderId="2" xfId="1" applyNumberFormat="1" applyFont="1" applyFill="1" applyBorder="1"/>
    <xf numFmtId="0" fontId="15" fillId="2" borderId="0" xfId="1" applyFont="1" applyFill="1"/>
    <xf numFmtId="0" fontId="12" fillId="0" borderId="1" xfId="1" applyFont="1" applyBorder="1"/>
    <xf numFmtId="0" fontId="3" fillId="2" borderId="2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left" vertical="center" indent="1"/>
    </xf>
    <xf numFmtId="0" fontId="3" fillId="3" borderId="3" xfId="1" applyFont="1" applyFill="1" applyBorder="1" applyAlignment="1">
      <alignment vertical="center" wrapText="1"/>
    </xf>
    <xf numFmtId="0" fontId="3" fillId="3" borderId="5" xfId="1" applyFont="1" applyFill="1" applyBorder="1" applyAlignment="1">
      <alignment vertical="center" wrapText="1"/>
    </xf>
    <xf numFmtId="0" fontId="3" fillId="5" borderId="1" xfId="1" applyFont="1" applyFill="1" applyBorder="1"/>
    <xf numFmtId="4" fontId="12" fillId="5" borderId="1" xfId="1" applyNumberFormat="1" applyFont="1" applyFill="1" applyBorder="1"/>
    <xf numFmtId="4" fontId="8" fillId="2" borderId="0" xfId="1" applyNumberFormat="1" applyFont="1" applyFill="1"/>
    <xf numFmtId="0" fontId="12" fillId="2" borderId="0" xfId="1" applyFont="1" applyFill="1" applyAlignment="1">
      <alignment horizontal="left" vertical="center" indent="1"/>
    </xf>
    <xf numFmtId="0" fontId="12" fillId="2" borderId="4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10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 indent="1"/>
    </xf>
    <xf numFmtId="0" fontId="10" fillId="0" borderId="5" xfId="0" applyFont="1" applyFill="1" applyBorder="1" applyAlignment="1">
      <alignment horizontal="left" vertical="center" wrapText="1" inden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4" fontId="13" fillId="2" borderId="4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4" fontId="13" fillId="2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0" fontId="2" fillId="3" borderId="5" xfId="1" applyFont="1" applyFill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" fontId="13" fillId="2" borderId="4" xfId="1" applyNumberFormat="1" applyFont="1" applyFill="1" applyBorder="1" applyAlignment="1">
      <alignment horizontal="center" vertical="center"/>
    </xf>
    <xf numFmtId="4" fontId="13" fillId="2" borderId="3" xfId="1" applyNumberFormat="1" applyFont="1" applyFill="1" applyBorder="1" applyAlignment="1">
      <alignment horizontal="center" vertical="center"/>
    </xf>
    <xf numFmtId="4" fontId="13" fillId="2" borderId="5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 wrapText="1"/>
    </xf>
    <xf numFmtId="0" fontId="2" fillId="2" borderId="0" xfId="1" applyFont="1" applyFill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vertical="center" wrapText="1"/>
    </xf>
    <xf numFmtId="0" fontId="11" fillId="4" borderId="3" xfId="1" applyFont="1" applyFill="1" applyBorder="1" applyAlignment="1">
      <alignment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14" fontId="3" fillId="2" borderId="4" xfId="1" applyNumberFormat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left" vertical="center" wrapText="1" indent="1"/>
    </xf>
    <xf numFmtId="0" fontId="12" fillId="2" borderId="3" xfId="1" applyFont="1" applyFill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2" fillId="2" borderId="5" xfId="1" applyFont="1" applyFill="1" applyBorder="1" applyAlignment="1">
      <alignment horizontal="left" vertical="center" wrapText="1" inden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11" fillId="4" borderId="5" xfId="1" applyFont="1" applyFill="1" applyBorder="1" applyAlignment="1">
      <alignment horizontal="left" vertical="center" wrapText="1"/>
    </xf>
    <xf numFmtId="0" fontId="3" fillId="4" borderId="5" xfId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 indent="1"/>
    </xf>
    <xf numFmtId="0" fontId="3" fillId="2" borderId="3" xfId="1" applyFont="1" applyFill="1" applyBorder="1" applyAlignment="1">
      <alignment horizontal="left" vertical="center" wrapText="1" indent="1"/>
    </xf>
    <xf numFmtId="0" fontId="12" fillId="2" borderId="6" xfId="1" applyFont="1" applyFill="1" applyBorder="1" applyAlignment="1">
      <alignment horizontal="left" vertical="center" wrapText="1" indent="1"/>
    </xf>
    <xf numFmtId="0" fontId="12" fillId="2" borderId="2" xfId="1" applyFont="1" applyFill="1" applyBorder="1" applyAlignment="1">
      <alignment horizontal="left" vertical="center" wrapText="1" indent="1"/>
    </xf>
    <xf numFmtId="0" fontId="12" fillId="2" borderId="10" xfId="1" applyFont="1" applyFill="1" applyBorder="1" applyAlignment="1">
      <alignment horizontal="left" vertical="center" wrapText="1" indent="1"/>
    </xf>
    <xf numFmtId="0" fontId="2" fillId="3" borderId="4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6" fontId="3" fillId="2" borderId="4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 indent="1"/>
    </xf>
    <xf numFmtId="0" fontId="12" fillId="2" borderId="1" xfId="1" applyFont="1" applyFill="1" applyBorder="1" applyAlignment="1">
      <alignment horizontal="left" vertical="center" inden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left" vertical="center" wrapText="1" indent="1"/>
    </xf>
    <xf numFmtId="0" fontId="10" fillId="0" borderId="5" xfId="1" applyFont="1" applyFill="1" applyBorder="1" applyAlignment="1">
      <alignment horizontal="left" vertical="center" wrapText="1" inden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 indent="1"/>
    </xf>
    <xf numFmtId="0" fontId="8" fillId="2" borderId="3" xfId="1" applyFont="1" applyFill="1" applyBorder="1" applyAlignment="1">
      <alignment horizontal="left" vertical="center" wrapText="1" inden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41;&#1102;&#1076;&#1078;&#1077;&#1090;%202023\&#1055;&#1088;&#1086;&#1077;&#1082;&#1090;\&#1050;&#1072;&#1089;&#1089;&#1086;&#1074;&#1099;&#1081;%20&#1087;&#1083;&#1072;&#1085;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72;&#1087;&#1082;&#1072;%20&#1086;&#1073;&#1084;&#1077;&#1085;&#1072;\1.&#1040;&#1083;&#1105;&#1085;&#1072;\&#1055;&#1077;&#1088;&#1077;&#1085;&#1086;&#1089;&#1099;%20&#1053;&#1086;&#1103;&#1073;&#1088;&#1100;%20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41;&#1102;&#1076;&#1078;&#1077;&#1090;%202023\&#1055;&#1088;&#1086;&#1077;&#1082;&#1090;\&#1052;&#1077;&#1088;&#1086;&#1087;&#1088;&#1080;&#1103;&#1090;&#1080;&#1103;\&#1057;&#1084;&#1077;&#1090;&#1072;%20&#1084;&#1077;&#1088;&#1086;&#1087;&#1088;&#1080;&#1103;&#1090;&#1080;&#1081;%20%20&#1087;&#1086;%20&#1050;&#1062;%200870%20&#1085;&#1072;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bpm2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1%20&#1075;&#1086;&#1076;\12.%20&#1044;&#1077;&#1082;&#1072;&#1073;&#1088;&#1100;\&#1050;&#1086;&#1087;&#1080;&#1103;%202021%20&#1075;&#1086;&#107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60;&#1080;&#1085;%20&#1086;&#1090;&#1076;&#1077;&#1083;\&#1064;&#1045;&#1056;&#1071;&#1043;&#1048;&#1053;&#1054;&#1049;\&#1057;&#1077;&#1090;&#1100;\&#1059;&#1074;&#1077;&#1076;&#1086;&#1084;&#1083;&#1077;&#1085;&#1080;&#1077;%20774%20&#1085;&#1072;%202023-2025%20&#1075;&#107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3%20&#1075;&#1086;&#1076;\774%20&#1085;&#1072;%2001.03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3%20&#1075;&#1086;&#1076;\774%20&#1085;&#1072;%2001.03%20&#1087;&#1083;&#1072;&#1085;&#1086;&#1074;&#1099;&#1081;%20&#1087;&#1077;&#1088;&#1080;&#1086;&#1076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me\Downloads\&#1086;&#1090;%20&#1048;&#1085;&#1085;&#1099;\&#1087;&#1088;&#1086;&#1075;&#1088;&#1072;&#1084;&#1084;&#1072;%20&#1085;&#1072;%2001.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2%20&#1075;&#1086;&#1076;\11.%20&#1053;&#1086;&#1103;&#1073;&#1088;&#1100;&#1089;&#1082;&#1072;&#1103;%20&#1089;&#1077;&#1089;&#1089;&#1080;&#1103;\2022%20&#1091;&#1087;&#1088;%20&#1086;&#1073;&#1088;&#1072;&#107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esktop\15-10-2021_&#1086;&#1090;&#1095;&#1105;&#1090;%20&#1079;&#1072;%209%20&#1084;&#1077;&#1089;&#1103;&#1094;&#1077;&#1074;\&#1050;&#1086;&#1087;&#1080;&#1103;%20&#1054;&#1090;&#1095;&#1077;&#1090;%20&#1086;%20&#1093;&#1086;&#1076;&#1077;%20&#1088;&#1077;&#1072;&#1083;&#1080;&#1079;&#1072;&#1094;&#1080;&#1080;%20&#1084;&#1091;&#1085;&#1080;&#1094;&#1080;&#1087;&#1072;&#1083;&#1100;&#1085;&#1086;&#1081;%20&#1087;&#1088;&#1086;&#1075;&#1088;&#1072;&#1084;&#1084;&#1099;%20&#1079;&#1072;%209%20&#1084;&#1077;&#1089;&#1103;&#1094;&#1077;&#1074;%202020(&#1040;&#1074;&#1090;&#1086;&#1084;&#1072;&#1090;&#1080;&#1095;&#1077;&#1089;&#1082;&#1080;&#1042;&#1086;&#1089;&#1089;&#1090;&#1072;&#1085;&#1086;&#1074;&#1083;&#1077;&#1085;&#1086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2%20&#1075;&#1086;&#1076;\12.%20&#1044;&#1077;&#1082;&#1072;&#1073;&#1088;&#1100;\&#1087;&#1088;&#1086;&#1075;&#1088;&#1072;&#1084;&#1084;&#1072;%20&#1085;&#1072;%20&#1082;&#1086;&#1085;&#1077;&#1094;%202022%20&#1075;&#1086;&#1076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41;&#1102;&#1076;&#1078;&#1077;&#1090;%202023\&#1055;&#1088;&#1086;&#1077;&#1082;&#1090;\&#1055;&#1080;&#1090;&#1072;&#1085;&#1080;&#1077;%20&#1085;&#1072;&#1095;.&#1082;&#1083;&#1072;&#1089;&#1089;&#1099;\&#1057;&#1042;&#1054;&#1044;&#1088;&#1072;&#1089;&#1095;&#1105;&#1090;%20&#1087;&#1080;&#1090;&#1072;&#1085;&#1080;&#1077;%201-4%20&#1082;&#1083;.%202023%20&#1074;%20&#1054;&#1054;1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72;&#1087;&#1082;&#1072;%20&#1086;&#1073;&#1084;&#1077;&#1085;&#1072;\1.&#1040;&#1083;&#1105;&#1085;&#1072;\&#1051;&#1041;&#1054;%20&#1085;&#1072;%202022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2%20&#1075;&#1086;&#1076;\6.%20&#1048;&#1102;&#1085;&#1100;&#1089;&#1082;&#1072;&#1103;%20&#1089;&#1077;&#1089;&#1089;&#1080;&#1103;\2022%20&#1082;%20&#1087;&#1088;&#1086;&#1075;&#1088;&#1072;&#1084;&#1084;&#107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2%20&#1075;&#1086;&#1076;\9.%20&#1057;&#1077;&#1085;&#1090;&#1103;&#1073;&#1088;&#1100;&#1089;&#1082;&#1072;&#1103;%20&#1089;&#1077;&#1089;&#1089;&#1080;&#1103;\&#1088;&#1072;&#1079;&#1074;%20&#1086;&#1073;&#1088;%20&#1085;&#1072;%2001.10%20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2%20&#1075;&#1086;&#1076;\&#1054;&#1090;&#1095;&#1077;&#1090;%20&#1079;&#1072;%209%20&#1084;&#1077;&#1089;&#1103;&#1094;&#1077;&#1074;\&#1040;&#1050;&#1040;&#1056;%20&#1080;%20&#1044;&#1045;&#1056;&#1040;&#1058;%20&#1087;&#1086;%200875%20&#1079;&#1072;%202022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 2023-2025 местн"/>
      <sheetName val="2023"/>
      <sheetName val="2024"/>
      <sheetName val="2025"/>
      <sheetName val="Бюджет 2023-2025 МБ, ОБ, ФБ"/>
    </sheetNames>
    <sheetDataSet>
      <sheetData sheetId="0">
        <row r="9">
          <cell r="J9">
            <v>116129134.05</v>
          </cell>
          <cell r="R9">
            <v>116129134.05</v>
          </cell>
        </row>
        <row r="10">
          <cell r="Q10">
            <v>778350</v>
          </cell>
          <cell r="R10">
            <v>778350</v>
          </cell>
        </row>
        <row r="31">
          <cell r="J31">
            <v>206212</v>
          </cell>
        </row>
        <row r="41">
          <cell r="J41">
            <v>2100000</v>
          </cell>
        </row>
        <row r="46">
          <cell r="J46">
            <v>444702.1</v>
          </cell>
        </row>
        <row r="69">
          <cell r="J69">
            <v>14075277</v>
          </cell>
        </row>
        <row r="70">
          <cell r="J70">
            <v>4250733</v>
          </cell>
        </row>
        <row r="71">
          <cell r="J71">
            <v>222130</v>
          </cell>
        </row>
        <row r="72">
          <cell r="J72">
            <v>453078.36</v>
          </cell>
        </row>
        <row r="76">
          <cell r="J76">
            <v>361200</v>
          </cell>
          <cell r="Q76">
            <v>361200</v>
          </cell>
          <cell r="R76">
            <v>361200</v>
          </cell>
        </row>
      </sheetData>
      <sheetData sheetId="1"/>
      <sheetData sheetId="2"/>
      <sheetData sheetId="3"/>
      <sheetData sheetId="4">
        <row r="7">
          <cell r="J7">
            <v>19700000</v>
          </cell>
          <cell r="Q7">
            <v>20500000</v>
          </cell>
          <cell r="R7">
            <v>23200000</v>
          </cell>
        </row>
        <row r="8">
          <cell r="J8">
            <v>207451697.49000001</v>
          </cell>
          <cell r="Q8">
            <v>214805923</v>
          </cell>
          <cell r="R8">
            <v>219406733</v>
          </cell>
        </row>
        <row r="11">
          <cell r="J11">
            <v>1068773.6400000001</v>
          </cell>
        </row>
        <row r="14">
          <cell r="J14">
            <v>3886914</v>
          </cell>
        </row>
        <row r="22">
          <cell r="J22">
            <v>37100000</v>
          </cell>
          <cell r="Q22">
            <v>38600000</v>
          </cell>
          <cell r="R22">
            <v>43800000</v>
          </cell>
        </row>
        <row r="24">
          <cell r="J24">
            <v>400319266.50999999</v>
          </cell>
          <cell r="Q24">
            <v>414510706</v>
          </cell>
          <cell r="R24">
            <v>423388884</v>
          </cell>
        </row>
        <row r="25">
          <cell r="J25">
            <v>30405510</v>
          </cell>
          <cell r="Q25">
            <v>30783990</v>
          </cell>
          <cell r="R25">
            <v>30783990</v>
          </cell>
        </row>
        <row r="26">
          <cell r="J26">
            <v>150756372.58999997</v>
          </cell>
          <cell r="R26">
            <v>150756372.58999997</v>
          </cell>
        </row>
        <row r="27">
          <cell r="J27">
            <v>1100730</v>
          </cell>
        </row>
        <row r="29">
          <cell r="J29">
            <v>893788</v>
          </cell>
        </row>
        <row r="30">
          <cell r="J30">
            <v>893788</v>
          </cell>
        </row>
        <row r="32">
          <cell r="J32">
            <v>1630221</v>
          </cell>
        </row>
        <row r="49">
          <cell r="J49">
            <v>1913050.7700000033</v>
          </cell>
          <cell r="Q49">
            <v>1941573.200000003</v>
          </cell>
          <cell r="R49">
            <v>2437135.7300000042</v>
          </cell>
        </row>
        <row r="50">
          <cell r="J50">
            <v>71738046.689999998</v>
          </cell>
          <cell r="Q50">
            <v>74582183.434584364</v>
          </cell>
          <cell r="R50">
            <v>76316115.434584364</v>
          </cell>
        </row>
        <row r="51">
          <cell r="J51">
            <v>11133889.310000001</v>
          </cell>
          <cell r="Q51">
            <v>11227587.565415632</v>
          </cell>
          <cell r="R51">
            <v>11331567.565415632</v>
          </cell>
        </row>
        <row r="52">
          <cell r="J52">
            <v>21029566.759999998</v>
          </cell>
        </row>
        <row r="53">
          <cell r="J53">
            <v>57920</v>
          </cell>
        </row>
        <row r="54">
          <cell r="J54">
            <v>3280057.4299999997</v>
          </cell>
        </row>
        <row r="65">
          <cell r="J65">
            <v>4971604.92</v>
          </cell>
          <cell r="Q65">
            <v>5170475.4000000004</v>
          </cell>
          <cell r="R65">
            <v>5377303.2400000002</v>
          </cell>
        </row>
        <row r="73">
          <cell r="J73">
            <v>48276</v>
          </cell>
        </row>
        <row r="76">
          <cell r="J76">
            <v>639899.99962000002</v>
          </cell>
          <cell r="Q76">
            <v>638490.00124000001</v>
          </cell>
          <cell r="R76">
            <v>623370.00068000006</v>
          </cell>
        </row>
        <row r="77">
          <cell r="J77">
            <v>8545600</v>
          </cell>
          <cell r="Q77">
            <v>8653080</v>
          </cell>
          <cell r="R77">
            <v>9990560</v>
          </cell>
        </row>
        <row r="86">
          <cell r="J86">
            <v>2000000</v>
          </cell>
          <cell r="Q86">
            <v>2100000</v>
          </cell>
          <cell r="R86">
            <v>2200000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ереносы"/>
      <sheetName val="ИЦ"/>
      <sheetName val="МЗ"/>
    </sheetNames>
    <sheetDataSet>
      <sheetData sheetId="0">
        <row r="21">
          <cell r="O21">
            <v>-336468.01</v>
          </cell>
        </row>
      </sheetData>
      <sheetData sheetId="1">
        <row r="10">
          <cell r="G10">
            <v>-429.71</v>
          </cell>
        </row>
        <row r="19">
          <cell r="F19">
            <v>-5987.06</v>
          </cell>
        </row>
      </sheetData>
      <sheetData sheetId="2">
        <row r="21">
          <cell r="H21">
            <v>1262120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мета расходов ДЮСШ"/>
      <sheetName val="Лист2"/>
      <sheetName val="Лист3"/>
    </sheetNames>
    <sheetDataSet>
      <sheetData sheetId="0">
        <row r="9">
          <cell r="F9">
            <v>60000</v>
          </cell>
        </row>
        <row r="11">
          <cell r="E11">
            <v>100000</v>
          </cell>
        </row>
        <row r="13">
          <cell r="E13">
            <v>162000</v>
          </cell>
        </row>
        <row r="24">
          <cell r="F24">
            <v>100000</v>
          </cell>
        </row>
        <row r="26">
          <cell r="C26">
            <v>500000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остатки средств в ФК_9"/>
    </sheetNames>
    <sheetDataSet>
      <sheetData sheetId="0">
        <row r="101">
          <cell r="R101">
            <v>1063557868.36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Увед об измен (расх)"/>
    </sheetNames>
    <sheetDataSet>
      <sheetData sheetId="0">
        <row r="20">
          <cell r="Z20">
            <v>200000</v>
          </cell>
          <cell r="AA20">
            <v>200000</v>
          </cell>
          <cell r="AB20">
            <v>200000</v>
          </cell>
        </row>
        <row r="74">
          <cell r="Z74">
            <v>61920</v>
          </cell>
          <cell r="AA74">
            <v>61920</v>
          </cell>
          <cell r="AB74">
            <v>61920</v>
          </cell>
        </row>
        <row r="78">
          <cell r="Z78">
            <v>1167580939.98</v>
          </cell>
          <cell r="AA78">
            <v>1161314768.28</v>
          </cell>
          <cell r="AB78">
            <v>1189133418.9300001</v>
          </cell>
        </row>
        <row r="79">
          <cell r="Z79">
            <v>2000000</v>
          </cell>
          <cell r="AA79">
            <v>2100000</v>
          </cell>
          <cell r="AB79">
            <v>2200000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остатки средств в ФК_3"/>
    </sheetNames>
    <sheetDataSet>
      <sheetData sheetId="0">
        <row r="21">
          <cell r="AG21">
            <v>-1229.2799999997951</v>
          </cell>
        </row>
        <row r="117">
          <cell r="R117">
            <v>1218607999.23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РБ на план. период_1"/>
    </sheetNames>
    <sheetDataSet>
      <sheetData sheetId="0">
        <row r="13">
          <cell r="T13">
            <v>1882782.09</v>
          </cell>
        </row>
        <row r="77">
          <cell r="T77">
            <v>1158031957.79</v>
          </cell>
          <cell r="U77">
            <v>1186691404.8699999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СРБ на план. период_1"/>
    </sheetNames>
    <sheetDataSet>
      <sheetData sheetId="0">
        <row r="13">
          <cell r="V13">
            <v>1441692.39</v>
          </cell>
        </row>
        <row r="16">
          <cell r="V16">
            <v>15031360</v>
          </cell>
        </row>
        <row r="22">
          <cell r="T22">
            <v>210060697.49000001</v>
          </cell>
        </row>
        <row r="34">
          <cell r="V34">
            <v>28376960</v>
          </cell>
        </row>
        <row r="35">
          <cell r="T35">
            <v>150456372.59</v>
          </cell>
        </row>
        <row r="66">
          <cell r="V66">
            <v>1545280</v>
          </cell>
        </row>
        <row r="104">
          <cell r="T104">
            <v>1217416999.23</v>
          </cell>
          <cell r="U104">
            <v>1158031957.79</v>
          </cell>
          <cell r="V104">
            <v>1167031291.9100001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статки средств в ФК_8"/>
    </sheetNames>
    <sheetDataSet>
      <sheetData sheetId="0">
        <row r="16">
          <cell r="R16">
            <v>2774985</v>
          </cell>
        </row>
        <row r="19">
          <cell r="R19">
            <v>21497572.75</v>
          </cell>
        </row>
        <row r="34">
          <cell r="R34">
            <v>39782767.390000001</v>
          </cell>
        </row>
        <row r="74">
          <cell r="R74">
            <v>2267245.86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9 мес 2021"/>
    </sheetNames>
    <sheetDataSet>
      <sheetData sheetId="0">
        <row r="25">
          <cell r="H25">
            <v>8816768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остатки средств в ФК_3"/>
    </sheetNames>
    <sheetDataSet>
      <sheetData sheetId="0">
        <row r="48">
          <cell r="AH48">
            <v>7405372.8799999999</v>
          </cell>
        </row>
        <row r="98">
          <cell r="AI98">
            <v>4524.1400000000003</v>
          </cell>
        </row>
        <row r="100">
          <cell r="AH100">
            <v>96549.6</v>
          </cell>
          <cell r="AI100">
            <v>48275.860000000015</v>
          </cell>
        </row>
        <row r="112">
          <cell r="AG112">
            <v>14846650.890000001</v>
          </cell>
          <cell r="AH112">
            <v>1649639.27</v>
          </cell>
        </row>
        <row r="116">
          <cell r="R116">
            <v>1249365484.9300001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01.2023 по 31.05.2023"/>
      <sheetName val="01.09.2023 по 31.12.2023"/>
      <sheetName val="Лист1"/>
    </sheetNames>
    <sheetDataSet>
      <sheetData sheetId="0" refreshError="1"/>
      <sheetData sheetId="1">
        <row r="29">
          <cell r="Z29">
            <v>16082362.041902091</v>
          </cell>
          <cell r="AA29">
            <v>1788936.6801879103</v>
          </cell>
          <cell r="AB29">
            <v>17889.187910000001</v>
          </cell>
          <cell r="AN29">
            <v>16645.44701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для сверки (2)"/>
      <sheetName val="иные 2022 первонач"/>
      <sheetName val="мун.зад.2022 первонач"/>
      <sheetName val="иные 27.01.22"/>
      <sheetName val="иные 03.02.22"/>
      <sheetName val="иные 14.02.2022"/>
      <sheetName val="иные 22.02.2022"/>
      <sheetName val="иные 05.03.2022"/>
      <sheetName val="иные 15.03.2022"/>
      <sheetName val="мун.зад.17-31.03.2022"/>
      <sheetName val="иные 21.03.2022"/>
      <sheetName val="иные 28-31.03.2022"/>
      <sheetName val="иные 05.04.2022"/>
      <sheetName val="иные 14.04.2022"/>
      <sheetName val="иные 18.04.2022"/>
      <sheetName val="мун.зад.18.04.2022"/>
      <sheetName val="иные 25.04.2022"/>
      <sheetName val="иные 04.05.2022"/>
      <sheetName val="иные 11.05.2022"/>
      <sheetName val="иные 19.05.2022"/>
      <sheetName val="иные 23.05.2022"/>
      <sheetName val="иные 31.05.2022"/>
      <sheetName val="иные 06.06.2022"/>
      <sheetName val="иные 10.06.2022"/>
      <sheetName val="иные 27.06.2022"/>
      <sheetName val="иные 28.06.2022"/>
      <sheetName val="иные 01.08.2022"/>
      <sheetName val="иные 19.08.2022"/>
      <sheetName val="иные 29.08.2022"/>
      <sheetName val="иные 14.09.2022"/>
      <sheetName val="иные 21.09.2022"/>
      <sheetName val="иные 26.09.2022 "/>
      <sheetName val="мун.зад.26.09.2022"/>
      <sheetName val="иные 14.10.2022"/>
      <sheetName val="мун.зад.14.10.2022"/>
      <sheetName val="мун.зад.21.10.2022"/>
      <sheetName val="иные 25.10.2022"/>
      <sheetName val="иные 31.10.2022"/>
      <sheetName val="иные 03.11.2022"/>
      <sheetName val="иные 08.11.2022"/>
      <sheetName val="мун.зад.10.11.2022"/>
      <sheetName val="иные 10.11.2022"/>
      <sheetName val="иные 25.11.2022"/>
      <sheetName val="иные 30.11.2022"/>
      <sheetName val="иные 08.12.2022"/>
      <sheetName val="иные 09.12.2022"/>
      <sheetName val="мун.зад.12.12.2022"/>
      <sheetName val="иные 12.12.2022"/>
      <sheetName val="иные 19.12.2022"/>
      <sheetName val="иные 20.12.2022"/>
      <sheetName val="иные 22.12.2022"/>
      <sheetName val="иные 26.12.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BQ8">
            <v>550308.69999999995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12">
          <cell r="N12">
            <v>525000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1">
          <cell r="AG11">
            <v>978810.2</v>
          </cell>
        </row>
        <row r="22">
          <cell r="M22">
            <v>642065</v>
          </cell>
          <cell r="N22">
            <v>1684091.15</v>
          </cell>
          <cell r="AM22">
            <v>500000</v>
          </cell>
          <cell r="AN22">
            <v>1232741</v>
          </cell>
          <cell r="AW22">
            <v>2082996.42</v>
          </cell>
          <cell r="AX22">
            <v>861259</v>
          </cell>
          <cell r="BC22">
            <v>2229000</v>
          </cell>
          <cell r="BQ22">
            <v>550308.69999999995</v>
          </cell>
          <cell r="BR22">
            <v>102969.74</v>
          </cell>
          <cell r="BV22">
            <v>181777.27</v>
          </cell>
          <cell r="BX22">
            <v>300000</v>
          </cell>
        </row>
      </sheetData>
      <sheetData sheetId="51">
        <row r="11">
          <cell r="BO11">
            <v>4405372.88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остатки средств в ФК_2"/>
    </sheetNames>
    <sheetDataSet>
      <sheetData sheetId="0">
        <row r="18">
          <cell r="AG18">
            <v>810000</v>
          </cell>
        </row>
        <row r="52">
          <cell r="R52">
            <v>750000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остатки средств в ФК_2"/>
    </sheetNames>
    <sheetDataSet>
      <sheetData sheetId="0" refreshError="1">
        <row r="29">
          <cell r="Y29">
            <v>31000</v>
          </cell>
        </row>
        <row r="46">
          <cell r="Y46">
            <v>1737958.8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022 год"/>
    </sheetNames>
    <sheetDataSet>
      <sheetData sheetId="0" refreshError="1">
        <row r="8">
          <cell r="F8">
            <v>2039.8099999999995</v>
          </cell>
        </row>
        <row r="15">
          <cell r="D15">
            <v>28230</v>
          </cell>
        </row>
        <row r="19">
          <cell r="D19">
            <v>31772.75</v>
          </cell>
          <cell r="E19">
            <v>22739</v>
          </cell>
        </row>
        <row r="20">
          <cell r="C20">
            <v>279312.93</v>
          </cell>
          <cell r="F20">
            <v>27945.32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318"/>
  <sheetViews>
    <sheetView view="pageBreakPreview" zoomScale="80" zoomScaleNormal="100" zoomScaleSheetLayoutView="80" workbookViewId="0">
      <pane xSplit="7" ySplit="8" topLeftCell="H179" activePane="bottomRight" state="frozen"/>
      <selection pane="topRight" activeCell="G1" sqref="G1"/>
      <selection pane="bottomLeft" activeCell="A8" sqref="A8"/>
      <selection pane="bottomRight" activeCell="K88" sqref="K88"/>
    </sheetView>
  </sheetViews>
  <sheetFormatPr defaultRowHeight="16.5" outlineLevelRow="1" outlineLevelCol="1"/>
  <cols>
    <col min="1" max="1" width="8" style="2" customWidth="1"/>
    <col min="2" max="2" width="52.42578125" style="14" customWidth="1"/>
    <col min="3" max="3" width="14.28515625" style="13" customWidth="1" outlineLevel="1"/>
    <col min="4" max="4" width="18.7109375" style="2" customWidth="1" outlineLevel="1"/>
    <col min="5" max="5" width="10.85546875" style="2" customWidth="1" outlineLevel="1"/>
    <col min="6" max="6" width="26.85546875" style="2" customWidth="1"/>
    <col min="7" max="13" width="19.42578125" style="17" customWidth="1"/>
    <col min="14" max="14" width="65.7109375" style="27" customWidth="1" outlineLevel="1"/>
    <col min="15" max="15" width="20.7109375" style="2" customWidth="1"/>
    <col min="16" max="16" width="17.140625" style="2" hidden="1" customWidth="1"/>
    <col min="17" max="17" width="13" style="2" hidden="1" customWidth="1"/>
    <col min="18" max="18" width="11.7109375" style="2" hidden="1" customWidth="1"/>
    <col min="19" max="23" width="9.140625" style="2" hidden="1" customWidth="1"/>
    <col min="24" max="25" width="9.140625" style="2"/>
    <col min="26" max="26" width="11.7109375" style="2" bestFit="1" customWidth="1"/>
    <col min="27" max="16384" width="9.140625" style="2"/>
  </cols>
  <sheetData>
    <row r="1" spans="1:17">
      <c r="A1" s="1"/>
      <c r="K1" s="214" t="s">
        <v>131</v>
      </c>
      <c r="L1" s="214"/>
      <c r="M1" s="214"/>
      <c r="N1" s="214"/>
      <c r="O1" s="3"/>
      <c r="P1" s="3"/>
      <c r="Q1" s="3"/>
    </row>
    <row r="2" spans="1:17">
      <c r="A2" s="1"/>
      <c r="B2" s="215" t="s">
        <v>0</v>
      </c>
      <c r="C2" s="215"/>
      <c r="D2" s="215"/>
      <c r="E2" s="215"/>
      <c r="F2" s="215"/>
      <c r="G2" s="215"/>
      <c r="H2" s="215"/>
      <c r="I2" s="215"/>
      <c r="J2" s="215"/>
      <c r="K2" s="215"/>
      <c r="L2" s="18"/>
      <c r="M2" s="18"/>
      <c r="N2" s="24" t="s">
        <v>152</v>
      </c>
      <c r="O2" s="3"/>
    </row>
    <row r="3" spans="1:17">
      <c r="A3" s="1"/>
      <c r="B3" s="215" t="s">
        <v>1</v>
      </c>
      <c r="C3" s="215"/>
      <c r="D3" s="215"/>
      <c r="E3" s="215"/>
      <c r="F3" s="215"/>
      <c r="G3" s="215"/>
      <c r="H3" s="215"/>
      <c r="I3" s="215"/>
      <c r="J3" s="215"/>
      <c r="K3" s="215"/>
      <c r="L3" s="19"/>
      <c r="M3" s="19"/>
      <c r="N3" s="24" t="s">
        <v>135</v>
      </c>
    </row>
    <row r="4" spans="1:17" ht="15.75" customHeight="1">
      <c r="A4" s="1"/>
      <c r="B4" s="215" t="s">
        <v>134</v>
      </c>
      <c r="C4" s="215"/>
      <c r="D4" s="215"/>
      <c r="E4" s="215"/>
      <c r="F4" s="215"/>
      <c r="G4" s="215"/>
      <c r="H4" s="215"/>
      <c r="I4" s="215"/>
      <c r="J4" s="215"/>
      <c r="K4" s="215"/>
      <c r="L4" s="20"/>
      <c r="M4" s="20"/>
      <c r="N4" s="25"/>
    </row>
    <row r="5" spans="1:17">
      <c r="A5" s="1"/>
      <c r="H5" s="30"/>
      <c r="I5" s="33">
        <f t="shared" ref="I5:J5" si="0">I20+I40+I44+I48+I52+I96+I104+I116</f>
        <v>628554600</v>
      </c>
      <c r="J5" s="33">
        <f t="shared" si="0"/>
        <v>651853900</v>
      </c>
      <c r="K5" s="33">
        <f>K20+K40+K44+K48+K52+K96+K104+K116</f>
        <v>690642900</v>
      </c>
      <c r="L5" s="33">
        <f t="shared" ref="L5:M5" si="1">L20+L40+L44+L48+L52+L96+L104+L116</f>
        <v>715126400</v>
      </c>
      <c r="M5" s="33">
        <f t="shared" si="1"/>
        <v>730443300</v>
      </c>
      <c r="N5" s="47" t="s">
        <v>117</v>
      </c>
    </row>
    <row r="6" spans="1:17">
      <c r="A6" s="1"/>
      <c r="H6" s="30"/>
      <c r="I6" s="33"/>
      <c r="J6" s="46">
        <f>J28+J88+J124-2040.87</f>
        <v>66322571</v>
      </c>
      <c r="K6" s="46">
        <f>K28+K88+K124-1300.84</f>
        <v>60713050.770000003</v>
      </c>
      <c r="L6" s="46">
        <f>L28+L88+L124</f>
        <v>63141573.200000003</v>
      </c>
      <c r="M6" s="46">
        <f>M28+M88+M124</f>
        <v>71637135.730000004</v>
      </c>
      <c r="N6" s="47" t="s">
        <v>118</v>
      </c>
    </row>
    <row r="7" spans="1:17" s="28" customFormat="1" ht="21.75" customHeight="1">
      <c r="A7" s="202" t="s">
        <v>2</v>
      </c>
      <c r="B7" s="202" t="s">
        <v>3</v>
      </c>
      <c r="C7" s="202" t="s">
        <v>4</v>
      </c>
      <c r="D7" s="202" t="s">
        <v>5</v>
      </c>
      <c r="E7" s="202" t="s">
        <v>6</v>
      </c>
      <c r="F7" s="202" t="s">
        <v>7</v>
      </c>
      <c r="G7" s="199" t="s">
        <v>8</v>
      </c>
      <c r="H7" s="200"/>
      <c r="I7" s="200"/>
      <c r="J7" s="200"/>
      <c r="K7" s="200"/>
      <c r="L7" s="200"/>
      <c r="M7" s="201"/>
      <c r="N7" s="202" t="s">
        <v>9</v>
      </c>
    </row>
    <row r="8" spans="1:17" s="28" customFormat="1" ht="21.75" customHeight="1">
      <c r="A8" s="203"/>
      <c r="B8" s="203"/>
      <c r="C8" s="203"/>
      <c r="D8" s="203"/>
      <c r="E8" s="203"/>
      <c r="F8" s="203"/>
      <c r="G8" s="16" t="s">
        <v>10</v>
      </c>
      <c r="H8" s="15">
        <v>2020</v>
      </c>
      <c r="I8" s="29">
        <v>2021</v>
      </c>
      <c r="J8" s="15">
        <v>2022</v>
      </c>
      <c r="K8" s="15">
        <v>2023</v>
      </c>
      <c r="L8" s="15">
        <v>2024</v>
      </c>
      <c r="M8" s="15">
        <v>2025</v>
      </c>
      <c r="N8" s="203"/>
    </row>
    <row r="9" spans="1:17" s="13" customFormat="1" ht="21.75" customHeight="1">
      <c r="A9" s="4">
        <v>1</v>
      </c>
      <c r="B9" s="5">
        <v>2</v>
      </c>
      <c r="C9" s="5">
        <v>3</v>
      </c>
      <c r="D9" s="5"/>
      <c r="E9" s="5">
        <v>4</v>
      </c>
      <c r="F9" s="5">
        <v>5</v>
      </c>
      <c r="G9" s="21">
        <v>6</v>
      </c>
      <c r="H9" s="21">
        <v>9</v>
      </c>
      <c r="I9" s="21">
        <v>10</v>
      </c>
      <c r="J9" s="21">
        <v>10</v>
      </c>
      <c r="K9" s="21">
        <v>9</v>
      </c>
      <c r="L9" s="21">
        <v>10</v>
      </c>
      <c r="M9" s="21">
        <v>10</v>
      </c>
      <c r="N9" s="26">
        <v>11</v>
      </c>
    </row>
    <row r="10" spans="1:17" ht="30.75" customHeight="1">
      <c r="A10" s="126"/>
      <c r="B10" s="204" t="s">
        <v>146</v>
      </c>
      <c r="C10" s="132" t="s">
        <v>11</v>
      </c>
      <c r="D10" s="166" t="s">
        <v>12</v>
      </c>
      <c r="E10" s="132" t="s">
        <v>153</v>
      </c>
      <c r="F10" s="34" t="s">
        <v>14</v>
      </c>
      <c r="G10" s="35">
        <f t="shared" ref="G10:M10" si="2">G11+G12+G13</f>
        <v>5216616231.2973099</v>
      </c>
      <c r="H10" s="35">
        <f t="shared" si="2"/>
        <v>902432622.35000002</v>
      </c>
      <c r="I10" s="35">
        <f t="shared" si="2"/>
        <v>991516352.55999994</v>
      </c>
      <c r="J10" s="35">
        <f t="shared" si="2"/>
        <v>1053096145.1899999</v>
      </c>
      <c r="K10" s="35">
        <f t="shared" si="2"/>
        <v>1111477561.98962</v>
      </c>
      <c r="L10" s="35">
        <f>L11+L12+L13</f>
        <v>1131144088.4112399</v>
      </c>
      <c r="M10" s="35">
        <f t="shared" si="2"/>
        <v>1158093549.20769</v>
      </c>
      <c r="N10" s="207"/>
      <c r="O10" s="3"/>
    </row>
    <row r="11" spans="1:17" ht="30.75" customHeight="1">
      <c r="A11" s="127"/>
      <c r="B11" s="205"/>
      <c r="C11" s="133"/>
      <c r="D11" s="172"/>
      <c r="E11" s="133"/>
      <c r="F11" s="34" t="s">
        <v>133</v>
      </c>
      <c r="G11" s="35">
        <f>H11+I11+J11+K11+M11</f>
        <v>1348277027.6949201</v>
      </c>
      <c r="H11" s="36">
        <f t="shared" ref="H11:M13" si="3">H15+H35+H99+H127</f>
        <v>230451855.84</v>
      </c>
      <c r="I11" s="36">
        <f t="shared" si="3"/>
        <v>245028859.64000005</v>
      </c>
      <c r="J11" s="36">
        <f t="shared" si="3"/>
        <v>273217094.64000005</v>
      </c>
      <c r="K11" s="36">
        <f t="shared" si="3"/>
        <v>302125413.65790999</v>
      </c>
      <c r="L11" s="36">
        <f t="shared" si="3"/>
        <v>294964463.31999999</v>
      </c>
      <c r="M11" s="36">
        <f t="shared" si="3"/>
        <v>297453803.91700995</v>
      </c>
      <c r="N11" s="208"/>
      <c r="O11" s="3"/>
    </row>
    <row r="12" spans="1:17" ht="30.75" customHeight="1">
      <c r="A12" s="127"/>
      <c r="B12" s="205"/>
      <c r="C12" s="133"/>
      <c r="D12" s="172"/>
      <c r="E12" s="133"/>
      <c r="F12" s="34" t="s">
        <v>16</v>
      </c>
      <c r="G12" s="35">
        <f>H12+I12+J12+K12+M12</f>
        <v>3667838050.4504876</v>
      </c>
      <c r="H12" s="36">
        <f t="shared" si="3"/>
        <v>655000266.50999999</v>
      </c>
      <c r="I12" s="36">
        <f t="shared" si="3"/>
        <v>701159642.91999996</v>
      </c>
      <c r="J12" s="36">
        <f t="shared" si="3"/>
        <v>733922349.65999997</v>
      </c>
      <c r="K12" s="36">
        <f t="shared" si="3"/>
        <v>762864276.28980792</v>
      </c>
      <c r="L12" s="36">
        <f t="shared" si="3"/>
        <v>789824230.99124002</v>
      </c>
      <c r="M12" s="36">
        <f t="shared" si="3"/>
        <v>814891515.07068002</v>
      </c>
      <c r="N12" s="208"/>
      <c r="O12" s="3"/>
    </row>
    <row r="13" spans="1:17" ht="30.75" customHeight="1">
      <c r="A13" s="128"/>
      <c r="B13" s="206"/>
      <c r="C13" s="134"/>
      <c r="D13" s="173"/>
      <c r="E13" s="134"/>
      <c r="F13" s="34" t="s">
        <v>17</v>
      </c>
      <c r="G13" s="35">
        <f>H13+I13+J13+K13+M13</f>
        <v>200501153.15190211</v>
      </c>
      <c r="H13" s="36">
        <f t="shared" si="3"/>
        <v>16980500</v>
      </c>
      <c r="I13" s="36">
        <f t="shared" si="3"/>
        <v>45327850</v>
      </c>
      <c r="J13" s="36">
        <f t="shared" si="3"/>
        <v>45956700.890000001</v>
      </c>
      <c r="K13" s="36">
        <f t="shared" si="3"/>
        <v>46487872.041902095</v>
      </c>
      <c r="L13" s="36">
        <f t="shared" si="3"/>
        <v>46355394.100000001</v>
      </c>
      <c r="M13" s="36">
        <f t="shared" si="3"/>
        <v>45748230.219999999</v>
      </c>
      <c r="N13" s="209"/>
      <c r="O13" s="3"/>
    </row>
    <row r="14" spans="1:17" ht="21.75" customHeight="1">
      <c r="A14" s="210"/>
      <c r="B14" s="212" t="s">
        <v>19</v>
      </c>
      <c r="C14" s="189" t="s">
        <v>11</v>
      </c>
      <c r="D14" s="192" t="s">
        <v>12</v>
      </c>
      <c r="E14" s="189" t="s">
        <v>153</v>
      </c>
      <c r="F14" s="37" t="s">
        <v>14</v>
      </c>
      <c r="G14" s="38">
        <f t="shared" ref="G14:M14" si="4">G15+G16+G17</f>
        <v>1677051193.77</v>
      </c>
      <c r="H14" s="38">
        <f t="shared" si="4"/>
        <v>300538053.05000001</v>
      </c>
      <c r="I14" s="38">
        <f t="shared" si="4"/>
        <v>317314159.79000002</v>
      </c>
      <c r="J14" s="38">
        <f t="shared" si="4"/>
        <v>337089422.34000003</v>
      </c>
      <c r="K14" s="38">
        <f t="shared" si="4"/>
        <v>352604781.54000002</v>
      </c>
      <c r="L14" s="38">
        <f>L15+L16+L17</f>
        <v>359866487.05000001</v>
      </c>
      <c r="M14" s="38">
        <f t="shared" si="4"/>
        <v>369504777.05000001</v>
      </c>
      <c r="N14" s="106" t="s">
        <v>20</v>
      </c>
      <c r="O14" s="3"/>
    </row>
    <row r="15" spans="1:17" ht="21.75" customHeight="1">
      <c r="A15" s="211"/>
      <c r="B15" s="213"/>
      <c r="C15" s="190"/>
      <c r="D15" s="193"/>
      <c r="E15" s="190"/>
      <c r="F15" s="37" t="s">
        <v>133</v>
      </c>
      <c r="G15" s="38">
        <f>H15+I15+J15+K15+M15</f>
        <v>536168214.35000002</v>
      </c>
      <c r="H15" s="39">
        <f t="shared" ref="H15:M17" si="5">H19+H23+H27+H31</f>
        <v>96147672.620000005</v>
      </c>
      <c r="I15" s="39">
        <f t="shared" si="5"/>
        <v>99727111.450000003</v>
      </c>
      <c r="J15" s="39">
        <f>J19+J23+J27+J31</f>
        <v>106478462.18000001</v>
      </c>
      <c r="K15" s="39">
        <f t="shared" si="5"/>
        <v>116907484.05</v>
      </c>
      <c r="L15" s="39">
        <f>L19+L23+L27+L31</f>
        <v>115907484.05</v>
      </c>
      <c r="M15" s="39">
        <f t="shared" si="5"/>
        <v>116907484.05</v>
      </c>
      <c r="N15" s="107"/>
      <c r="O15" s="3"/>
    </row>
    <row r="16" spans="1:17" ht="21.75" customHeight="1">
      <c r="A16" s="211"/>
      <c r="B16" s="213"/>
      <c r="C16" s="190"/>
      <c r="D16" s="193"/>
      <c r="E16" s="190"/>
      <c r="F16" s="37" t="s">
        <v>16</v>
      </c>
      <c r="G16" s="38">
        <f>H16+I16+J16+K16+M16</f>
        <v>1140882979.4200001</v>
      </c>
      <c r="H16" s="39">
        <f t="shared" si="5"/>
        <v>204390380.43000001</v>
      </c>
      <c r="I16" s="39">
        <f t="shared" si="5"/>
        <v>217587048.34</v>
      </c>
      <c r="J16" s="39">
        <f>J20+J24+J28+J32</f>
        <v>230610960.16</v>
      </c>
      <c r="K16" s="39">
        <f t="shared" si="5"/>
        <v>235697297.49000001</v>
      </c>
      <c r="L16" s="39">
        <f>L20+L24+L28+L32</f>
        <v>243959003</v>
      </c>
      <c r="M16" s="39">
        <f t="shared" si="5"/>
        <v>252597293</v>
      </c>
      <c r="N16" s="107"/>
      <c r="O16" s="3"/>
    </row>
    <row r="17" spans="1:18" ht="21.75" customHeight="1">
      <c r="A17" s="211"/>
      <c r="B17" s="213"/>
      <c r="C17" s="190"/>
      <c r="D17" s="194"/>
      <c r="E17" s="190"/>
      <c r="F17" s="37" t="s">
        <v>17</v>
      </c>
      <c r="G17" s="38">
        <f>H17+I17+J17+K17+M17</f>
        <v>0</v>
      </c>
      <c r="H17" s="39">
        <f t="shared" si="5"/>
        <v>0</v>
      </c>
      <c r="I17" s="39">
        <f t="shared" si="5"/>
        <v>0</v>
      </c>
      <c r="J17" s="39">
        <f t="shared" si="5"/>
        <v>0</v>
      </c>
      <c r="K17" s="39">
        <f t="shared" si="5"/>
        <v>0</v>
      </c>
      <c r="L17" s="39">
        <f>L21+L25+L29+L33</f>
        <v>0</v>
      </c>
      <c r="M17" s="39">
        <f t="shared" si="5"/>
        <v>0</v>
      </c>
      <c r="N17" s="107"/>
      <c r="O17" s="3"/>
    </row>
    <row r="18" spans="1:18" ht="21.75" customHeight="1">
      <c r="A18" s="198" t="s">
        <v>18</v>
      </c>
      <c r="B18" s="195" t="s">
        <v>21</v>
      </c>
      <c r="C18" s="114" t="s">
        <v>11</v>
      </c>
      <c r="D18" s="117" t="s">
        <v>12</v>
      </c>
      <c r="E18" s="114" t="s">
        <v>153</v>
      </c>
      <c r="F18" s="12" t="s">
        <v>14</v>
      </c>
      <c r="G18" s="22">
        <f t="shared" ref="G18:M18" si="6">G19+G20+G21</f>
        <v>1519822756.1000001</v>
      </c>
      <c r="H18" s="22">
        <f t="shared" si="6"/>
        <v>271519528.05000001</v>
      </c>
      <c r="I18" s="22">
        <f t="shared" si="6"/>
        <v>286861735.72000003</v>
      </c>
      <c r="J18" s="48">
        <f t="shared" si="6"/>
        <v>302324793.74000001</v>
      </c>
      <c r="K18" s="22">
        <f t="shared" si="6"/>
        <v>323580831.54000002</v>
      </c>
      <c r="L18" s="22">
        <f>L19+L20+L21</f>
        <v>329935057.05000001</v>
      </c>
      <c r="M18" s="22">
        <f t="shared" si="6"/>
        <v>335535867.05000001</v>
      </c>
      <c r="N18" s="107"/>
      <c r="O18" s="3"/>
    </row>
    <row r="19" spans="1:18" ht="21.75" customHeight="1">
      <c r="A19" s="109"/>
      <c r="B19" s="196"/>
      <c r="C19" s="115"/>
      <c r="D19" s="118"/>
      <c r="E19" s="115"/>
      <c r="F19" s="12" t="s">
        <v>133</v>
      </c>
      <c r="G19" s="22">
        <f>H19+I19+J19+K19+M19</f>
        <v>532256284.19000006</v>
      </c>
      <c r="H19" s="22">
        <v>95367218.620000005</v>
      </c>
      <c r="I19" s="22">
        <f>98500729.44+251771.78</f>
        <v>98752501.219999999</v>
      </c>
      <c r="J19" s="48">
        <v>105878296.25</v>
      </c>
      <c r="K19" s="22">
        <f>'[1]Бюджет 2023-2025 местн'!$J$9</f>
        <v>116129134.05</v>
      </c>
      <c r="L19" s="22">
        <v>115129134.05</v>
      </c>
      <c r="M19" s="22">
        <f>'[1]Бюджет 2023-2025 местн'!$R$9</f>
        <v>116129134.05</v>
      </c>
      <c r="N19" s="107"/>
      <c r="O19" s="3"/>
    </row>
    <row r="20" spans="1:18" ht="21.75" customHeight="1">
      <c r="A20" s="109"/>
      <c r="B20" s="196"/>
      <c r="C20" s="115"/>
      <c r="D20" s="118"/>
      <c r="E20" s="115"/>
      <c r="F20" s="12" t="s">
        <v>16</v>
      </c>
      <c r="G20" s="22">
        <f>H20+I20+J20+K20+M20</f>
        <v>987566471.91000009</v>
      </c>
      <c r="H20" s="22">
        <f>176152309.43</f>
        <v>176152309.43000001</v>
      </c>
      <c r="I20" s="22">
        <f>188109234.5</f>
        <v>188109234.5</v>
      </c>
      <c r="J20" s="48">
        <f>193465907+2980590.49</f>
        <v>196446497.49000001</v>
      </c>
      <c r="K20" s="22">
        <f>'[1]Бюджет 2023-2025 МБ, ОБ, ФБ'!$J$8</f>
        <v>207451697.49000001</v>
      </c>
      <c r="L20" s="22">
        <f>'[1]Бюджет 2023-2025 МБ, ОБ, ФБ'!$Q$8</f>
        <v>214805923</v>
      </c>
      <c r="M20" s="22">
        <f>'[1]Бюджет 2023-2025 МБ, ОБ, ФБ'!$R$8</f>
        <v>219406733</v>
      </c>
      <c r="N20" s="107"/>
      <c r="O20" s="3"/>
    </row>
    <row r="21" spans="1:18" ht="21.75" customHeight="1">
      <c r="A21" s="109"/>
      <c r="B21" s="196"/>
      <c r="C21" s="115"/>
      <c r="D21" s="119"/>
      <c r="E21" s="115"/>
      <c r="F21" s="12" t="s">
        <v>17</v>
      </c>
      <c r="G21" s="22">
        <f>H21+I21+J21+K21+M21</f>
        <v>0</v>
      </c>
      <c r="H21" s="22">
        <v>0</v>
      </c>
      <c r="I21" s="22">
        <v>0</v>
      </c>
      <c r="J21" s="48">
        <v>0</v>
      </c>
      <c r="K21" s="22">
        <v>0</v>
      </c>
      <c r="L21" s="22">
        <v>0</v>
      </c>
      <c r="M21" s="22"/>
      <c r="N21" s="107"/>
      <c r="O21" s="3"/>
    </row>
    <row r="22" spans="1:18" ht="21.75" customHeight="1">
      <c r="A22" s="108" t="s">
        <v>128</v>
      </c>
      <c r="B22" s="195" t="s">
        <v>22</v>
      </c>
      <c r="C22" s="114" t="s">
        <v>11</v>
      </c>
      <c r="D22" s="117" t="s">
        <v>12</v>
      </c>
      <c r="E22" s="114" t="s">
        <v>153</v>
      </c>
      <c r="F22" s="12" t="s">
        <v>14</v>
      </c>
      <c r="G22" s="22">
        <f t="shared" ref="G22:M22" si="7">G23+G24+G25</f>
        <v>3911930.16</v>
      </c>
      <c r="H22" s="22">
        <f t="shared" si="7"/>
        <v>780454</v>
      </c>
      <c r="I22" s="22">
        <f t="shared" si="7"/>
        <v>974610.2300000001</v>
      </c>
      <c r="J22" s="48">
        <f t="shared" si="7"/>
        <v>600165.93000000005</v>
      </c>
      <c r="K22" s="22">
        <f t="shared" si="7"/>
        <v>778350</v>
      </c>
      <c r="L22" s="22">
        <f>L23+L24+L25</f>
        <v>778350</v>
      </c>
      <c r="M22" s="22">
        <f t="shared" si="7"/>
        <v>778350</v>
      </c>
      <c r="N22" s="107"/>
      <c r="O22" s="3"/>
    </row>
    <row r="23" spans="1:18" ht="21.75" customHeight="1">
      <c r="A23" s="109"/>
      <c r="B23" s="196"/>
      <c r="C23" s="115"/>
      <c r="D23" s="118"/>
      <c r="E23" s="115"/>
      <c r="F23" s="12" t="s">
        <v>133</v>
      </c>
      <c r="G23" s="22">
        <f>H23+I23+J23+K23+M23</f>
        <v>3911930.16</v>
      </c>
      <c r="H23" s="22">
        <v>780454</v>
      </c>
      <c r="I23" s="22">
        <f>858767.75+78575.57+37266.91</f>
        <v>974610.2300000001</v>
      </c>
      <c r="J23" s="48">
        <v>600165.93000000005</v>
      </c>
      <c r="K23" s="22">
        <f>'[1]Бюджет 2023-2025 местн'!$Q$10</f>
        <v>778350</v>
      </c>
      <c r="L23" s="22">
        <f>'[1]Бюджет 2023-2025 местн'!$Q$10</f>
        <v>778350</v>
      </c>
      <c r="M23" s="22">
        <f>'[1]Бюджет 2023-2025 местн'!$R$10</f>
        <v>778350</v>
      </c>
      <c r="N23" s="107"/>
      <c r="O23" s="3"/>
      <c r="R23" s="3"/>
    </row>
    <row r="24" spans="1:18" ht="21.75" customHeight="1">
      <c r="A24" s="109"/>
      <c r="B24" s="196"/>
      <c r="C24" s="115"/>
      <c r="D24" s="118"/>
      <c r="E24" s="115"/>
      <c r="F24" s="12" t="s">
        <v>16</v>
      </c>
      <c r="G24" s="22">
        <f>H24+I24+J24+K24+M24</f>
        <v>0</v>
      </c>
      <c r="H24" s="22">
        <v>0</v>
      </c>
      <c r="I24" s="22">
        <v>0</v>
      </c>
      <c r="J24" s="48">
        <v>0</v>
      </c>
      <c r="K24" s="22">
        <v>0</v>
      </c>
      <c r="L24" s="22">
        <v>0</v>
      </c>
      <c r="M24" s="22"/>
      <c r="N24" s="107"/>
      <c r="O24" s="3"/>
    </row>
    <row r="25" spans="1:18" ht="21.75" customHeight="1">
      <c r="A25" s="110"/>
      <c r="B25" s="197"/>
      <c r="C25" s="115"/>
      <c r="D25" s="119"/>
      <c r="E25" s="116"/>
      <c r="F25" s="12" t="s">
        <v>17</v>
      </c>
      <c r="G25" s="22">
        <f>H25+I25+J25+K25+M25</f>
        <v>0</v>
      </c>
      <c r="H25" s="22">
        <v>0</v>
      </c>
      <c r="I25" s="22">
        <v>0</v>
      </c>
      <c r="J25" s="48">
        <v>0</v>
      </c>
      <c r="K25" s="22">
        <v>0</v>
      </c>
      <c r="L25" s="22">
        <v>0</v>
      </c>
      <c r="M25" s="22"/>
      <c r="N25" s="107"/>
      <c r="O25" s="3"/>
    </row>
    <row r="26" spans="1:18" ht="21.75" customHeight="1">
      <c r="A26" s="108" t="s">
        <v>144</v>
      </c>
      <c r="B26" s="195" t="s">
        <v>23</v>
      </c>
      <c r="C26" s="114" t="s">
        <v>11</v>
      </c>
      <c r="D26" s="117" t="s">
        <v>12</v>
      </c>
      <c r="E26" s="114" t="s">
        <v>153</v>
      </c>
      <c r="F26" s="12" t="s">
        <v>14</v>
      </c>
      <c r="G26" s="22">
        <f t="shared" ref="G26:M26" si="8">G27+G28+G29</f>
        <v>102794493.59</v>
      </c>
      <c r="H26" s="22">
        <f t="shared" si="8"/>
        <v>18787671</v>
      </c>
      <c r="I26" s="22">
        <f t="shared" si="8"/>
        <v>19609249.84</v>
      </c>
      <c r="J26" s="48">
        <f t="shared" si="8"/>
        <v>21497572.75</v>
      </c>
      <c r="K26" s="22">
        <f t="shared" si="8"/>
        <v>19700000</v>
      </c>
      <c r="L26" s="22">
        <f>L27+L28+L29</f>
        <v>20500000</v>
      </c>
      <c r="M26" s="22">
        <f t="shared" si="8"/>
        <v>23200000</v>
      </c>
      <c r="N26" s="107"/>
      <c r="O26" s="3"/>
    </row>
    <row r="27" spans="1:18" ht="21.75" customHeight="1">
      <c r="A27" s="109"/>
      <c r="B27" s="196"/>
      <c r="C27" s="115"/>
      <c r="D27" s="118"/>
      <c r="E27" s="115"/>
      <c r="F27" s="12" t="s">
        <v>133</v>
      </c>
      <c r="G27" s="22">
        <f>H27+I27+J27+K27+M27</f>
        <v>0</v>
      </c>
      <c r="H27" s="22">
        <v>0</v>
      </c>
      <c r="I27" s="22">
        <v>0</v>
      </c>
      <c r="J27" s="48">
        <v>0</v>
      </c>
      <c r="K27" s="22">
        <v>0</v>
      </c>
      <c r="L27" s="22">
        <v>0</v>
      </c>
      <c r="M27" s="22">
        <v>0</v>
      </c>
      <c r="N27" s="107"/>
      <c r="O27" s="3"/>
    </row>
    <row r="28" spans="1:18" ht="21.75" customHeight="1">
      <c r="A28" s="109"/>
      <c r="B28" s="196"/>
      <c r="C28" s="115"/>
      <c r="D28" s="118"/>
      <c r="E28" s="115"/>
      <c r="F28" s="12" t="s">
        <v>16</v>
      </c>
      <c r="G28" s="22">
        <f>H28+I28+J28+K28+M28</f>
        <v>102794493.59</v>
      </c>
      <c r="H28" s="22">
        <v>18787671</v>
      </c>
      <c r="I28" s="22">
        <v>19609249.84</v>
      </c>
      <c r="J28" s="48">
        <f>'[2]остатки средств в ФК_8'!$R$19</f>
        <v>21497572.75</v>
      </c>
      <c r="K28" s="22">
        <f>'[1]Бюджет 2023-2025 МБ, ОБ, ФБ'!$J$7</f>
        <v>19700000</v>
      </c>
      <c r="L28" s="22">
        <f>'[1]Бюджет 2023-2025 МБ, ОБ, ФБ'!$Q$7</f>
        <v>20500000</v>
      </c>
      <c r="M28" s="22">
        <f>'[1]Бюджет 2023-2025 МБ, ОБ, ФБ'!$R$7</f>
        <v>23200000</v>
      </c>
      <c r="N28" s="107"/>
      <c r="O28" s="3"/>
    </row>
    <row r="29" spans="1:18" ht="21.75" customHeight="1">
      <c r="A29" s="110"/>
      <c r="B29" s="197"/>
      <c r="C29" s="115"/>
      <c r="D29" s="119"/>
      <c r="E29" s="116"/>
      <c r="F29" s="12" t="s">
        <v>17</v>
      </c>
      <c r="G29" s="22">
        <f>H29+I29+J29+K29+M29</f>
        <v>0</v>
      </c>
      <c r="H29" s="22">
        <v>0</v>
      </c>
      <c r="I29" s="22">
        <v>0</v>
      </c>
      <c r="J29" s="48">
        <v>0</v>
      </c>
      <c r="K29" s="22">
        <v>0</v>
      </c>
      <c r="L29" s="22">
        <v>0</v>
      </c>
      <c r="M29" s="22">
        <v>0</v>
      </c>
      <c r="N29" s="107"/>
      <c r="P29" s="3"/>
    </row>
    <row r="30" spans="1:18" ht="21.75" customHeight="1">
      <c r="A30" s="108" t="s">
        <v>145</v>
      </c>
      <c r="B30" s="195" t="s">
        <v>24</v>
      </c>
      <c r="C30" s="114" t="s">
        <v>11</v>
      </c>
      <c r="D30" s="117" t="s">
        <v>12</v>
      </c>
      <c r="E30" s="114" t="s">
        <v>153</v>
      </c>
      <c r="F30" s="12" t="s">
        <v>14</v>
      </c>
      <c r="G30" s="22">
        <f t="shared" ref="G30:M30" si="9">G31+G32+G33</f>
        <v>50522013.920000002</v>
      </c>
      <c r="H30" s="22">
        <f t="shared" si="9"/>
        <v>9450400</v>
      </c>
      <c r="I30" s="22">
        <f t="shared" si="9"/>
        <v>9868564</v>
      </c>
      <c r="J30" s="48">
        <f t="shared" si="9"/>
        <v>12666889.92</v>
      </c>
      <c r="K30" s="22">
        <f t="shared" si="9"/>
        <v>8545600</v>
      </c>
      <c r="L30" s="22">
        <f>L31+L32+L33</f>
        <v>8653080</v>
      </c>
      <c r="M30" s="22">
        <f t="shared" si="9"/>
        <v>9990560</v>
      </c>
      <c r="N30" s="107"/>
      <c r="O30" s="3"/>
    </row>
    <row r="31" spans="1:18" ht="21.75" customHeight="1">
      <c r="A31" s="109"/>
      <c r="B31" s="196"/>
      <c r="C31" s="115"/>
      <c r="D31" s="118"/>
      <c r="E31" s="115"/>
      <c r="F31" s="12" t="s">
        <v>133</v>
      </c>
      <c r="G31" s="22">
        <f>H31+I31+J31+K31+M31</f>
        <v>0</v>
      </c>
      <c r="H31" s="22">
        <v>0</v>
      </c>
      <c r="I31" s="22">
        <v>0</v>
      </c>
      <c r="J31" s="48">
        <v>0</v>
      </c>
      <c r="K31" s="22">
        <v>0</v>
      </c>
      <c r="L31" s="22">
        <v>0</v>
      </c>
      <c r="M31" s="22">
        <v>0</v>
      </c>
      <c r="N31" s="107"/>
    </row>
    <row r="32" spans="1:18" ht="21.75" customHeight="1">
      <c r="A32" s="109"/>
      <c r="B32" s="196"/>
      <c r="C32" s="115"/>
      <c r="D32" s="118"/>
      <c r="E32" s="115"/>
      <c r="F32" s="12" t="s">
        <v>16</v>
      </c>
      <c r="G32" s="22">
        <f>H32+I32+J32+K32+M32</f>
        <v>50522013.920000002</v>
      </c>
      <c r="H32" s="22">
        <v>9450400</v>
      </c>
      <c r="I32" s="22">
        <v>9868564</v>
      </c>
      <c r="J32" s="48">
        <v>12666889.92</v>
      </c>
      <c r="K32" s="22">
        <f>'[1]Бюджет 2023-2025 МБ, ОБ, ФБ'!$J$77</f>
        <v>8545600</v>
      </c>
      <c r="L32" s="22">
        <f>'[1]Бюджет 2023-2025 МБ, ОБ, ФБ'!$Q$77</f>
        <v>8653080</v>
      </c>
      <c r="M32" s="22">
        <f>'[1]Бюджет 2023-2025 МБ, ОБ, ФБ'!$R$77</f>
        <v>9990560</v>
      </c>
      <c r="N32" s="107"/>
    </row>
    <row r="33" spans="1:41" ht="21.75" customHeight="1">
      <c r="A33" s="110"/>
      <c r="B33" s="197"/>
      <c r="C33" s="115"/>
      <c r="D33" s="119"/>
      <c r="E33" s="116"/>
      <c r="F33" s="12" t="s">
        <v>17</v>
      </c>
      <c r="G33" s="22">
        <f>H33+I33+J33+K33+M33</f>
        <v>0</v>
      </c>
      <c r="H33" s="22">
        <v>0</v>
      </c>
      <c r="I33" s="22">
        <v>0</v>
      </c>
      <c r="J33" s="48">
        <v>0</v>
      </c>
      <c r="K33" s="22">
        <v>0</v>
      </c>
      <c r="L33" s="22">
        <v>0</v>
      </c>
      <c r="M33" s="22">
        <v>0</v>
      </c>
      <c r="N33" s="167"/>
      <c r="P33" s="3"/>
    </row>
    <row r="34" spans="1:41" ht="21.75" customHeight="1">
      <c r="A34" s="183"/>
      <c r="B34" s="186" t="s">
        <v>26</v>
      </c>
      <c r="C34" s="189" t="s">
        <v>11</v>
      </c>
      <c r="D34" s="192" t="s">
        <v>27</v>
      </c>
      <c r="E34" s="189" t="s">
        <v>153</v>
      </c>
      <c r="F34" s="37" t="s">
        <v>14</v>
      </c>
      <c r="G34" s="38">
        <f t="shared" ref="G34:M34" si="10">G35+G36+G37</f>
        <v>2926376277.8800001</v>
      </c>
      <c r="H34" s="38">
        <f t="shared" si="10"/>
        <v>505658629.72000003</v>
      </c>
      <c r="I34" s="38">
        <f t="shared" si="10"/>
        <v>557839719.20000005</v>
      </c>
      <c r="J34" s="38">
        <f t="shared" si="10"/>
        <v>591237067.14999998</v>
      </c>
      <c r="K34" s="38">
        <f t="shared" si="10"/>
        <v>621028835.57999992</v>
      </c>
      <c r="L34" s="38">
        <f>L35+L36+L37</f>
        <v>635047752.25999999</v>
      </c>
      <c r="M34" s="38">
        <f t="shared" si="10"/>
        <v>650612026.23000002</v>
      </c>
      <c r="N34" s="106" t="s">
        <v>28</v>
      </c>
    </row>
    <row r="35" spans="1:41" ht="21.75" customHeight="1">
      <c r="A35" s="184"/>
      <c r="B35" s="187"/>
      <c r="C35" s="190"/>
      <c r="D35" s="193"/>
      <c r="E35" s="190"/>
      <c r="F35" s="37" t="s">
        <v>133</v>
      </c>
      <c r="G35" s="38">
        <f>H35+I35+J35+K35+M35</f>
        <v>684324284.77999997</v>
      </c>
      <c r="H35" s="38">
        <f t="shared" ref="H35:M35" si="11">H39+H43+H47+H51+H83+H87+H91+H71+H75+H79+H55+H59+H63+H67</f>
        <v>114137373.15000001</v>
      </c>
      <c r="I35" s="38">
        <f t="shared" si="11"/>
        <v>124208329.39000002</v>
      </c>
      <c r="J35" s="38">
        <f t="shared" si="11"/>
        <v>140136671.78</v>
      </c>
      <c r="K35" s="38">
        <f t="shared" si="11"/>
        <v>153202758.22999996</v>
      </c>
      <c r="L35" s="38">
        <f t="shared" si="11"/>
        <v>151153056.25999999</v>
      </c>
      <c r="M35" s="38">
        <f t="shared" si="11"/>
        <v>152639152.22999996</v>
      </c>
      <c r="N35" s="107"/>
      <c r="AO35" s="3">
        <f>SUM('оконч.2022 и бюджет 2023-25'!$G$34:$AN$93)</f>
        <v>25960018000.079994</v>
      </c>
    </row>
    <row r="36" spans="1:41" ht="21.75" customHeight="1">
      <c r="A36" s="184"/>
      <c r="B36" s="187"/>
      <c r="C36" s="190"/>
      <c r="D36" s="193"/>
      <c r="E36" s="190"/>
      <c r="F36" s="37" t="s">
        <v>16</v>
      </c>
      <c r="G36" s="38">
        <f>H36+I36+J36+K36+M36</f>
        <v>2108391693.0999999</v>
      </c>
      <c r="H36" s="38">
        <f t="shared" ref="H36:M37" si="12">H40+H44+H48+H52+H84+H88+H92+H72+H76+H80+H56+H60+H64+H68</f>
        <v>380939856.56999999</v>
      </c>
      <c r="I36" s="38">
        <f t="shared" si="12"/>
        <v>402852039.81</v>
      </c>
      <c r="J36" s="38">
        <f t="shared" si="12"/>
        <v>419990345.37</v>
      </c>
      <c r="K36" s="38">
        <f t="shared" si="12"/>
        <v>437420567.35000002</v>
      </c>
      <c r="L36" s="38">
        <f t="shared" si="12"/>
        <v>453110706</v>
      </c>
      <c r="M36" s="38">
        <f t="shared" si="12"/>
        <v>467188884</v>
      </c>
      <c r="N36" s="107"/>
      <c r="AO36" s="3">
        <f>SUM('оконч.2022 и бюджет 2023-25'!$G$34:$AN$93)</f>
        <v>25960018000.079994</v>
      </c>
    </row>
    <row r="37" spans="1:41" ht="21.75" customHeight="1">
      <c r="A37" s="185"/>
      <c r="B37" s="188"/>
      <c r="C37" s="191"/>
      <c r="D37" s="194"/>
      <c r="E37" s="191"/>
      <c r="F37" s="37" t="s">
        <v>17</v>
      </c>
      <c r="G37" s="38">
        <f>H37+I37+J37+K37+M37</f>
        <v>133660300</v>
      </c>
      <c r="H37" s="38">
        <f t="shared" si="12"/>
        <v>10581400</v>
      </c>
      <c r="I37" s="38">
        <f t="shared" si="12"/>
        <v>30779350</v>
      </c>
      <c r="J37" s="38">
        <f t="shared" si="12"/>
        <v>31110050</v>
      </c>
      <c r="K37" s="38">
        <f t="shared" si="12"/>
        <v>30405510</v>
      </c>
      <c r="L37" s="38">
        <f t="shared" si="12"/>
        <v>30783990</v>
      </c>
      <c r="M37" s="38">
        <f t="shared" si="12"/>
        <v>30783990</v>
      </c>
      <c r="N37" s="107"/>
      <c r="AO37" s="3">
        <f>SUM('оконч.2022 и бюджет 2023-25'!$G$34:$AN$93)</f>
        <v>25960018000.079994</v>
      </c>
    </row>
    <row r="38" spans="1:41" ht="21.75" hidden="1" customHeight="1" outlineLevel="1">
      <c r="A38" s="108" t="s">
        <v>29</v>
      </c>
      <c r="B38" s="111" t="s">
        <v>30</v>
      </c>
      <c r="C38" s="114" t="s">
        <v>11</v>
      </c>
      <c r="D38" s="117" t="s">
        <v>27</v>
      </c>
      <c r="E38" s="114" t="s">
        <v>153</v>
      </c>
      <c r="F38" s="12" t="s">
        <v>14</v>
      </c>
      <c r="G38" s="22">
        <f t="shared" ref="G38:M38" si="13">G39+G40+G41</f>
        <v>0</v>
      </c>
      <c r="H38" s="22">
        <f t="shared" si="13"/>
        <v>0</v>
      </c>
      <c r="I38" s="22">
        <f t="shared" si="13"/>
        <v>0</v>
      </c>
      <c r="J38" s="48">
        <f t="shared" si="13"/>
        <v>0</v>
      </c>
      <c r="K38" s="22">
        <f t="shared" si="13"/>
        <v>0</v>
      </c>
      <c r="L38" s="22">
        <f>L39+L40+L41</f>
        <v>0</v>
      </c>
      <c r="M38" s="22">
        <f t="shared" si="13"/>
        <v>0</v>
      </c>
      <c r="N38" s="107"/>
      <c r="AO38" s="3">
        <f>SUM('оконч.2022 и бюджет 2023-25'!$G$34:$AN$93)</f>
        <v>25960018000.079994</v>
      </c>
    </row>
    <row r="39" spans="1:41" ht="21.75" hidden="1" customHeight="1" outlineLevel="1">
      <c r="A39" s="109"/>
      <c r="B39" s="112"/>
      <c r="C39" s="115"/>
      <c r="D39" s="118"/>
      <c r="E39" s="115"/>
      <c r="F39" s="12" t="s">
        <v>133</v>
      </c>
      <c r="G39" s="22">
        <f>H39+I39+J39+K39+M39</f>
        <v>0</v>
      </c>
      <c r="H39" s="22">
        <v>0</v>
      </c>
      <c r="I39" s="22">
        <v>0</v>
      </c>
      <c r="J39" s="48">
        <v>0</v>
      </c>
      <c r="K39" s="22">
        <v>0</v>
      </c>
      <c r="L39" s="22">
        <v>0</v>
      </c>
      <c r="M39" s="22">
        <v>0</v>
      </c>
      <c r="N39" s="107"/>
      <c r="AO39" s="3">
        <f>SUM(AO35:AO38)</f>
        <v>103840072000.31998</v>
      </c>
    </row>
    <row r="40" spans="1:41" ht="21.75" hidden="1" customHeight="1" outlineLevel="1">
      <c r="A40" s="109"/>
      <c r="B40" s="112"/>
      <c r="C40" s="115"/>
      <c r="D40" s="118"/>
      <c r="E40" s="115"/>
      <c r="F40" s="12" t="s">
        <v>16</v>
      </c>
      <c r="G40" s="22">
        <f>H40+I40+J40+K40+M40</f>
        <v>0</v>
      </c>
      <c r="H40" s="22"/>
      <c r="I40" s="22"/>
      <c r="J40" s="48"/>
      <c r="K40" s="22"/>
      <c r="L40" s="22"/>
      <c r="M40" s="22"/>
      <c r="N40" s="107"/>
    </row>
    <row r="41" spans="1:41" ht="21.75" hidden="1" customHeight="1" outlineLevel="1">
      <c r="A41" s="110"/>
      <c r="B41" s="113"/>
      <c r="C41" s="115"/>
      <c r="D41" s="119"/>
      <c r="E41" s="116"/>
      <c r="F41" s="12" t="s">
        <v>17</v>
      </c>
      <c r="G41" s="22">
        <f>H41+I41+J41+K41+M41</f>
        <v>0</v>
      </c>
      <c r="H41" s="22">
        <v>0</v>
      </c>
      <c r="I41" s="22">
        <v>0</v>
      </c>
      <c r="J41" s="48">
        <v>0</v>
      </c>
      <c r="K41" s="22">
        <v>0</v>
      </c>
      <c r="L41" s="22">
        <v>0</v>
      </c>
      <c r="M41" s="22">
        <v>0</v>
      </c>
      <c r="N41" s="107"/>
      <c r="O41" s="3"/>
    </row>
    <row r="42" spans="1:41" ht="21.75" hidden="1" customHeight="1" outlineLevel="1">
      <c r="A42" s="108" t="s">
        <v>31</v>
      </c>
      <c r="B42" s="111" t="s">
        <v>32</v>
      </c>
      <c r="C42" s="114" t="s">
        <v>11</v>
      </c>
      <c r="D42" s="117" t="s">
        <v>27</v>
      </c>
      <c r="E42" s="114" t="s">
        <v>153</v>
      </c>
      <c r="F42" s="12" t="s">
        <v>14</v>
      </c>
      <c r="G42" s="22">
        <f t="shared" ref="G42:M42" si="14">G43+G44+G45</f>
        <v>0</v>
      </c>
      <c r="H42" s="22">
        <f t="shared" si="14"/>
        <v>0</v>
      </c>
      <c r="I42" s="22">
        <f t="shared" si="14"/>
        <v>0</v>
      </c>
      <c r="J42" s="48">
        <f t="shared" si="14"/>
        <v>0</v>
      </c>
      <c r="K42" s="22">
        <f t="shared" si="14"/>
        <v>0</v>
      </c>
      <c r="L42" s="22">
        <f>L43+L44+L45</f>
        <v>0</v>
      </c>
      <c r="M42" s="22">
        <f t="shared" si="14"/>
        <v>0</v>
      </c>
      <c r="N42" s="107"/>
      <c r="P42" s="3"/>
    </row>
    <row r="43" spans="1:41" ht="21.75" hidden="1" customHeight="1" outlineLevel="1">
      <c r="A43" s="109"/>
      <c r="B43" s="112"/>
      <c r="C43" s="115"/>
      <c r="D43" s="118"/>
      <c r="E43" s="115"/>
      <c r="F43" s="12" t="s">
        <v>133</v>
      </c>
      <c r="G43" s="22">
        <f>H43+I43+J43+K43+M43</f>
        <v>0</v>
      </c>
      <c r="H43" s="22">
        <v>0</v>
      </c>
      <c r="I43" s="22">
        <v>0</v>
      </c>
      <c r="J43" s="48">
        <v>0</v>
      </c>
      <c r="K43" s="22">
        <v>0</v>
      </c>
      <c r="L43" s="22">
        <v>0</v>
      </c>
      <c r="M43" s="22">
        <v>0</v>
      </c>
      <c r="N43" s="107"/>
    </row>
    <row r="44" spans="1:41" ht="21.75" hidden="1" customHeight="1" outlineLevel="1">
      <c r="A44" s="109"/>
      <c r="B44" s="112"/>
      <c r="C44" s="115"/>
      <c r="D44" s="118"/>
      <c r="E44" s="115"/>
      <c r="F44" s="12" t="s">
        <v>16</v>
      </c>
      <c r="G44" s="22">
        <f>H44+I44+J44+K44+M44</f>
        <v>0</v>
      </c>
      <c r="H44" s="22"/>
      <c r="I44" s="22"/>
      <c r="J44" s="48"/>
      <c r="K44" s="22"/>
      <c r="L44" s="22"/>
      <c r="M44" s="22"/>
      <c r="N44" s="107"/>
      <c r="O44" s="6">
        <f>'[3]9 мес 2021'!$H$25-I44</f>
        <v>8816768</v>
      </c>
    </row>
    <row r="45" spans="1:41" ht="21.75" hidden="1" customHeight="1" outlineLevel="1">
      <c r="A45" s="110"/>
      <c r="B45" s="113"/>
      <c r="C45" s="115"/>
      <c r="D45" s="119"/>
      <c r="E45" s="116"/>
      <c r="F45" s="12" t="s">
        <v>17</v>
      </c>
      <c r="G45" s="22">
        <f>H45+I45+J45+K45+M45</f>
        <v>0</v>
      </c>
      <c r="H45" s="22">
        <v>0</v>
      </c>
      <c r="I45" s="22">
        <v>0</v>
      </c>
      <c r="J45" s="48">
        <v>0</v>
      </c>
      <c r="K45" s="22">
        <v>0</v>
      </c>
      <c r="L45" s="22">
        <v>0</v>
      </c>
      <c r="M45" s="22">
        <v>0</v>
      </c>
      <c r="N45" s="107"/>
      <c r="O45" s="7"/>
    </row>
    <row r="46" spans="1:41" ht="21.75" hidden="1" customHeight="1" outlineLevel="1">
      <c r="A46" s="108" t="s">
        <v>33</v>
      </c>
      <c r="B46" s="111" t="s">
        <v>34</v>
      </c>
      <c r="C46" s="114" t="s">
        <v>11</v>
      </c>
      <c r="D46" s="117" t="s">
        <v>27</v>
      </c>
      <c r="E46" s="114" t="s">
        <v>153</v>
      </c>
      <c r="F46" s="12" t="s">
        <v>14</v>
      </c>
      <c r="G46" s="22">
        <f t="shared" ref="G46:M46" si="15">G47+G48+G49</f>
        <v>0</v>
      </c>
      <c r="H46" s="22">
        <f t="shared" si="15"/>
        <v>0</v>
      </c>
      <c r="I46" s="22">
        <f t="shared" si="15"/>
        <v>0</v>
      </c>
      <c r="J46" s="48">
        <f t="shared" si="15"/>
        <v>0</v>
      </c>
      <c r="K46" s="22">
        <f t="shared" si="15"/>
        <v>0</v>
      </c>
      <c r="L46" s="22">
        <f>L47+L48+L49</f>
        <v>0</v>
      </c>
      <c r="M46" s="22">
        <f t="shared" si="15"/>
        <v>0</v>
      </c>
      <c r="N46" s="107"/>
      <c r="O46" s="7"/>
    </row>
    <row r="47" spans="1:41" ht="21.75" hidden="1" customHeight="1" outlineLevel="1">
      <c r="A47" s="109"/>
      <c r="B47" s="112"/>
      <c r="C47" s="115"/>
      <c r="D47" s="118"/>
      <c r="E47" s="115"/>
      <c r="F47" s="12" t="s">
        <v>133</v>
      </c>
      <c r="G47" s="22">
        <f>H47+I47+J47+K47+M47</f>
        <v>0</v>
      </c>
      <c r="H47" s="22">
        <v>0</v>
      </c>
      <c r="I47" s="22">
        <v>0</v>
      </c>
      <c r="J47" s="48">
        <v>0</v>
      </c>
      <c r="K47" s="22">
        <v>0</v>
      </c>
      <c r="L47" s="22">
        <v>0</v>
      </c>
      <c r="M47" s="22">
        <v>0</v>
      </c>
      <c r="N47" s="107"/>
      <c r="O47" s="7"/>
    </row>
    <row r="48" spans="1:41" ht="21.75" hidden="1" customHeight="1" outlineLevel="1">
      <c r="A48" s="109"/>
      <c r="B48" s="112"/>
      <c r="C48" s="115"/>
      <c r="D48" s="118"/>
      <c r="E48" s="115"/>
      <c r="F48" s="12" t="s">
        <v>16</v>
      </c>
      <c r="G48" s="22">
        <f>H48+I48+J48+K48+M48</f>
        <v>0</v>
      </c>
      <c r="H48" s="22"/>
      <c r="I48" s="22"/>
      <c r="J48" s="48"/>
      <c r="K48" s="22"/>
      <c r="L48" s="22"/>
      <c r="M48" s="22"/>
      <c r="N48" s="107"/>
      <c r="O48" s="6"/>
    </row>
    <row r="49" spans="1:16" ht="21.75" hidden="1" customHeight="1" outlineLevel="1">
      <c r="A49" s="110"/>
      <c r="B49" s="113"/>
      <c r="C49" s="115"/>
      <c r="D49" s="119"/>
      <c r="E49" s="116"/>
      <c r="F49" s="12" t="s">
        <v>17</v>
      </c>
      <c r="G49" s="22">
        <f>H49+I49+J49+K49+M49</f>
        <v>0</v>
      </c>
      <c r="H49" s="22">
        <v>0</v>
      </c>
      <c r="I49" s="22">
        <v>0</v>
      </c>
      <c r="J49" s="48">
        <v>0</v>
      </c>
      <c r="K49" s="22">
        <v>0</v>
      </c>
      <c r="L49" s="22">
        <v>0</v>
      </c>
      <c r="M49" s="22">
        <v>0</v>
      </c>
      <c r="N49" s="107"/>
    </row>
    <row r="50" spans="1:16" ht="21.75" customHeight="1" collapsed="1">
      <c r="A50" s="108" t="s">
        <v>18</v>
      </c>
      <c r="B50" s="195" t="s">
        <v>35</v>
      </c>
      <c r="C50" s="114" t="s">
        <v>11</v>
      </c>
      <c r="D50" s="117" t="s">
        <v>27</v>
      </c>
      <c r="E50" s="114" t="s">
        <v>153</v>
      </c>
      <c r="F50" s="12" t="s">
        <v>14</v>
      </c>
      <c r="G50" s="22">
        <f t="shared" ref="G50:M50" si="16">G51+G52+G53</f>
        <v>2601267664.29</v>
      </c>
      <c r="H50" s="22">
        <f t="shared" si="16"/>
        <v>470828018.72000003</v>
      </c>
      <c r="I50" s="22">
        <f t="shared" si="16"/>
        <v>487676039.38999999</v>
      </c>
      <c r="J50" s="48">
        <f t="shared" si="16"/>
        <v>517542710.49000001</v>
      </c>
      <c r="K50" s="22">
        <f t="shared" si="16"/>
        <v>551075639.0999999</v>
      </c>
      <c r="L50" s="22">
        <f>L51+L52+L53</f>
        <v>563780982.62</v>
      </c>
      <c r="M50" s="22">
        <f t="shared" si="16"/>
        <v>574145256.58999991</v>
      </c>
      <c r="N50" s="107"/>
      <c r="O50" s="3"/>
    </row>
    <row r="51" spans="1:16" ht="21.75" customHeight="1">
      <c r="A51" s="109"/>
      <c r="B51" s="196"/>
      <c r="C51" s="115"/>
      <c r="D51" s="118"/>
      <c r="E51" s="115"/>
      <c r="F51" s="12" t="s">
        <v>133</v>
      </c>
      <c r="G51" s="22">
        <f>H51+I51+J51+K51+M51</f>
        <v>670742244.19999993</v>
      </c>
      <c r="H51" s="22">
        <v>111005611.15000001</v>
      </c>
      <c r="I51" s="22">
        <f>112774045.47+5964026+1921557.81+130535.61</f>
        <v>120790164.89</v>
      </c>
      <c r="J51" s="48">
        <v>137433722.97999999</v>
      </c>
      <c r="K51" s="22">
        <f>'[1]Бюджет 2023-2025 МБ, ОБ, ФБ'!$J$26</f>
        <v>150756372.58999997</v>
      </c>
      <c r="L51" s="22">
        <v>149270276.62</v>
      </c>
      <c r="M51" s="22">
        <f>'[1]Бюджет 2023-2025 МБ, ОБ, ФБ'!$R$26</f>
        <v>150756372.58999997</v>
      </c>
      <c r="N51" s="107"/>
    </row>
    <row r="52" spans="1:16" ht="21.75" customHeight="1">
      <c r="A52" s="109"/>
      <c r="B52" s="196"/>
      <c r="C52" s="115"/>
      <c r="D52" s="118"/>
      <c r="E52" s="115"/>
      <c r="F52" s="12" t="s">
        <v>16</v>
      </c>
      <c r="G52" s="22">
        <f>H52+I52+J52+K52+M52</f>
        <v>1919944020.0899999</v>
      </c>
      <c r="H52" s="22">
        <f>349241007.57</f>
        <v>349241007.56999999</v>
      </c>
      <c r="I52" s="22">
        <f>366885874.5</f>
        <v>366885874.5</v>
      </c>
      <c r="J52" s="48">
        <f>347896678+12327200+2879809.51+12005300+5000000</f>
        <v>380108987.50999999</v>
      </c>
      <c r="K52" s="22">
        <f>'[1]Бюджет 2023-2025 МБ, ОБ, ФБ'!$J$24</f>
        <v>400319266.50999999</v>
      </c>
      <c r="L52" s="22">
        <f>'[1]Бюджет 2023-2025 МБ, ОБ, ФБ'!$Q$24</f>
        <v>414510706</v>
      </c>
      <c r="M52" s="22">
        <f>'[1]Бюджет 2023-2025 МБ, ОБ, ФБ'!$R$24</f>
        <v>423388884</v>
      </c>
      <c r="N52" s="107"/>
      <c r="O52" s="3"/>
    </row>
    <row r="53" spans="1:16" ht="21.75" customHeight="1">
      <c r="A53" s="110"/>
      <c r="B53" s="197"/>
      <c r="C53" s="115"/>
      <c r="D53" s="119"/>
      <c r="E53" s="116"/>
      <c r="F53" s="12" t="s">
        <v>17</v>
      </c>
      <c r="G53" s="22">
        <f>H53+I53+J53+K53+M53</f>
        <v>10581400</v>
      </c>
      <c r="H53" s="22">
        <v>10581400</v>
      </c>
      <c r="I53" s="22">
        <v>0</v>
      </c>
      <c r="J53" s="48">
        <v>0</v>
      </c>
      <c r="K53" s="22">
        <v>0</v>
      </c>
      <c r="L53" s="22">
        <v>0</v>
      </c>
      <c r="M53" s="22">
        <v>0</v>
      </c>
      <c r="N53" s="107"/>
      <c r="O53" s="7"/>
      <c r="P53" s="8"/>
    </row>
    <row r="54" spans="1:16" ht="21.75" customHeight="1" collapsed="1">
      <c r="A54" s="108" t="s">
        <v>25</v>
      </c>
      <c r="B54" s="195" t="s">
        <v>40</v>
      </c>
      <c r="C54" s="114" t="s">
        <v>11</v>
      </c>
      <c r="D54" s="117" t="s">
        <v>27</v>
      </c>
      <c r="E54" s="114" t="s">
        <v>153</v>
      </c>
      <c r="F54" s="12" t="s">
        <v>14</v>
      </c>
      <c r="G54" s="22">
        <f t="shared" ref="G54:M54" si="17">G55+G56+G57</f>
        <v>123078900</v>
      </c>
      <c r="H54" s="22">
        <f t="shared" si="17"/>
        <v>0</v>
      </c>
      <c r="I54" s="22">
        <f t="shared" si="17"/>
        <v>30779350</v>
      </c>
      <c r="J54" s="48">
        <f t="shared" si="17"/>
        <v>31110050</v>
      </c>
      <c r="K54" s="22">
        <f t="shared" si="17"/>
        <v>30405510</v>
      </c>
      <c r="L54" s="22">
        <f t="shared" si="17"/>
        <v>30783990</v>
      </c>
      <c r="M54" s="22">
        <f t="shared" si="17"/>
        <v>30783990</v>
      </c>
      <c r="N54" s="107"/>
    </row>
    <row r="55" spans="1:16" ht="21.75" customHeight="1">
      <c r="A55" s="109"/>
      <c r="B55" s="196"/>
      <c r="C55" s="115"/>
      <c r="D55" s="118"/>
      <c r="E55" s="115"/>
      <c r="F55" s="12" t="s">
        <v>133</v>
      </c>
      <c r="G55" s="22">
        <f>H55+I55+J55+K55+M55</f>
        <v>0</v>
      </c>
      <c r="H55" s="22">
        <v>0</v>
      </c>
      <c r="I55" s="22">
        <v>0</v>
      </c>
      <c r="J55" s="48">
        <v>0</v>
      </c>
      <c r="K55" s="22">
        <v>0</v>
      </c>
      <c r="L55" s="22">
        <v>0</v>
      </c>
      <c r="M55" s="22">
        <v>0</v>
      </c>
      <c r="N55" s="107"/>
    </row>
    <row r="56" spans="1:16" ht="21.75" customHeight="1">
      <c r="A56" s="109"/>
      <c r="B56" s="196"/>
      <c r="C56" s="115"/>
      <c r="D56" s="118"/>
      <c r="E56" s="115"/>
      <c r="F56" s="12" t="s">
        <v>16</v>
      </c>
      <c r="G56" s="22">
        <f>H56+I56+J56+K56+M56</f>
        <v>0</v>
      </c>
      <c r="H56" s="22">
        <v>0</v>
      </c>
      <c r="I56" s="22">
        <v>0</v>
      </c>
      <c r="J56" s="48">
        <v>0</v>
      </c>
      <c r="K56" s="22">
        <v>0</v>
      </c>
      <c r="L56" s="22">
        <v>0</v>
      </c>
      <c r="M56" s="22">
        <v>0</v>
      </c>
      <c r="N56" s="107"/>
    </row>
    <row r="57" spans="1:16" ht="21.75" customHeight="1">
      <c r="A57" s="110"/>
      <c r="B57" s="197"/>
      <c r="C57" s="115"/>
      <c r="D57" s="119"/>
      <c r="E57" s="116"/>
      <c r="F57" s="12" t="s">
        <v>17</v>
      </c>
      <c r="G57" s="22">
        <f>H57+I57+J57+K57+M57</f>
        <v>123078900</v>
      </c>
      <c r="H57" s="22">
        <v>0</v>
      </c>
      <c r="I57" s="22">
        <v>30779350</v>
      </c>
      <c r="J57" s="48">
        <v>31110050</v>
      </c>
      <c r="K57" s="22">
        <f>'[1]Бюджет 2023-2025 МБ, ОБ, ФБ'!$J$25</f>
        <v>30405510</v>
      </c>
      <c r="L57" s="22">
        <f>'[1]Бюджет 2023-2025 МБ, ОБ, ФБ'!$Q$25</f>
        <v>30783990</v>
      </c>
      <c r="M57" s="22">
        <f>'[1]Бюджет 2023-2025 МБ, ОБ, ФБ'!$R$25</f>
        <v>30783990</v>
      </c>
      <c r="N57" s="107"/>
    </row>
    <row r="58" spans="1:16" ht="21.75" customHeight="1">
      <c r="A58" s="158" t="s">
        <v>44</v>
      </c>
      <c r="B58" s="111" t="s">
        <v>43</v>
      </c>
      <c r="C58" s="114" t="s">
        <v>11</v>
      </c>
      <c r="D58" s="120" t="s">
        <v>37</v>
      </c>
      <c r="E58" s="114" t="s">
        <v>153</v>
      </c>
      <c r="F58" s="12" t="s">
        <v>14</v>
      </c>
      <c r="G58" s="22">
        <f t="shared" ref="G58:M58" si="18">G59+G60+G61</f>
        <v>300000</v>
      </c>
      <c r="H58" s="22">
        <f t="shared" si="18"/>
        <v>60000</v>
      </c>
      <c r="I58" s="22">
        <f t="shared" si="18"/>
        <v>60000</v>
      </c>
      <c r="J58" s="48">
        <f t="shared" si="18"/>
        <v>60000</v>
      </c>
      <c r="K58" s="22">
        <f t="shared" si="18"/>
        <v>60000</v>
      </c>
      <c r="L58" s="22">
        <f t="shared" si="18"/>
        <v>60000</v>
      </c>
      <c r="M58" s="22">
        <f t="shared" si="18"/>
        <v>60000</v>
      </c>
      <c r="N58" s="107"/>
    </row>
    <row r="59" spans="1:16" ht="21.75" customHeight="1">
      <c r="A59" s="159"/>
      <c r="B59" s="112"/>
      <c r="C59" s="115"/>
      <c r="D59" s="121"/>
      <c r="E59" s="115"/>
      <c r="F59" s="12" t="s">
        <v>133</v>
      </c>
      <c r="G59" s="22">
        <f>H59+I59+J59+K59+M59</f>
        <v>300000</v>
      </c>
      <c r="H59" s="22">
        <v>60000</v>
      </c>
      <c r="I59" s="22">
        <v>60000</v>
      </c>
      <c r="J59" s="48">
        <v>60000</v>
      </c>
      <c r="K59" s="22">
        <v>60000</v>
      </c>
      <c r="L59" s="22">
        <v>60000</v>
      </c>
      <c r="M59" s="22">
        <v>60000</v>
      </c>
      <c r="N59" s="107"/>
    </row>
    <row r="60" spans="1:16" ht="21.75" customHeight="1">
      <c r="A60" s="159"/>
      <c r="B60" s="112"/>
      <c r="C60" s="115"/>
      <c r="D60" s="121"/>
      <c r="E60" s="115"/>
      <c r="F60" s="12" t="s">
        <v>16</v>
      </c>
      <c r="G60" s="22">
        <f>H60+I60+J60+K60+M60</f>
        <v>0</v>
      </c>
      <c r="H60" s="22">
        <v>0</v>
      </c>
      <c r="I60" s="22">
        <v>0</v>
      </c>
      <c r="J60" s="48">
        <v>0</v>
      </c>
      <c r="K60" s="22">
        <v>0</v>
      </c>
      <c r="L60" s="22">
        <v>0</v>
      </c>
      <c r="M60" s="22">
        <v>0</v>
      </c>
      <c r="N60" s="107"/>
    </row>
    <row r="61" spans="1:16" ht="21" customHeight="1">
      <c r="A61" s="160"/>
      <c r="B61" s="113"/>
      <c r="C61" s="115"/>
      <c r="D61" s="122"/>
      <c r="E61" s="116"/>
      <c r="F61" s="12" t="s">
        <v>17</v>
      </c>
      <c r="G61" s="22">
        <f>H61+I61+J61+K61+M61</f>
        <v>0</v>
      </c>
      <c r="H61" s="22">
        <v>0</v>
      </c>
      <c r="I61" s="22">
        <v>0</v>
      </c>
      <c r="J61" s="48">
        <v>0</v>
      </c>
      <c r="K61" s="22">
        <v>0</v>
      </c>
      <c r="L61" s="22">
        <v>0</v>
      </c>
      <c r="M61" s="22">
        <v>0</v>
      </c>
      <c r="N61" s="107"/>
    </row>
    <row r="62" spans="1:16" ht="21.75" customHeight="1">
      <c r="A62" s="158" t="s">
        <v>48</v>
      </c>
      <c r="B62" s="195" t="s">
        <v>53</v>
      </c>
      <c r="C62" s="114" t="s">
        <v>11</v>
      </c>
      <c r="D62" s="120" t="s">
        <v>54</v>
      </c>
      <c r="E62" s="114" t="s">
        <v>153</v>
      </c>
      <c r="F62" s="12" t="s">
        <v>14</v>
      </c>
      <c r="G62" s="22">
        <f t="shared" ref="G62:M62" si="19">G63+G64+G65</f>
        <v>1887641.65</v>
      </c>
      <c r="H62" s="22">
        <f t="shared" si="19"/>
        <v>393480</v>
      </c>
      <c r="I62" s="22">
        <f t="shared" si="19"/>
        <v>1094161.6499999999</v>
      </c>
      <c r="J62" s="48">
        <f t="shared" si="19"/>
        <v>400000</v>
      </c>
      <c r="K62" s="22">
        <f t="shared" si="19"/>
        <v>0</v>
      </c>
      <c r="L62" s="22">
        <f t="shared" si="19"/>
        <v>0</v>
      </c>
      <c r="M62" s="22">
        <f t="shared" si="19"/>
        <v>0</v>
      </c>
      <c r="N62" s="107"/>
    </row>
    <row r="63" spans="1:16" ht="21.75" customHeight="1">
      <c r="A63" s="159"/>
      <c r="B63" s="196"/>
      <c r="C63" s="115"/>
      <c r="D63" s="121"/>
      <c r="E63" s="115"/>
      <c r="F63" s="12" t="s">
        <v>133</v>
      </c>
      <c r="G63" s="22">
        <f>H63+I63+J63+K63+M63</f>
        <v>1887641.65</v>
      </c>
      <c r="H63" s="22">
        <v>393480</v>
      </c>
      <c r="I63" s="22">
        <f>20000+1074161.65</f>
        <v>1094161.6499999999</v>
      </c>
      <c r="J63" s="48">
        <f>500000-100000</f>
        <v>400000</v>
      </c>
      <c r="K63" s="22">
        <v>0</v>
      </c>
      <c r="L63" s="22">
        <v>0</v>
      </c>
      <c r="M63" s="22">
        <v>0</v>
      </c>
      <c r="N63" s="107"/>
    </row>
    <row r="64" spans="1:16" ht="21.75" customHeight="1">
      <c r="A64" s="159"/>
      <c r="B64" s="196"/>
      <c r="C64" s="115"/>
      <c r="D64" s="121"/>
      <c r="E64" s="115"/>
      <c r="F64" s="12" t="s">
        <v>16</v>
      </c>
      <c r="G64" s="22">
        <f>H64+I64+J64+K64+M64</f>
        <v>0</v>
      </c>
      <c r="H64" s="22">
        <v>0</v>
      </c>
      <c r="I64" s="22">
        <v>0</v>
      </c>
      <c r="J64" s="48">
        <v>0</v>
      </c>
      <c r="K64" s="22">
        <v>0</v>
      </c>
      <c r="L64" s="22">
        <v>0</v>
      </c>
      <c r="M64" s="22">
        <v>0</v>
      </c>
      <c r="N64" s="107"/>
    </row>
    <row r="65" spans="1:14" ht="21.75" customHeight="1">
      <c r="A65" s="160"/>
      <c r="B65" s="197"/>
      <c r="C65" s="115"/>
      <c r="D65" s="122"/>
      <c r="E65" s="116"/>
      <c r="F65" s="12" t="s">
        <v>17</v>
      </c>
      <c r="G65" s="22">
        <f>H65+I65+J65+K65+M65</f>
        <v>0</v>
      </c>
      <c r="H65" s="22">
        <v>0</v>
      </c>
      <c r="I65" s="22">
        <v>0</v>
      </c>
      <c r="J65" s="48">
        <v>0</v>
      </c>
      <c r="K65" s="22">
        <v>0</v>
      </c>
      <c r="L65" s="22">
        <v>0</v>
      </c>
      <c r="M65" s="22">
        <v>0</v>
      </c>
      <c r="N65" s="107"/>
    </row>
    <row r="66" spans="1:14" ht="21.75" customHeight="1">
      <c r="A66" s="216" t="s">
        <v>56</v>
      </c>
      <c r="B66" s="174" t="s">
        <v>41</v>
      </c>
      <c r="C66" s="177" t="s">
        <v>11</v>
      </c>
      <c r="D66" s="179" t="s">
        <v>42</v>
      </c>
      <c r="E66" s="177" t="s">
        <v>153</v>
      </c>
      <c r="F66" s="49" t="s">
        <v>14</v>
      </c>
      <c r="G66" s="48">
        <f t="shared" ref="G66:M66" si="20">G67+G68+G69</f>
        <v>220242.99</v>
      </c>
      <c r="H66" s="48">
        <f t="shared" si="20"/>
        <v>0</v>
      </c>
      <c r="I66" s="48">
        <f t="shared" si="20"/>
        <v>0</v>
      </c>
      <c r="J66" s="48">
        <f t="shared" si="20"/>
        <v>220242.99</v>
      </c>
      <c r="K66" s="48">
        <f t="shared" si="20"/>
        <v>0</v>
      </c>
      <c r="L66" s="48">
        <f t="shared" si="20"/>
        <v>0</v>
      </c>
      <c r="M66" s="48">
        <f t="shared" si="20"/>
        <v>0</v>
      </c>
      <c r="N66" s="107"/>
    </row>
    <row r="67" spans="1:14" ht="21.75" customHeight="1">
      <c r="A67" s="217"/>
      <c r="B67" s="175"/>
      <c r="C67" s="178"/>
      <c r="D67" s="180"/>
      <c r="E67" s="178"/>
      <c r="F67" s="49" t="s">
        <v>15</v>
      </c>
      <c r="G67" s="48">
        <f>H67+I67+J67+K67+L67</f>
        <v>220242.99</v>
      </c>
      <c r="H67" s="48">
        <v>0</v>
      </c>
      <c r="I67" s="48">
        <v>0</v>
      </c>
      <c r="J67" s="48">
        <v>220242.99</v>
      </c>
      <c r="K67" s="48">
        <v>0</v>
      </c>
      <c r="L67" s="48">
        <v>0</v>
      </c>
      <c r="M67" s="48">
        <v>0</v>
      </c>
      <c r="N67" s="107"/>
    </row>
    <row r="68" spans="1:14" ht="21.75" customHeight="1">
      <c r="A68" s="217"/>
      <c r="B68" s="175"/>
      <c r="C68" s="178"/>
      <c r="D68" s="180"/>
      <c r="E68" s="178"/>
      <c r="F68" s="49" t="s">
        <v>16</v>
      </c>
      <c r="G68" s="48">
        <f>H68+I68+J68+K68+L68</f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107"/>
    </row>
    <row r="69" spans="1:14" ht="21.75" customHeight="1">
      <c r="A69" s="218"/>
      <c r="B69" s="176"/>
      <c r="C69" s="178"/>
      <c r="D69" s="181"/>
      <c r="E69" s="182"/>
      <c r="F69" s="49" t="s">
        <v>17</v>
      </c>
      <c r="G69" s="48">
        <f>H69+I69+J69+K69+L69</f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107"/>
    </row>
    <row r="70" spans="1:14" ht="21.75" customHeight="1" collapsed="1">
      <c r="A70" s="158" t="s">
        <v>94</v>
      </c>
      <c r="B70" s="111" t="s">
        <v>45</v>
      </c>
      <c r="C70" s="114" t="s">
        <v>11</v>
      </c>
      <c r="D70" s="117" t="s">
        <v>42</v>
      </c>
      <c r="E70" s="114" t="s">
        <v>153</v>
      </c>
      <c r="F70" s="12" t="s">
        <v>14</v>
      </c>
      <c r="G70" s="22">
        <f t="shared" ref="G70:M70" si="21">G71+G72+G73</f>
        <v>500000</v>
      </c>
      <c r="H70" s="22">
        <f t="shared" si="21"/>
        <v>90000</v>
      </c>
      <c r="I70" s="22">
        <f t="shared" si="21"/>
        <v>100000</v>
      </c>
      <c r="J70" s="22">
        <f t="shared" si="21"/>
        <v>100000</v>
      </c>
      <c r="K70" s="22">
        <f t="shared" si="21"/>
        <v>105000</v>
      </c>
      <c r="L70" s="22">
        <f t="shared" si="21"/>
        <v>105000</v>
      </c>
      <c r="M70" s="22">
        <f t="shared" si="21"/>
        <v>105000</v>
      </c>
      <c r="N70" s="107"/>
    </row>
    <row r="71" spans="1:14" ht="21.75" customHeight="1">
      <c r="A71" s="159"/>
      <c r="B71" s="112"/>
      <c r="C71" s="115"/>
      <c r="D71" s="118"/>
      <c r="E71" s="115"/>
      <c r="F71" s="12" t="s">
        <v>133</v>
      </c>
      <c r="G71" s="22">
        <f>H71+I71+J71+K71+M71</f>
        <v>500000</v>
      </c>
      <c r="H71" s="22">
        <v>90000</v>
      </c>
      <c r="I71" s="22">
        <f>100000</f>
        <v>100000</v>
      </c>
      <c r="J71" s="22">
        <v>100000</v>
      </c>
      <c r="K71" s="22">
        <v>105000</v>
      </c>
      <c r="L71" s="22">
        <v>105000</v>
      </c>
      <c r="M71" s="22">
        <v>105000</v>
      </c>
      <c r="N71" s="107"/>
    </row>
    <row r="72" spans="1:14" ht="21.75" customHeight="1">
      <c r="A72" s="159"/>
      <c r="B72" s="112"/>
      <c r="C72" s="115"/>
      <c r="D72" s="118"/>
      <c r="E72" s="115"/>
      <c r="F72" s="12" t="s">
        <v>16</v>
      </c>
      <c r="G72" s="22">
        <f>H72+I72+J72+K72+M72</f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107"/>
    </row>
    <row r="73" spans="1:14" ht="21.75" customHeight="1">
      <c r="A73" s="160"/>
      <c r="B73" s="113"/>
      <c r="C73" s="115"/>
      <c r="D73" s="119"/>
      <c r="E73" s="116"/>
      <c r="F73" s="12" t="s">
        <v>17</v>
      </c>
      <c r="G73" s="22">
        <f>H73+I73+J73+K73+M73</f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107"/>
    </row>
    <row r="74" spans="1:14" ht="21.75" customHeight="1">
      <c r="A74" s="108" t="s">
        <v>102</v>
      </c>
      <c r="B74" s="111" t="s">
        <v>36</v>
      </c>
      <c r="C74" s="114" t="s">
        <v>11</v>
      </c>
      <c r="D74" s="120" t="s">
        <v>37</v>
      </c>
      <c r="E74" s="114" t="s">
        <v>153</v>
      </c>
      <c r="F74" s="12" t="s">
        <v>14</v>
      </c>
      <c r="G74" s="22">
        <f t="shared" ref="G74:M74" si="22">G75+G76+G77</f>
        <v>4661070.7300000004</v>
      </c>
      <c r="H74" s="22">
        <f t="shared" si="22"/>
        <v>1481975</v>
      </c>
      <c r="I74" s="22">
        <f t="shared" si="22"/>
        <v>653058.44999999995</v>
      </c>
      <c r="J74" s="48">
        <f t="shared" si="22"/>
        <v>888490</v>
      </c>
      <c r="K74" s="22">
        <f t="shared" si="22"/>
        <v>1068773.6400000001</v>
      </c>
      <c r="L74" s="22">
        <f t="shared" si="22"/>
        <v>568773.64</v>
      </c>
      <c r="M74" s="22">
        <f t="shared" si="22"/>
        <v>568773.64</v>
      </c>
      <c r="N74" s="107"/>
    </row>
    <row r="75" spans="1:14" ht="21.75" customHeight="1">
      <c r="A75" s="109"/>
      <c r="B75" s="112"/>
      <c r="C75" s="115"/>
      <c r="D75" s="121"/>
      <c r="E75" s="115"/>
      <c r="F75" s="12" t="s">
        <v>133</v>
      </c>
      <c r="G75" s="22">
        <f>H75+I75+J75+K75+M75</f>
        <v>4661070.7300000004</v>
      </c>
      <c r="H75" s="22">
        <v>1481975</v>
      </c>
      <c r="I75" s="22">
        <f>1481975-602271.91-226644.64</f>
        <v>653058.44999999995</v>
      </c>
      <c r="J75" s="48">
        <v>888490</v>
      </c>
      <c r="K75" s="22">
        <f>'[1]Бюджет 2023-2025 МБ, ОБ, ФБ'!$J$11</f>
        <v>1068773.6400000001</v>
      </c>
      <c r="L75" s="22">
        <v>568773.64</v>
      </c>
      <c r="M75" s="22">
        <v>568773.64</v>
      </c>
      <c r="N75" s="107"/>
    </row>
    <row r="76" spans="1:14" ht="21.75" customHeight="1">
      <c r="A76" s="109"/>
      <c r="B76" s="112"/>
      <c r="C76" s="115"/>
      <c r="D76" s="121"/>
      <c r="E76" s="115"/>
      <c r="F76" s="12" t="s">
        <v>16</v>
      </c>
      <c r="G76" s="22">
        <f>H76+I76+J76+K76+M76</f>
        <v>0</v>
      </c>
      <c r="H76" s="22">
        <v>0</v>
      </c>
      <c r="I76" s="22">
        <v>0</v>
      </c>
      <c r="J76" s="48">
        <v>0</v>
      </c>
      <c r="K76" s="22">
        <v>0</v>
      </c>
      <c r="L76" s="22">
        <v>0</v>
      </c>
      <c r="M76" s="22">
        <v>0</v>
      </c>
      <c r="N76" s="107"/>
    </row>
    <row r="77" spans="1:14" ht="21.75" customHeight="1">
      <c r="A77" s="110"/>
      <c r="B77" s="113"/>
      <c r="C77" s="115"/>
      <c r="D77" s="122"/>
      <c r="E77" s="116"/>
      <c r="F77" s="12" t="s">
        <v>17</v>
      </c>
      <c r="G77" s="22">
        <f>H77+I77+J77+K77+M77</f>
        <v>0</v>
      </c>
      <c r="H77" s="22">
        <v>0</v>
      </c>
      <c r="I77" s="22">
        <v>0</v>
      </c>
      <c r="J77" s="48">
        <v>0</v>
      </c>
      <c r="K77" s="22">
        <v>0</v>
      </c>
      <c r="L77" s="22">
        <v>0</v>
      </c>
      <c r="M77" s="22">
        <v>0</v>
      </c>
      <c r="N77" s="107"/>
    </row>
    <row r="78" spans="1:14" ht="21.75" customHeight="1" collapsed="1">
      <c r="A78" s="108" t="s">
        <v>124</v>
      </c>
      <c r="B78" s="111" t="s">
        <v>125</v>
      </c>
      <c r="C78" s="114" t="s">
        <v>11</v>
      </c>
      <c r="D78" s="114" t="s">
        <v>113</v>
      </c>
      <c r="E78" s="114" t="s">
        <v>153</v>
      </c>
      <c r="F78" s="12" t="s">
        <v>14</v>
      </c>
      <c r="G78" s="22">
        <f t="shared" ref="G78:M78" si="23">G79+G80+G81</f>
        <v>245901.6</v>
      </c>
      <c r="H78" s="22">
        <f t="shared" si="23"/>
        <v>0</v>
      </c>
      <c r="I78" s="22">
        <f t="shared" si="23"/>
        <v>0</v>
      </c>
      <c r="J78" s="48">
        <f t="shared" si="23"/>
        <v>149349.60000000003</v>
      </c>
      <c r="K78" s="22">
        <f t="shared" si="23"/>
        <v>48276</v>
      </c>
      <c r="L78" s="22">
        <f t="shared" si="23"/>
        <v>48276</v>
      </c>
      <c r="M78" s="22">
        <f t="shared" si="23"/>
        <v>48276</v>
      </c>
      <c r="N78" s="107"/>
    </row>
    <row r="79" spans="1:14" ht="21.75" customHeight="1">
      <c r="A79" s="109"/>
      <c r="B79" s="112"/>
      <c r="C79" s="115"/>
      <c r="D79" s="115"/>
      <c r="E79" s="115"/>
      <c r="F79" s="12" t="s">
        <v>133</v>
      </c>
      <c r="G79" s="22">
        <f>H79+I79+J79+K79+M79</f>
        <v>149352</v>
      </c>
      <c r="H79" s="22">
        <v>0</v>
      </c>
      <c r="I79" s="22">
        <v>0</v>
      </c>
      <c r="J79" s="48">
        <f>'[4]остатки средств в ФК_3'!$AI$100+'[4]остатки средств в ФК_3'!$AI$98</f>
        <v>52800.000000000015</v>
      </c>
      <c r="K79" s="22">
        <f>'[1]Бюджет 2023-2025 МБ, ОБ, ФБ'!$J$73</f>
        <v>48276</v>
      </c>
      <c r="L79" s="22">
        <v>48276</v>
      </c>
      <c r="M79" s="22">
        <v>48276</v>
      </c>
      <c r="N79" s="107"/>
    </row>
    <row r="80" spans="1:14" ht="21.75" customHeight="1">
      <c r="A80" s="109"/>
      <c r="B80" s="112"/>
      <c r="C80" s="115"/>
      <c r="D80" s="115"/>
      <c r="E80" s="115"/>
      <c r="F80" s="12" t="s">
        <v>16</v>
      </c>
      <c r="G80" s="22">
        <f>H80+I80+J80+K80+M80</f>
        <v>96549.6</v>
      </c>
      <c r="H80" s="22">
        <v>0</v>
      </c>
      <c r="I80" s="22">
        <v>0</v>
      </c>
      <c r="J80" s="48">
        <f>'[4]остатки средств в ФК_3'!$AH$100</f>
        <v>96549.6</v>
      </c>
      <c r="K80" s="48"/>
      <c r="L80" s="48"/>
      <c r="M80" s="48"/>
      <c r="N80" s="107"/>
    </row>
    <row r="81" spans="1:15" ht="21.75" customHeight="1">
      <c r="A81" s="110"/>
      <c r="B81" s="113"/>
      <c r="C81" s="116"/>
      <c r="D81" s="116"/>
      <c r="E81" s="116"/>
      <c r="F81" s="12" t="s">
        <v>17</v>
      </c>
      <c r="G81" s="22">
        <f>H81+I81+J81+K81+M81</f>
        <v>0</v>
      </c>
      <c r="H81" s="22">
        <v>0</v>
      </c>
      <c r="I81" s="22">
        <v>0</v>
      </c>
      <c r="J81" s="48">
        <v>0</v>
      </c>
      <c r="K81" s="22">
        <v>0</v>
      </c>
      <c r="L81" s="22">
        <v>0</v>
      </c>
      <c r="M81" s="22">
        <v>0</v>
      </c>
      <c r="N81" s="107"/>
    </row>
    <row r="82" spans="1:15" ht="21.75" customHeight="1">
      <c r="A82" s="108" t="s">
        <v>128</v>
      </c>
      <c r="B82" s="195" t="s">
        <v>22</v>
      </c>
      <c r="C82" s="114" t="s">
        <v>11</v>
      </c>
      <c r="D82" s="117" t="s">
        <v>27</v>
      </c>
      <c r="E82" s="114" t="s">
        <v>153</v>
      </c>
      <c r="F82" s="12" t="s">
        <v>14</v>
      </c>
      <c r="G82" s="22">
        <f t="shared" ref="G82:M82" si="24">G83+G84+G85</f>
        <v>5474764.5199999996</v>
      </c>
      <c r="H82" s="22">
        <f t="shared" si="24"/>
        <v>1006307</v>
      </c>
      <c r="I82" s="22">
        <f t="shared" si="24"/>
        <v>1385373.84</v>
      </c>
      <c r="J82" s="48">
        <f t="shared" si="24"/>
        <v>881623.68</v>
      </c>
      <c r="K82" s="22">
        <f t="shared" si="24"/>
        <v>1100730</v>
      </c>
      <c r="L82" s="22">
        <f>L83+L84+L85</f>
        <v>1100730</v>
      </c>
      <c r="M82" s="22">
        <f t="shared" si="24"/>
        <v>1100730</v>
      </c>
      <c r="N82" s="107"/>
    </row>
    <row r="83" spans="1:15" ht="21.75" customHeight="1">
      <c r="A83" s="109"/>
      <c r="B83" s="196"/>
      <c r="C83" s="115"/>
      <c r="D83" s="118"/>
      <c r="E83" s="115"/>
      <c r="F83" s="12" t="s">
        <v>133</v>
      </c>
      <c r="G83" s="22">
        <f>H83+I83+J83+K83+M83</f>
        <v>5474764.5199999996</v>
      </c>
      <c r="H83" s="22">
        <v>1006307</v>
      </c>
      <c r="I83" s="22">
        <f>1199420.42+157723.37+28230.05</f>
        <v>1385373.84</v>
      </c>
      <c r="J83" s="48">
        <f>965822.81-130616.86+22367.74+24049.99</f>
        <v>881623.68</v>
      </c>
      <c r="K83" s="22">
        <f>'[1]Бюджет 2023-2025 МБ, ОБ, ФБ'!$J$27</f>
        <v>1100730</v>
      </c>
      <c r="L83" s="22">
        <v>1100730</v>
      </c>
      <c r="M83" s="22">
        <v>1100730</v>
      </c>
      <c r="N83" s="107"/>
    </row>
    <row r="84" spans="1:15" ht="21.75" customHeight="1">
      <c r="A84" s="109"/>
      <c r="B84" s="196"/>
      <c r="C84" s="115"/>
      <c r="D84" s="118"/>
      <c r="E84" s="115"/>
      <c r="F84" s="12" t="s">
        <v>16</v>
      </c>
      <c r="G84" s="22">
        <f>H84+I84+J84+K84+M84</f>
        <v>0</v>
      </c>
      <c r="H84" s="22">
        <v>0</v>
      </c>
      <c r="I84" s="22">
        <v>0</v>
      </c>
      <c r="J84" s="48">
        <v>0</v>
      </c>
      <c r="K84" s="22">
        <v>0</v>
      </c>
      <c r="L84" s="22">
        <v>0</v>
      </c>
      <c r="M84" s="22">
        <v>0</v>
      </c>
      <c r="N84" s="107"/>
    </row>
    <row r="85" spans="1:15" ht="21.75" customHeight="1">
      <c r="A85" s="110"/>
      <c r="B85" s="197"/>
      <c r="C85" s="115"/>
      <c r="D85" s="119"/>
      <c r="E85" s="116"/>
      <c r="F85" s="12" t="s">
        <v>17</v>
      </c>
      <c r="G85" s="22">
        <f>H85+I85+J85+K85+M85</f>
        <v>0</v>
      </c>
      <c r="H85" s="22">
        <v>0</v>
      </c>
      <c r="I85" s="22">
        <v>0</v>
      </c>
      <c r="J85" s="48">
        <v>0</v>
      </c>
      <c r="K85" s="22">
        <v>0</v>
      </c>
      <c r="L85" s="22">
        <v>0</v>
      </c>
      <c r="M85" s="22">
        <v>0</v>
      </c>
      <c r="N85" s="107"/>
    </row>
    <row r="86" spans="1:15" ht="21.75" customHeight="1">
      <c r="A86" s="108" t="s">
        <v>144</v>
      </c>
      <c r="B86" s="195" t="s">
        <v>23</v>
      </c>
      <c r="C86" s="114" t="s">
        <v>11</v>
      </c>
      <c r="D86" s="117" t="s">
        <v>27</v>
      </c>
      <c r="E86" s="114" t="s">
        <v>153</v>
      </c>
      <c r="F86" s="12" t="s">
        <v>14</v>
      </c>
      <c r="G86" s="22">
        <f t="shared" ref="G86:M86" si="25">G87+G88+G89</f>
        <v>188740092.09999999</v>
      </c>
      <c r="H86" s="22">
        <f t="shared" si="25"/>
        <v>31798849</v>
      </c>
      <c r="I86" s="22">
        <f t="shared" si="25"/>
        <v>36091735.869999997</v>
      </c>
      <c r="J86" s="48">
        <f t="shared" si="25"/>
        <v>39884600.390000001</v>
      </c>
      <c r="K86" s="22">
        <f t="shared" si="25"/>
        <v>37164906.840000004</v>
      </c>
      <c r="L86" s="22">
        <f>L87+L88+L89</f>
        <v>38600000</v>
      </c>
      <c r="M86" s="22">
        <f t="shared" si="25"/>
        <v>43800000</v>
      </c>
      <c r="N86" s="107"/>
    </row>
    <row r="87" spans="1:15" ht="21.75" customHeight="1">
      <c r="A87" s="109"/>
      <c r="B87" s="196"/>
      <c r="C87" s="115"/>
      <c r="D87" s="118"/>
      <c r="E87" s="115"/>
      <c r="F87" s="12" t="s">
        <v>133</v>
      </c>
      <c r="G87" s="22">
        <f>H87+I87+J87+K87+M87</f>
        <v>388968.69</v>
      </c>
      <c r="H87" s="22">
        <v>100000</v>
      </c>
      <c r="I87" s="22">
        <f>101833.11+23737.45</f>
        <v>125570.56</v>
      </c>
      <c r="J87" s="48">
        <v>99792.13</v>
      </c>
      <c r="K87" s="22">
        <v>63606</v>
      </c>
      <c r="L87" s="22">
        <v>0</v>
      </c>
      <c r="M87" s="22">
        <v>0</v>
      </c>
      <c r="N87" s="107"/>
    </row>
    <row r="88" spans="1:15" ht="21.75" customHeight="1">
      <c r="A88" s="109"/>
      <c r="B88" s="196"/>
      <c r="C88" s="115"/>
      <c r="D88" s="118"/>
      <c r="E88" s="115"/>
      <c r="F88" s="12" t="s">
        <v>16</v>
      </c>
      <c r="G88" s="22">
        <f>H88+I88+J88+K88+M88</f>
        <v>188351123.41</v>
      </c>
      <c r="H88" s="22">
        <v>31698849</v>
      </c>
      <c r="I88" s="22">
        <f>35963535.87+2629.44</f>
        <v>35966165.309999995</v>
      </c>
      <c r="J88" s="48">
        <f>'[2]остатки средств в ФК_8'!$R$34+2040.87</f>
        <v>39784808.259999998</v>
      </c>
      <c r="K88" s="22">
        <f>'[1]Бюджет 2023-2025 МБ, ОБ, ФБ'!$J$22+1300.84</f>
        <v>37101300.840000004</v>
      </c>
      <c r="L88" s="22">
        <f>'[1]Бюджет 2023-2025 МБ, ОБ, ФБ'!$Q$22</f>
        <v>38600000</v>
      </c>
      <c r="M88" s="22">
        <f>'[1]Бюджет 2023-2025 МБ, ОБ, ФБ'!$R$22</f>
        <v>43800000</v>
      </c>
      <c r="N88" s="107"/>
    </row>
    <row r="89" spans="1:15" ht="21.75" customHeight="1">
      <c r="A89" s="110"/>
      <c r="B89" s="197"/>
      <c r="C89" s="115"/>
      <c r="D89" s="119"/>
      <c r="E89" s="116"/>
      <c r="F89" s="12" t="s">
        <v>17</v>
      </c>
      <c r="G89" s="22">
        <f>H89+I89+J89+K89+M89</f>
        <v>0</v>
      </c>
      <c r="H89" s="22">
        <v>0</v>
      </c>
      <c r="I89" s="22">
        <v>0</v>
      </c>
      <c r="J89" s="48">
        <v>0</v>
      </c>
      <c r="K89" s="22">
        <v>0</v>
      </c>
      <c r="L89" s="22">
        <v>0</v>
      </c>
      <c r="M89" s="22">
        <v>0</v>
      </c>
      <c r="N89" s="107"/>
    </row>
    <row r="90" spans="1:15" ht="21.75" hidden="1" customHeight="1" outlineLevel="1">
      <c r="A90" s="108" t="s">
        <v>38</v>
      </c>
      <c r="B90" s="111" t="s">
        <v>39</v>
      </c>
      <c r="C90" s="114" t="s">
        <v>11</v>
      </c>
      <c r="D90" s="117" t="s">
        <v>27</v>
      </c>
      <c r="E90" s="114" t="s">
        <v>153</v>
      </c>
      <c r="F90" s="12" t="s">
        <v>14</v>
      </c>
      <c r="G90" s="22">
        <f t="shared" ref="G90:M90" si="26">G91+G92+G93</f>
        <v>0</v>
      </c>
      <c r="H90" s="22">
        <f t="shared" si="26"/>
        <v>0</v>
      </c>
      <c r="I90" s="22">
        <f t="shared" si="26"/>
        <v>0</v>
      </c>
      <c r="J90" s="48">
        <f t="shared" si="26"/>
        <v>0</v>
      </c>
      <c r="K90" s="22">
        <f t="shared" si="26"/>
        <v>0</v>
      </c>
      <c r="L90" s="22">
        <f>L91+L92+L93</f>
        <v>0</v>
      </c>
      <c r="M90" s="22">
        <f t="shared" si="26"/>
        <v>0</v>
      </c>
      <c r="N90" s="107"/>
    </row>
    <row r="91" spans="1:15" ht="21.75" hidden="1" customHeight="1" outlineLevel="1">
      <c r="A91" s="109"/>
      <c r="B91" s="112"/>
      <c r="C91" s="115"/>
      <c r="D91" s="118"/>
      <c r="E91" s="115"/>
      <c r="F91" s="12" t="s">
        <v>133</v>
      </c>
      <c r="G91" s="22">
        <f>H91+I91+J91+K91+M91</f>
        <v>0</v>
      </c>
      <c r="H91" s="22">
        <v>0</v>
      </c>
      <c r="I91" s="22">
        <v>0</v>
      </c>
      <c r="J91" s="48">
        <v>0</v>
      </c>
      <c r="K91" s="22">
        <v>0</v>
      </c>
      <c r="L91" s="22">
        <v>0</v>
      </c>
      <c r="M91" s="22">
        <v>0</v>
      </c>
      <c r="N91" s="107"/>
    </row>
    <row r="92" spans="1:15" ht="21.75" hidden="1" customHeight="1" outlineLevel="1">
      <c r="A92" s="109"/>
      <c r="B92" s="112"/>
      <c r="C92" s="115"/>
      <c r="D92" s="118"/>
      <c r="E92" s="115"/>
      <c r="F92" s="12" t="s">
        <v>16</v>
      </c>
      <c r="G92" s="22">
        <f>H92+I92+J92+K92+M92</f>
        <v>0</v>
      </c>
      <c r="H92" s="22">
        <v>0</v>
      </c>
      <c r="I92" s="22">
        <v>0</v>
      </c>
      <c r="J92" s="48">
        <v>0</v>
      </c>
      <c r="K92" s="22">
        <v>0</v>
      </c>
      <c r="L92" s="22">
        <v>0</v>
      </c>
      <c r="M92" s="22">
        <v>0</v>
      </c>
      <c r="N92" s="107"/>
    </row>
    <row r="93" spans="1:15" ht="21.75" hidden="1" customHeight="1" outlineLevel="1">
      <c r="A93" s="110"/>
      <c r="B93" s="113"/>
      <c r="C93" s="115"/>
      <c r="D93" s="119"/>
      <c r="E93" s="116"/>
      <c r="F93" s="12" t="s">
        <v>17</v>
      </c>
      <c r="G93" s="22">
        <f>H93+I93+J93+K93+M93</f>
        <v>0</v>
      </c>
      <c r="H93" s="22">
        <v>0</v>
      </c>
      <c r="I93" s="22">
        <v>0</v>
      </c>
      <c r="J93" s="48">
        <v>0</v>
      </c>
      <c r="K93" s="22">
        <v>0</v>
      </c>
      <c r="L93" s="22">
        <v>0</v>
      </c>
      <c r="M93" s="22">
        <v>0</v>
      </c>
      <c r="N93" s="107"/>
    </row>
    <row r="94" spans="1:15" ht="21.75" hidden="1" customHeight="1" outlineLevel="1">
      <c r="A94" s="108" t="s">
        <v>46</v>
      </c>
      <c r="B94" s="111" t="s">
        <v>47</v>
      </c>
      <c r="C94" s="114" t="s">
        <v>11</v>
      </c>
      <c r="D94" s="117" t="s">
        <v>27</v>
      </c>
      <c r="E94" s="114" t="s">
        <v>153</v>
      </c>
      <c r="F94" s="12" t="s">
        <v>14</v>
      </c>
      <c r="G94" s="22">
        <f t="shared" ref="G94:M94" si="27">G95+G96+G97</f>
        <v>0</v>
      </c>
      <c r="H94" s="22">
        <f t="shared" si="27"/>
        <v>0</v>
      </c>
      <c r="I94" s="22">
        <f t="shared" si="27"/>
        <v>0</v>
      </c>
      <c r="J94" s="22">
        <f t="shared" si="27"/>
        <v>0</v>
      </c>
      <c r="K94" s="22">
        <f t="shared" si="27"/>
        <v>0</v>
      </c>
      <c r="L94" s="22">
        <f>L95+L96+L97</f>
        <v>0</v>
      </c>
      <c r="M94" s="22">
        <f t="shared" si="27"/>
        <v>0</v>
      </c>
      <c r="N94" s="107"/>
    </row>
    <row r="95" spans="1:15" ht="21.75" hidden="1" customHeight="1" outlineLevel="1">
      <c r="A95" s="109"/>
      <c r="B95" s="112"/>
      <c r="C95" s="115"/>
      <c r="D95" s="118"/>
      <c r="E95" s="115"/>
      <c r="F95" s="12" t="s">
        <v>133</v>
      </c>
      <c r="G95" s="22">
        <f>H95+I95+J95+K95+M95</f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107"/>
    </row>
    <row r="96" spans="1:15" ht="21.75" hidden="1" customHeight="1" outlineLevel="1">
      <c r="A96" s="109"/>
      <c r="B96" s="112"/>
      <c r="C96" s="115"/>
      <c r="D96" s="118"/>
      <c r="E96" s="115"/>
      <c r="F96" s="12" t="s">
        <v>16</v>
      </c>
      <c r="G96" s="22">
        <f>H96+I96+J96+K96+M96</f>
        <v>0</v>
      </c>
      <c r="H96" s="22"/>
      <c r="I96" s="22"/>
      <c r="J96" s="22"/>
      <c r="K96" s="22"/>
      <c r="L96" s="22"/>
      <c r="M96" s="22"/>
      <c r="N96" s="107"/>
      <c r="O96" s="9"/>
    </row>
    <row r="97" spans="1:16" ht="21.75" hidden="1" customHeight="1" outlineLevel="1">
      <c r="A97" s="110"/>
      <c r="B97" s="113"/>
      <c r="C97" s="115"/>
      <c r="D97" s="119"/>
      <c r="E97" s="116"/>
      <c r="F97" s="12" t="s">
        <v>17</v>
      </c>
      <c r="G97" s="22">
        <f>H97+I97+J97+K97+M97</f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167"/>
    </row>
    <row r="98" spans="1:16" ht="21.75" customHeight="1" collapsed="1">
      <c r="A98" s="183"/>
      <c r="B98" s="186" t="s">
        <v>49</v>
      </c>
      <c r="C98" s="189" t="s">
        <v>11</v>
      </c>
      <c r="D98" s="192" t="s">
        <v>50</v>
      </c>
      <c r="E98" s="189" t="s">
        <v>153</v>
      </c>
      <c r="F98" s="37" t="s">
        <v>14</v>
      </c>
      <c r="G98" s="38">
        <f t="shared" ref="G98:M98" si="28">G99+G100+G101</f>
        <v>509603844.13000011</v>
      </c>
      <c r="H98" s="38">
        <f>H99+H100+H101</f>
        <v>84734080.780000001</v>
      </c>
      <c r="I98" s="38">
        <f>I99+I100+I101</f>
        <v>96308847.780000001</v>
      </c>
      <c r="J98" s="38">
        <f>J99+J100+J101</f>
        <v>101161763.69</v>
      </c>
      <c r="K98" s="38">
        <f t="shared" si="28"/>
        <v>111695933.96000001</v>
      </c>
      <c r="L98" s="38">
        <f>L99+L100+L101</f>
        <v>113265823.39</v>
      </c>
      <c r="M98" s="38">
        <f t="shared" si="28"/>
        <v>115703217.92</v>
      </c>
      <c r="N98" s="152" t="s">
        <v>51</v>
      </c>
    </row>
    <row r="99" spans="1:16" ht="21.75" customHeight="1">
      <c r="A99" s="184"/>
      <c r="B99" s="187"/>
      <c r="C99" s="190"/>
      <c r="D99" s="193"/>
      <c r="E99" s="190"/>
      <c r="F99" s="37" t="s">
        <v>133</v>
      </c>
      <c r="G99" s="38">
        <f>H99+I99+J99+K99+M99</f>
        <v>106965685.47999999</v>
      </c>
      <c r="H99" s="38">
        <f t="shared" ref="H99:M99" si="29">H103+H119+H107+H111+H115+H123</f>
        <v>18875528.780000001</v>
      </c>
      <c r="I99" s="38">
        <f t="shared" si="29"/>
        <v>18939692.490000002</v>
      </c>
      <c r="J99" s="38">
        <f t="shared" si="29"/>
        <v>20821117.829999998</v>
      </c>
      <c r="K99" s="38">
        <f t="shared" si="29"/>
        <v>24910947.189999998</v>
      </c>
      <c r="L99" s="38">
        <f t="shared" si="29"/>
        <v>23414479.190000001</v>
      </c>
      <c r="M99" s="38">
        <f t="shared" si="29"/>
        <v>23418399.190000001</v>
      </c>
      <c r="N99" s="153"/>
    </row>
    <row r="100" spans="1:16" ht="21.75" customHeight="1">
      <c r="A100" s="184"/>
      <c r="B100" s="187"/>
      <c r="C100" s="190"/>
      <c r="D100" s="193"/>
      <c r="E100" s="190"/>
      <c r="F100" s="37" t="s">
        <v>16</v>
      </c>
      <c r="G100" s="38">
        <f>H100+I100+J100+K100+M100</f>
        <v>402638158.6500001</v>
      </c>
      <c r="H100" s="38">
        <f t="shared" ref="H100:M101" si="30">H104+H120+H108+H112+H116+H124</f>
        <v>65858552</v>
      </c>
      <c r="I100" s="38">
        <f t="shared" si="30"/>
        <v>77369155.290000007</v>
      </c>
      <c r="J100" s="38">
        <f t="shared" si="30"/>
        <v>80340645.859999999</v>
      </c>
      <c r="K100" s="38">
        <f t="shared" si="30"/>
        <v>86784986.770000011</v>
      </c>
      <c r="L100" s="38">
        <f t="shared" si="30"/>
        <v>89851344.200000003</v>
      </c>
      <c r="M100" s="38">
        <f t="shared" si="30"/>
        <v>92284818.730000004</v>
      </c>
      <c r="N100" s="153"/>
    </row>
    <row r="101" spans="1:16" ht="21.75" customHeight="1">
      <c r="A101" s="185"/>
      <c r="B101" s="188"/>
      <c r="C101" s="191"/>
      <c r="D101" s="194"/>
      <c r="E101" s="191"/>
      <c r="F101" s="37" t="s">
        <v>17</v>
      </c>
      <c r="G101" s="38">
        <f>H101+I101+J101+K101+M101</f>
        <v>0</v>
      </c>
      <c r="H101" s="38">
        <f t="shared" si="30"/>
        <v>0</v>
      </c>
      <c r="I101" s="38">
        <f t="shared" si="30"/>
        <v>0</v>
      </c>
      <c r="J101" s="38">
        <f t="shared" si="30"/>
        <v>0</v>
      </c>
      <c r="K101" s="38">
        <f t="shared" si="30"/>
        <v>0</v>
      </c>
      <c r="L101" s="38">
        <f t="shared" si="30"/>
        <v>0</v>
      </c>
      <c r="M101" s="38">
        <f t="shared" si="30"/>
        <v>0</v>
      </c>
      <c r="N101" s="153"/>
    </row>
    <row r="102" spans="1:16" ht="21.75" customHeight="1">
      <c r="A102" s="108" t="s">
        <v>18</v>
      </c>
      <c r="B102" s="111" t="s">
        <v>52</v>
      </c>
      <c r="C102" s="114" t="s">
        <v>11</v>
      </c>
      <c r="D102" s="117" t="s">
        <v>42</v>
      </c>
      <c r="E102" s="114" t="s">
        <v>153</v>
      </c>
      <c r="F102" s="12" t="s">
        <v>14</v>
      </c>
      <c r="G102" s="22">
        <f t="shared" ref="G102:M102" si="31">G103+G104+G105</f>
        <v>425095130.77458435</v>
      </c>
      <c r="H102" s="22">
        <f t="shared" si="31"/>
        <v>75848880.460000008</v>
      </c>
      <c r="I102" s="22">
        <f t="shared" si="31"/>
        <v>78759959.739999995</v>
      </c>
      <c r="J102" s="48">
        <f t="shared" si="31"/>
        <v>81872994.930000007</v>
      </c>
      <c r="K102" s="22">
        <f t="shared" si="31"/>
        <v>92767613.449999988</v>
      </c>
      <c r="L102" s="22">
        <f>L103+L104+L105</f>
        <v>94111750.19458437</v>
      </c>
      <c r="M102" s="22">
        <f t="shared" si="31"/>
        <v>95845682.19458437</v>
      </c>
      <c r="N102" s="153"/>
    </row>
    <row r="103" spans="1:16" ht="21.75" customHeight="1">
      <c r="A103" s="109"/>
      <c r="B103" s="112"/>
      <c r="C103" s="115"/>
      <c r="D103" s="118"/>
      <c r="E103" s="115"/>
      <c r="F103" s="12" t="s">
        <v>133</v>
      </c>
      <c r="G103" s="22">
        <f>H103+I103+J103+K103+M103</f>
        <v>92350537.420000002</v>
      </c>
      <c r="H103" s="22">
        <v>17880557.460000001</v>
      </c>
      <c r="I103" s="22">
        <f>15484283.05-117000+1049417.39</f>
        <v>16416700.440000001</v>
      </c>
      <c r="J103" s="48">
        <f>17127247+366899</f>
        <v>17494146</v>
      </c>
      <c r="K103" s="22">
        <f>'[1]Бюджет 2023-2025 МБ, ОБ, ФБ'!$J$52</f>
        <v>21029566.759999998</v>
      </c>
      <c r="L103" s="22">
        <v>19529566.760000002</v>
      </c>
      <c r="M103" s="22">
        <v>19529566.760000002</v>
      </c>
      <c r="N103" s="153"/>
      <c r="O103" s="10"/>
      <c r="P103" s="7"/>
    </row>
    <row r="104" spans="1:16" ht="21.75" customHeight="1">
      <c r="A104" s="109"/>
      <c r="B104" s="112"/>
      <c r="C104" s="115"/>
      <c r="D104" s="118"/>
      <c r="E104" s="115"/>
      <c r="F104" s="12" t="s">
        <v>16</v>
      </c>
      <c r="G104" s="22">
        <f>H104+I104+J104+K104+M104</f>
        <v>332744593.35458434</v>
      </c>
      <c r="H104" s="22">
        <f>57968323</f>
        <v>57968323</v>
      </c>
      <c r="I104" s="22">
        <f>62343259.3</f>
        <v>62343259.299999997</v>
      </c>
      <c r="J104" s="48">
        <f>64378848.93</f>
        <v>64378848.93</v>
      </c>
      <c r="K104" s="22">
        <f>'[1]Бюджет 2023-2025 МБ, ОБ, ФБ'!$J$50</f>
        <v>71738046.689999998</v>
      </c>
      <c r="L104" s="22">
        <f>'[1]Бюджет 2023-2025 МБ, ОБ, ФБ'!$Q$50</f>
        <v>74582183.434584364</v>
      </c>
      <c r="M104" s="22">
        <f>'[1]Бюджет 2023-2025 МБ, ОБ, ФБ'!$R$50</f>
        <v>76316115.434584364</v>
      </c>
      <c r="N104" s="153"/>
    </row>
    <row r="105" spans="1:16" ht="21.75" customHeight="1">
      <c r="A105" s="110"/>
      <c r="B105" s="113"/>
      <c r="C105" s="115"/>
      <c r="D105" s="119"/>
      <c r="E105" s="116"/>
      <c r="F105" s="12" t="s">
        <v>17</v>
      </c>
      <c r="G105" s="22">
        <f>H105+I105+J105+K105+M105</f>
        <v>0</v>
      </c>
      <c r="H105" s="22">
        <v>0</v>
      </c>
      <c r="I105" s="22">
        <v>0</v>
      </c>
      <c r="J105" s="48">
        <v>0</v>
      </c>
      <c r="K105" s="22">
        <v>0</v>
      </c>
      <c r="L105" s="22">
        <v>0</v>
      </c>
      <c r="M105" s="22">
        <v>0</v>
      </c>
      <c r="N105" s="153"/>
    </row>
    <row r="106" spans="1:16" ht="21.75" customHeight="1" outlineLevel="1">
      <c r="A106" s="108" t="s">
        <v>25</v>
      </c>
      <c r="B106" s="111" t="s">
        <v>109</v>
      </c>
      <c r="C106" s="114" t="s">
        <v>11</v>
      </c>
      <c r="D106" s="117" t="s">
        <v>42</v>
      </c>
      <c r="E106" s="114" t="s">
        <v>153</v>
      </c>
      <c r="F106" s="12" t="s">
        <v>14</v>
      </c>
      <c r="G106" s="22">
        <f t="shared" ref="G106:M106" si="32">G107+G108+G109</f>
        <v>0</v>
      </c>
      <c r="H106" s="22">
        <f t="shared" si="32"/>
        <v>0</v>
      </c>
      <c r="I106" s="22">
        <f t="shared" si="32"/>
        <v>0</v>
      </c>
      <c r="J106" s="22">
        <f t="shared" si="32"/>
        <v>0</v>
      </c>
      <c r="K106" s="22">
        <f t="shared" si="32"/>
        <v>0</v>
      </c>
      <c r="L106" s="22">
        <f t="shared" si="32"/>
        <v>0</v>
      </c>
      <c r="M106" s="22">
        <f t="shared" si="32"/>
        <v>0</v>
      </c>
      <c r="N106" s="153"/>
    </row>
    <row r="107" spans="1:16" ht="21.75" customHeight="1" outlineLevel="1">
      <c r="A107" s="109"/>
      <c r="B107" s="112"/>
      <c r="C107" s="115"/>
      <c r="D107" s="118"/>
      <c r="E107" s="115"/>
      <c r="F107" s="12" t="s">
        <v>15</v>
      </c>
      <c r="G107" s="22">
        <f>H107+I107+J107+K107+M107</f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153"/>
    </row>
    <row r="108" spans="1:16" ht="21.75" customHeight="1" outlineLevel="1">
      <c r="A108" s="109"/>
      <c r="B108" s="112"/>
      <c r="C108" s="115"/>
      <c r="D108" s="118"/>
      <c r="E108" s="115"/>
      <c r="F108" s="12" t="s">
        <v>16</v>
      </c>
      <c r="G108" s="22">
        <f>H108+I108+J108+K108+M108</f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153"/>
    </row>
    <row r="109" spans="1:16" ht="21.75" customHeight="1" outlineLevel="1">
      <c r="A109" s="110"/>
      <c r="B109" s="113"/>
      <c r="C109" s="115"/>
      <c r="D109" s="119"/>
      <c r="E109" s="116"/>
      <c r="F109" s="12" t="s">
        <v>17</v>
      </c>
      <c r="G109" s="22">
        <f>H109+I109+J109+K109+M109</f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153"/>
    </row>
    <row r="110" spans="1:16" ht="21.75" customHeight="1" outlineLevel="1">
      <c r="A110" s="108" t="s">
        <v>44</v>
      </c>
      <c r="B110" s="111" t="s">
        <v>110</v>
      </c>
      <c r="C110" s="114" t="s">
        <v>11</v>
      </c>
      <c r="D110" s="117" t="s">
        <v>42</v>
      </c>
      <c r="E110" s="114" t="s">
        <v>153</v>
      </c>
      <c r="F110" s="12" t="s">
        <v>14</v>
      </c>
      <c r="G110" s="22">
        <f t="shared" ref="G110:M110" si="33">G111+G112+G113</f>
        <v>0</v>
      </c>
      <c r="H110" s="22">
        <f t="shared" si="33"/>
        <v>0</v>
      </c>
      <c r="I110" s="22">
        <f t="shared" si="33"/>
        <v>0</v>
      </c>
      <c r="J110" s="22">
        <f t="shared" si="33"/>
        <v>0</v>
      </c>
      <c r="K110" s="22">
        <f t="shared" si="33"/>
        <v>0</v>
      </c>
      <c r="L110" s="22">
        <f t="shared" si="33"/>
        <v>0</v>
      </c>
      <c r="M110" s="22">
        <f t="shared" si="33"/>
        <v>0</v>
      </c>
      <c r="N110" s="153"/>
    </row>
    <row r="111" spans="1:16" ht="21.75" customHeight="1" outlineLevel="1">
      <c r="A111" s="109"/>
      <c r="B111" s="112"/>
      <c r="C111" s="115"/>
      <c r="D111" s="118"/>
      <c r="E111" s="115"/>
      <c r="F111" s="12" t="s">
        <v>15</v>
      </c>
      <c r="G111" s="23">
        <f>H111+I111+J111+K111+M111</f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153"/>
    </row>
    <row r="112" spans="1:16" ht="21.75" customHeight="1" outlineLevel="1">
      <c r="A112" s="109"/>
      <c r="B112" s="112"/>
      <c r="C112" s="115"/>
      <c r="D112" s="118"/>
      <c r="E112" s="115"/>
      <c r="F112" s="12" t="s">
        <v>16</v>
      </c>
      <c r="G112" s="23">
        <f>H112+I112+J112+K112+M112</f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153"/>
    </row>
    <row r="113" spans="1:14" ht="21.75" customHeight="1" outlineLevel="1">
      <c r="A113" s="110"/>
      <c r="B113" s="113"/>
      <c r="C113" s="115"/>
      <c r="D113" s="119"/>
      <c r="E113" s="116"/>
      <c r="F113" s="12" t="s">
        <v>17</v>
      </c>
      <c r="G113" s="23">
        <f>H113+I113+J113+K113+M113</f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153"/>
    </row>
    <row r="114" spans="1:14" ht="21.75" customHeight="1">
      <c r="A114" s="108" t="s">
        <v>112</v>
      </c>
      <c r="B114" s="195" t="s">
        <v>154</v>
      </c>
      <c r="C114" s="114" t="s">
        <v>11</v>
      </c>
      <c r="D114" s="117" t="s">
        <v>55</v>
      </c>
      <c r="E114" s="114" t="s">
        <v>153</v>
      </c>
      <c r="F114" s="12" t="s">
        <v>14</v>
      </c>
      <c r="G114" s="22">
        <f t="shared" ref="G114:M114" si="34">G115+G116+G117</f>
        <v>62842050.675415635</v>
      </c>
      <c r="H114" s="22">
        <f t="shared" si="34"/>
        <v>4920882.5</v>
      </c>
      <c r="I114" s="22">
        <f t="shared" si="34"/>
        <v>13636058.439999999</v>
      </c>
      <c r="J114" s="48">
        <f t="shared" si="34"/>
        <v>14165280</v>
      </c>
      <c r="K114" s="22">
        <f t="shared" si="34"/>
        <v>14957349.74</v>
      </c>
      <c r="L114" s="22">
        <f t="shared" si="34"/>
        <v>15054579.995415632</v>
      </c>
      <c r="M114" s="22">
        <f t="shared" si="34"/>
        <v>15162479.995415632</v>
      </c>
      <c r="N114" s="153"/>
    </row>
    <row r="115" spans="1:14" ht="21.75" customHeight="1">
      <c r="A115" s="109"/>
      <c r="B115" s="196"/>
      <c r="C115" s="115"/>
      <c r="D115" s="118"/>
      <c r="E115" s="115"/>
      <c r="F115" s="12" t="s">
        <v>15</v>
      </c>
      <c r="G115" s="22">
        <f>H115+I115+J115+K115+M115</f>
        <v>14266347.029999999</v>
      </c>
      <c r="H115" s="22">
        <f>845990.48+96482.96-233.44+4193.5</f>
        <v>946433.5</v>
      </c>
      <c r="I115" s="22">
        <f>2724868.3-76260.5*3-76260.06</f>
        <v>2419826.7399999998</v>
      </c>
      <c r="J115" s="48">
        <v>3245713.93</v>
      </c>
      <c r="K115" s="22">
        <f>'[1]Бюджет 2023-2025 МБ, ОБ, ФБ'!$J$54+543403</f>
        <v>3823460.4299999997</v>
      </c>
      <c r="L115" s="22">
        <f>3280057.43+546935</f>
        <v>3826992.43</v>
      </c>
      <c r="M115" s="22">
        <f>3280057.43+550855</f>
        <v>3830912.43</v>
      </c>
      <c r="N115" s="153"/>
    </row>
    <row r="116" spans="1:14" ht="21.75" customHeight="1">
      <c r="A116" s="109"/>
      <c r="B116" s="196"/>
      <c r="C116" s="115"/>
      <c r="D116" s="118"/>
      <c r="E116" s="115"/>
      <c r="F116" s="12" t="s">
        <v>16</v>
      </c>
      <c r="G116" s="22">
        <f>H116+I116+J116+K116+M116</f>
        <v>48575703.645415634</v>
      </c>
      <c r="H116" s="22">
        <f>3768960+205489</f>
        <v>3974449</v>
      </c>
      <c r="I116" s="22">
        <v>11216231.699999999</v>
      </c>
      <c r="J116" s="48">
        <v>10919566.07</v>
      </c>
      <c r="K116" s="22">
        <f>'[1]Бюджет 2023-2025 МБ, ОБ, ФБ'!$J$51</f>
        <v>11133889.310000001</v>
      </c>
      <c r="L116" s="22">
        <f>'[1]Бюджет 2023-2025 МБ, ОБ, ФБ'!$Q$51</f>
        <v>11227587.565415632</v>
      </c>
      <c r="M116" s="22">
        <f>'[1]Бюджет 2023-2025 МБ, ОБ, ФБ'!$R$51</f>
        <v>11331567.565415632</v>
      </c>
      <c r="N116" s="153"/>
    </row>
    <row r="117" spans="1:14" ht="21.75" customHeight="1">
      <c r="A117" s="110"/>
      <c r="B117" s="197"/>
      <c r="C117" s="115"/>
      <c r="D117" s="119"/>
      <c r="E117" s="116"/>
      <c r="F117" s="12" t="s">
        <v>17</v>
      </c>
      <c r="G117" s="22">
        <f>H117+I117+J117+K117+M117</f>
        <v>0</v>
      </c>
      <c r="H117" s="22">
        <v>0</v>
      </c>
      <c r="I117" s="22">
        <v>0</v>
      </c>
      <c r="J117" s="48">
        <v>0</v>
      </c>
      <c r="K117" s="22">
        <v>0</v>
      </c>
      <c r="L117" s="22">
        <v>0</v>
      </c>
      <c r="M117" s="22">
        <v>0</v>
      </c>
      <c r="N117" s="153"/>
    </row>
    <row r="118" spans="1:14" ht="21.75" customHeight="1">
      <c r="A118" s="108" t="s">
        <v>128</v>
      </c>
      <c r="B118" s="195" t="s">
        <v>22</v>
      </c>
      <c r="C118" s="114" t="s">
        <v>11</v>
      </c>
      <c r="D118" s="117" t="s">
        <v>42</v>
      </c>
      <c r="E118" s="114" t="s">
        <v>153</v>
      </c>
      <c r="F118" s="12" t="s">
        <v>14</v>
      </c>
      <c r="G118" s="22">
        <f t="shared" ref="G118:M118" si="35">G119+G120+G121</f>
        <v>348801.03</v>
      </c>
      <c r="H118" s="22">
        <f t="shared" si="35"/>
        <v>48537.82</v>
      </c>
      <c r="I118" s="22">
        <f t="shared" si="35"/>
        <v>103165.31</v>
      </c>
      <c r="J118" s="48">
        <f t="shared" si="35"/>
        <v>81257.899999999994</v>
      </c>
      <c r="K118" s="22">
        <f t="shared" si="35"/>
        <v>57920</v>
      </c>
      <c r="L118" s="22">
        <f>L119+L120+L121</f>
        <v>57920</v>
      </c>
      <c r="M118" s="22">
        <f t="shared" si="35"/>
        <v>57920</v>
      </c>
      <c r="N118" s="153"/>
    </row>
    <row r="119" spans="1:14" ht="21.75" customHeight="1">
      <c r="A119" s="109"/>
      <c r="B119" s="196"/>
      <c r="C119" s="115"/>
      <c r="D119" s="118"/>
      <c r="E119" s="115"/>
      <c r="F119" s="12" t="s">
        <v>133</v>
      </c>
      <c r="G119" s="22">
        <f>H119+I119+J119+K119+M119</f>
        <v>348801.03</v>
      </c>
      <c r="H119" s="22">
        <f>48538-0.18</f>
        <v>48537.82</v>
      </c>
      <c r="I119" s="22">
        <f>94165.31+9000</f>
        <v>103165.31</v>
      </c>
      <c r="J119" s="48">
        <v>81257.899999999994</v>
      </c>
      <c r="K119" s="22">
        <f>'[1]Бюджет 2023-2025 МБ, ОБ, ФБ'!$J$53</f>
        <v>57920</v>
      </c>
      <c r="L119" s="22">
        <v>57920</v>
      </c>
      <c r="M119" s="22">
        <v>57920</v>
      </c>
      <c r="N119" s="153"/>
    </row>
    <row r="120" spans="1:14" ht="21.75" customHeight="1">
      <c r="A120" s="109"/>
      <c r="B120" s="196"/>
      <c r="C120" s="115"/>
      <c r="D120" s="118"/>
      <c r="E120" s="115"/>
      <c r="F120" s="12" t="s">
        <v>16</v>
      </c>
      <c r="G120" s="22">
        <f>H120+I120+J120+K120+M120</f>
        <v>0</v>
      </c>
      <c r="H120" s="22">
        <v>0</v>
      </c>
      <c r="I120" s="22">
        <v>0</v>
      </c>
      <c r="J120" s="48">
        <v>0</v>
      </c>
      <c r="K120" s="22">
        <v>0</v>
      </c>
      <c r="L120" s="22">
        <v>0</v>
      </c>
      <c r="M120" s="22">
        <v>0</v>
      </c>
      <c r="N120" s="153"/>
    </row>
    <row r="121" spans="1:14" ht="21.75" customHeight="1">
      <c r="A121" s="110"/>
      <c r="B121" s="197"/>
      <c r="C121" s="115"/>
      <c r="D121" s="119"/>
      <c r="E121" s="116"/>
      <c r="F121" s="12" t="s">
        <v>17</v>
      </c>
      <c r="G121" s="22">
        <f>H121+I121+J121+K121+M121</f>
        <v>0</v>
      </c>
      <c r="H121" s="22">
        <v>0</v>
      </c>
      <c r="I121" s="22">
        <v>0</v>
      </c>
      <c r="J121" s="48">
        <v>0</v>
      </c>
      <c r="K121" s="22">
        <v>0</v>
      </c>
      <c r="L121" s="22">
        <v>0</v>
      </c>
      <c r="M121" s="22">
        <v>0</v>
      </c>
      <c r="N121" s="153"/>
    </row>
    <row r="122" spans="1:14" ht="21.75" customHeight="1">
      <c r="A122" s="108" t="s">
        <v>144</v>
      </c>
      <c r="B122" s="195" t="s">
        <v>23</v>
      </c>
      <c r="C122" s="114" t="s">
        <v>11</v>
      </c>
      <c r="D122" s="117" t="s">
        <v>147</v>
      </c>
      <c r="E122" s="114" t="s">
        <v>153</v>
      </c>
      <c r="F122" s="12" t="s">
        <v>14</v>
      </c>
      <c r="G122" s="22">
        <f t="shared" ref="G122:M122" si="36">G123+G124+G125</f>
        <v>21317861.650000006</v>
      </c>
      <c r="H122" s="22">
        <f t="shared" si="36"/>
        <v>3915780</v>
      </c>
      <c r="I122" s="22">
        <f t="shared" si="36"/>
        <v>3809664.29</v>
      </c>
      <c r="J122" s="48">
        <f t="shared" si="36"/>
        <v>5042230.8599999994</v>
      </c>
      <c r="K122" s="22">
        <f t="shared" si="36"/>
        <v>3913050.7700000033</v>
      </c>
      <c r="L122" s="22">
        <f>L123+L124+L125</f>
        <v>4041573.200000003</v>
      </c>
      <c r="M122" s="22">
        <f t="shared" si="36"/>
        <v>4637135.7300000042</v>
      </c>
      <c r="N122" s="153"/>
    </row>
    <row r="123" spans="1:14" ht="21.75" customHeight="1">
      <c r="A123" s="109"/>
      <c r="B123" s="196"/>
      <c r="C123" s="115"/>
      <c r="D123" s="118"/>
      <c r="E123" s="115"/>
      <c r="F123" s="12" t="s">
        <v>133</v>
      </c>
      <c r="G123" s="22">
        <f>H123+I123+J123+K123+M123</f>
        <v>0</v>
      </c>
      <c r="H123" s="22">
        <v>0</v>
      </c>
      <c r="I123" s="22">
        <v>0</v>
      </c>
      <c r="J123" s="48">
        <v>0</v>
      </c>
      <c r="K123" s="22">
        <v>0</v>
      </c>
      <c r="L123" s="22">
        <v>0</v>
      </c>
      <c r="M123" s="22">
        <v>0</v>
      </c>
      <c r="N123" s="153"/>
    </row>
    <row r="124" spans="1:14" ht="21.75" customHeight="1">
      <c r="A124" s="109"/>
      <c r="B124" s="196"/>
      <c r="C124" s="115"/>
      <c r="D124" s="118"/>
      <c r="E124" s="115"/>
      <c r="F124" s="12" t="s">
        <v>16</v>
      </c>
      <c r="G124" s="22">
        <f>H124+I124+J124+K124+M124</f>
        <v>21317861.650000006</v>
      </c>
      <c r="H124" s="22">
        <f>1513280+2402500</f>
        <v>3915780</v>
      </c>
      <c r="I124" s="22">
        <f>1178210+2631454.29</f>
        <v>3809664.29</v>
      </c>
      <c r="J124" s="48">
        <f>'[2]остатки средств в ФК_8'!$R$74+'[2]остатки средств в ФК_8'!$R$16</f>
        <v>5042230.8599999994</v>
      </c>
      <c r="K124" s="22">
        <f>'[1]Бюджет 2023-2025 МБ, ОБ, ФБ'!$J$49+'[1]Бюджет 2023-2025 МБ, ОБ, ФБ'!$J$86</f>
        <v>3913050.7700000033</v>
      </c>
      <c r="L124" s="22">
        <f>'[1]Бюджет 2023-2025 МБ, ОБ, ФБ'!$Q$86+'[1]Бюджет 2023-2025 МБ, ОБ, ФБ'!$Q$49</f>
        <v>4041573.200000003</v>
      </c>
      <c r="M124" s="22">
        <f>'[1]Бюджет 2023-2025 МБ, ОБ, ФБ'!$R$49+'[1]Бюджет 2023-2025 МБ, ОБ, ФБ'!$R$86</f>
        <v>4637135.7300000042</v>
      </c>
      <c r="N124" s="153"/>
    </row>
    <row r="125" spans="1:14" ht="21.75" customHeight="1">
      <c r="A125" s="110"/>
      <c r="B125" s="197"/>
      <c r="C125" s="115"/>
      <c r="D125" s="119"/>
      <c r="E125" s="116"/>
      <c r="F125" s="12" t="s">
        <v>17</v>
      </c>
      <c r="G125" s="22">
        <f>H125+I125+J125+K125+M125</f>
        <v>0</v>
      </c>
      <c r="H125" s="22">
        <v>0</v>
      </c>
      <c r="I125" s="22">
        <v>0</v>
      </c>
      <c r="J125" s="48">
        <v>0</v>
      </c>
      <c r="K125" s="22">
        <v>0</v>
      </c>
      <c r="L125" s="22">
        <v>0</v>
      </c>
      <c r="M125" s="22">
        <v>0</v>
      </c>
      <c r="N125" s="153"/>
    </row>
    <row r="126" spans="1:14" ht="21.75" customHeight="1">
      <c r="A126" s="183"/>
      <c r="B126" s="186" t="s">
        <v>57</v>
      </c>
      <c r="C126" s="189" t="s">
        <v>11</v>
      </c>
      <c r="D126" s="192" t="s">
        <v>55</v>
      </c>
      <c r="E126" s="189" t="s">
        <v>153</v>
      </c>
      <c r="F126" s="37" t="s">
        <v>14</v>
      </c>
      <c r="G126" s="38">
        <f t="shared" ref="G126:M126" si="37">G127+G128+G129</f>
        <v>103584915.51731001</v>
      </c>
      <c r="H126" s="38">
        <f>H127+H128+H129</f>
        <v>11501858.800000001</v>
      </c>
      <c r="I126" s="38">
        <f>I127+I128+I129</f>
        <v>20053625.789999999</v>
      </c>
      <c r="J126" s="38">
        <f>J127+J128+J129</f>
        <v>23607892.009999998</v>
      </c>
      <c r="K126" s="38">
        <f t="shared" si="37"/>
        <v>26148010.909620002</v>
      </c>
      <c r="L126" s="38">
        <f>L127+L128+L129</f>
        <v>22964025.711240001</v>
      </c>
      <c r="M126" s="38">
        <f t="shared" si="37"/>
        <v>22273528.007690001</v>
      </c>
      <c r="N126" s="106"/>
    </row>
    <row r="127" spans="1:14" ht="21.75" customHeight="1">
      <c r="A127" s="184"/>
      <c r="B127" s="187"/>
      <c r="C127" s="190"/>
      <c r="D127" s="193"/>
      <c r="E127" s="190"/>
      <c r="F127" s="37" t="s">
        <v>133</v>
      </c>
      <c r="G127" s="38">
        <f>H127+I127+J127+K127+M127</f>
        <v>20818843.08492</v>
      </c>
      <c r="H127" s="38">
        <f t="shared" ref="H127:I129" si="38">+H131+H135+H139+H143+H147+H151</f>
        <v>1291281.29</v>
      </c>
      <c r="I127" s="38">
        <f t="shared" si="38"/>
        <v>2153726.31</v>
      </c>
      <c r="J127" s="38">
        <f>+J131+J135+J139+J143+J147+J151+J155</f>
        <v>5780842.8499999996</v>
      </c>
      <c r="K127" s="38">
        <f>+K131+K135+K139+K143+K147+K151+K155</f>
        <v>7104224.1879099999</v>
      </c>
      <c r="L127" s="38">
        <f>+L131+L135+L139+L143+L147+L151+L155</f>
        <v>4489443.82</v>
      </c>
      <c r="M127" s="38">
        <f>+M131+M135+M139+M143+M147+M151+M155</f>
        <v>4488768.4470100002</v>
      </c>
      <c r="N127" s="107"/>
    </row>
    <row r="128" spans="1:14" ht="21.75" customHeight="1">
      <c r="A128" s="184"/>
      <c r="B128" s="187"/>
      <c r="C128" s="190"/>
      <c r="D128" s="193"/>
      <c r="E128" s="190"/>
      <c r="F128" s="37" t="s">
        <v>16</v>
      </c>
      <c r="G128" s="38">
        <f>H128+I128+J128+K128+M128</f>
        <v>15925219.28048791</v>
      </c>
      <c r="H128" s="38">
        <f t="shared" si="38"/>
        <v>3811477.51</v>
      </c>
      <c r="I128" s="38">
        <f t="shared" si="38"/>
        <v>3351399.4800000004</v>
      </c>
      <c r="J128" s="38">
        <f t="shared" ref="J128:M129" si="39">+J132+J136+J140+J144+J148+J152+J156</f>
        <v>2980398.27</v>
      </c>
      <c r="K128" s="38">
        <f t="shared" si="39"/>
        <v>2961424.6798079102</v>
      </c>
      <c r="L128" s="38">
        <f t="shared" si="39"/>
        <v>2903177.7912400002</v>
      </c>
      <c r="M128" s="38">
        <f t="shared" si="39"/>
        <v>2820519.3406800004</v>
      </c>
      <c r="N128" s="107"/>
    </row>
    <row r="129" spans="1:15" ht="21.75" customHeight="1">
      <c r="A129" s="185"/>
      <c r="B129" s="188"/>
      <c r="C129" s="191"/>
      <c r="D129" s="194"/>
      <c r="E129" s="191"/>
      <c r="F129" s="37" t="s">
        <v>17</v>
      </c>
      <c r="G129" s="38">
        <f>H129+I129+J129+K129+M129</f>
        <v>66840853.151902094</v>
      </c>
      <c r="H129" s="38">
        <f t="shared" si="38"/>
        <v>6399100</v>
      </c>
      <c r="I129" s="38">
        <f t="shared" si="38"/>
        <v>14548499.999999998</v>
      </c>
      <c r="J129" s="38">
        <f t="shared" si="39"/>
        <v>14846650.890000001</v>
      </c>
      <c r="K129" s="38">
        <f t="shared" si="39"/>
        <v>16082362.041902091</v>
      </c>
      <c r="L129" s="38">
        <f t="shared" si="39"/>
        <v>15571404.1</v>
      </c>
      <c r="M129" s="38">
        <f t="shared" si="39"/>
        <v>14964240.220000001</v>
      </c>
      <c r="N129" s="107"/>
    </row>
    <row r="130" spans="1:15" ht="21.75" customHeight="1">
      <c r="A130" s="108" t="s">
        <v>78</v>
      </c>
      <c r="B130" s="111" t="s">
        <v>64</v>
      </c>
      <c r="C130" s="114" t="s">
        <v>11</v>
      </c>
      <c r="D130" s="120" t="s">
        <v>65</v>
      </c>
      <c r="E130" s="114" t="s">
        <v>153</v>
      </c>
      <c r="F130" s="12" t="s">
        <v>14</v>
      </c>
      <c r="G130" s="22">
        <f t="shared" ref="G130:M130" si="40">G131+G132+G133</f>
        <v>3240284.2802999998</v>
      </c>
      <c r="H130" s="22">
        <f t="shared" si="40"/>
        <v>547300</v>
      </c>
      <c r="I130" s="22">
        <f t="shared" si="40"/>
        <v>708294.28</v>
      </c>
      <c r="J130" s="22">
        <f t="shared" si="40"/>
        <v>721420</v>
      </c>
      <c r="K130" s="22">
        <f t="shared" si="40"/>
        <v>639899.99962000002</v>
      </c>
      <c r="L130" s="22">
        <f>L131+L132+L133</f>
        <v>638490.00124000001</v>
      </c>
      <c r="M130" s="22">
        <f t="shared" si="40"/>
        <v>623370.00068000006</v>
      </c>
      <c r="N130" s="106" t="s">
        <v>66</v>
      </c>
    </row>
    <row r="131" spans="1:15" ht="21.75" customHeight="1">
      <c r="A131" s="109"/>
      <c r="B131" s="112"/>
      <c r="C131" s="115"/>
      <c r="D131" s="121"/>
      <c r="E131" s="115"/>
      <c r="F131" s="12" t="s">
        <v>133</v>
      </c>
      <c r="G131" s="22">
        <f>H131+I131+J131+K131+M131</f>
        <v>2072394.28</v>
      </c>
      <c r="H131" s="22">
        <v>408000</v>
      </c>
      <c r="I131" s="22">
        <f>433440+44154.28</f>
        <v>477594.28</v>
      </c>
      <c r="J131" s="22">
        <f>526320-61920</f>
        <v>464400</v>
      </c>
      <c r="K131" s="22">
        <f>'[1]Бюджет 2023-2025 местн'!$J$76</f>
        <v>361200</v>
      </c>
      <c r="L131" s="22">
        <v>361200</v>
      </c>
      <c r="M131" s="22">
        <v>361200</v>
      </c>
      <c r="N131" s="107"/>
    </row>
    <row r="132" spans="1:15" ht="21.75" customHeight="1">
      <c r="A132" s="109"/>
      <c r="B132" s="112"/>
      <c r="C132" s="115"/>
      <c r="D132" s="121"/>
      <c r="E132" s="115"/>
      <c r="F132" s="12" t="s">
        <v>16</v>
      </c>
      <c r="G132" s="22">
        <f>H132+I132+J132+K132+M132</f>
        <v>1167890.0003</v>
      </c>
      <c r="H132" s="22">
        <v>139300</v>
      </c>
      <c r="I132" s="22">
        <v>230700</v>
      </c>
      <c r="J132" s="22">
        <v>257020</v>
      </c>
      <c r="K132" s="22">
        <f>'[1]Бюджет 2023-2025 МБ, ОБ, ФБ'!$J$76-'[1]Бюджет 2023-2025 местн'!$J$76</f>
        <v>278699.99962000002</v>
      </c>
      <c r="L132" s="22">
        <f>'[1]Бюджет 2023-2025 МБ, ОБ, ФБ'!$Q$76-'[1]Бюджет 2023-2025 местн'!$Q$76</f>
        <v>277290.00124000001</v>
      </c>
      <c r="M132" s="22">
        <f>'[1]Бюджет 2023-2025 МБ, ОБ, ФБ'!$R$76-'[1]Бюджет 2023-2025 местн'!$R$76</f>
        <v>262170.00068000006</v>
      </c>
      <c r="N132" s="107"/>
    </row>
    <row r="133" spans="1:15" ht="21.75" customHeight="1">
      <c r="A133" s="110"/>
      <c r="B133" s="113"/>
      <c r="C133" s="115"/>
      <c r="D133" s="122"/>
      <c r="E133" s="116"/>
      <c r="F133" s="12" t="s">
        <v>17</v>
      </c>
      <c r="G133" s="22">
        <f>H133+I133+J133+K133+M133</f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167"/>
    </row>
    <row r="134" spans="1:15" ht="21.75" customHeight="1">
      <c r="A134" s="108" t="s">
        <v>81</v>
      </c>
      <c r="B134" s="111" t="s">
        <v>67</v>
      </c>
      <c r="C134" s="114" t="s">
        <v>11</v>
      </c>
      <c r="D134" s="117" t="s">
        <v>147</v>
      </c>
      <c r="E134" s="114" t="s">
        <v>153</v>
      </c>
      <c r="F134" s="12" t="s">
        <v>14</v>
      </c>
      <c r="G134" s="22">
        <f t="shared" ref="G134:M134" si="41">G135+G136+G137</f>
        <v>7492612.9000000004</v>
      </c>
      <c r="H134" s="22">
        <f t="shared" si="41"/>
        <v>104312.9</v>
      </c>
      <c r="I134" s="22">
        <f t="shared" si="41"/>
        <v>1803468</v>
      </c>
      <c r="J134" s="22">
        <f t="shared" si="41"/>
        <v>1803468</v>
      </c>
      <c r="K134" s="22">
        <f t="shared" si="41"/>
        <v>1993788</v>
      </c>
      <c r="L134" s="22">
        <f>L135+L136+L137</f>
        <v>1787576</v>
      </c>
      <c r="M134" s="22">
        <f t="shared" si="41"/>
        <v>1787576</v>
      </c>
      <c r="N134" s="106" t="s">
        <v>68</v>
      </c>
    </row>
    <row r="135" spans="1:15" ht="21.75" customHeight="1">
      <c r="A135" s="109"/>
      <c r="B135" s="112"/>
      <c r="C135" s="115"/>
      <c r="D135" s="118"/>
      <c r="E135" s="115"/>
      <c r="F135" s="12" t="s">
        <v>133</v>
      </c>
      <c r="G135" s="22">
        <f>H135+I135+J135+K135+M135</f>
        <v>3901568.9</v>
      </c>
      <c r="H135" s="22">
        <v>104312.9</v>
      </c>
      <c r="I135" s="22">
        <f>500000+401734</f>
        <v>901734</v>
      </c>
      <c r="J135" s="22">
        <v>901734</v>
      </c>
      <c r="K135" s="22">
        <f>'[1]Бюджет 2023-2025 МБ, ОБ, ФБ'!$J$29+'[1]Бюджет 2023-2025 местн'!$J$31</f>
        <v>1100000</v>
      </c>
      <c r="L135" s="22">
        <v>893788</v>
      </c>
      <c r="M135" s="22">
        <v>893788</v>
      </c>
      <c r="N135" s="107"/>
      <c r="O135" s="11"/>
    </row>
    <row r="136" spans="1:15" ht="21.75" customHeight="1">
      <c r="A136" s="109"/>
      <c r="B136" s="112"/>
      <c r="C136" s="115"/>
      <c r="D136" s="118"/>
      <c r="E136" s="115"/>
      <c r="F136" s="12" t="s">
        <v>16</v>
      </c>
      <c r="G136" s="22">
        <f>H136+I136+J136+K136+M136</f>
        <v>3591044</v>
      </c>
      <c r="H136" s="22"/>
      <c r="I136" s="22">
        <v>901734</v>
      </c>
      <c r="J136" s="22">
        <v>901734</v>
      </c>
      <c r="K136" s="22">
        <f>'[1]Бюджет 2023-2025 МБ, ОБ, ФБ'!$J$30</f>
        <v>893788</v>
      </c>
      <c r="L136" s="22">
        <v>893788</v>
      </c>
      <c r="M136" s="22">
        <v>893788</v>
      </c>
      <c r="N136" s="107"/>
    </row>
    <row r="137" spans="1:15" ht="21.75" customHeight="1">
      <c r="A137" s="110"/>
      <c r="B137" s="113"/>
      <c r="C137" s="115"/>
      <c r="D137" s="119"/>
      <c r="E137" s="116"/>
      <c r="F137" s="12" t="s">
        <v>17</v>
      </c>
      <c r="G137" s="22">
        <f>H137+I137+J137+K137+M137</f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167"/>
    </row>
    <row r="138" spans="1:15" ht="21.75" customHeight="1">
      <c r="A138" s="108" t="s">
        <v>83</v>
      </c>
      <c r="B138" s="111" t="s">
        <v>69</v>
      </c>
      <c r="C138" s="114" t="s">
        <v>11</v>
      </c>
      <c r="D138" s="117" t="s">
        <v>147</v>
      </c>
      <c r="E138" s="114" t="s">
        <v>153</v>
      </c>
      <c r="F138" s="12" t="s">
        <v>14</v>
      </c>
      <c r="G138" s="22">
        <f t="shared" ref="G138:M138" si="42">G139+G140+G141</f>
        <v>4037679.9699999997</v>
      </c>
      <c r="H138" s="22">
        <f t="shared" si="42"/>
        <v>2568957</v>
      </c>
      <c r="I138" s="22">
        <f t="shared" si="42"/>
        <v>1360722.97</v>
      </c>
      <c r="J138" s="22">
        <f t="shared" si="42"/>
        <v>0</v>
      </c>
      <c r="K138" s="22">
        <f t="shared" si="42"/>
        <v>108000</v>
      </c>
      <c r="L138" s="22">
        <f>L139+L140+L141</f>
        <v>0</v>
      </c>
      <c r="M138" s="22">
        <f t="shared" si="42"/>
        <v>0</v>
      </c>
      <c r="N138" s="106" t="s">
        <v>70</v>
      </c>
    </row>
    <row r="139" spans="1:15" ht="21.75" customHeight="1">
      <c r="A139" s="109"/>
      <c r="B139" s="112"/>
      <c r="C139" s="115"/>
      <c r="D139" s="118"/>
      <c r="E139" s="115"/>
      <c r="F139" s="12" t="s">
        <v>133</v>
      </c>
      <c r="G139" s="22">
        <f>H139+I139+J139+K139+M139</f>
        <v>1636903.99</v>
      </c>
      <c r="H139" s="22">
        <v>770687.1</v>
      </c>
      <c r="I139" s="22">
        <f>670000-411783.11+500000</f>
        <v>758216.89</v>
      </c>
      <c r="J139" s="22">
        <f>257165-257165</f>
        <v>0</v>
      </c>
      <c r="K139" s="22">
        <v>108000</v>
      </c>
      <c r="L139" s="22">
        <v>0</v>
      </c>
      <c r="M139" s="22">
        <v>0</v>
      </c>
      <c r="N139" s="107"/>
      <c r="O139" s="11"/>
    </row>
    <row r="140" spans="1:15" ht="21.75" customHeight="1">
      <c r="A140" s="109"/>
      <c r="B140" s="112"/>
      <c r="C140" s="115"/>
      <c r="D140" s="118"/>
      <c r="E140" s="115"/>
      <c r="F140" s="12" t="s">
        <v>16</v>
      </c>
      <c r="G140" s="22">
        <f>H140+I140+J140+K140+M140</f>
        <v>2400775.98</v>
      </c>
      <c r="H140" s="22">
        <v>1798269.9</v>
      </c>
      <c r="I140" s="22">
        <v>602506.07999999996</v>
      </c>
      <c r="J140" s="22">
        <f>600051-600051</f>
        <v>0</v>
      </c>
      <c r="K140" s="22">
        <v>0</v>
      </c>
      <c r="L140" s="22">
        <v>0</v>
      </c>
      <c r="M140" s="22">
        <v>0</v>
      </c>
      <c r="N140" s="107"/>
    </row>
    <row r="141" spans="1:15" ht="21.75" customHeight="1">
      <c r="A141" s="110"/>
      <c r="B141" s="113"/>
      <c r="C141" s="115"/>
      <c r="D141" s="119"/>
      <c r="E141" s="116"/>
      <c r="F141" s="12" t="s">
        <v>17</v>
      </c>
      <c r="G141" s="22">
        <f>H141+I141+J141+K141+M141</f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167"/>
    </row>
    <row r="142" spans="1:15" ht="21.75" customHeight="1">
      <c r="A142" s="108" t="s">
        <v>120</v>
      </c>
      <c r="B142" s="111" t="s">
        <v>72</v>
      </c>
      <c r="C142" s="114" t="s">
        <v>11</v>
      </c>
      <c r="D142" s="117" t="s">
        <v>42</v>
      </c>
      <c r="E142" s="114" t="s">
        <v>153</v>
      </c>
      <c r="F142" s="12" t="s">
        <v>14</v>
      </c>
      <c r="G142" s="22">
        <f t="shared" ref="G142:M142" si="43">G143+G144+G145</f>
        <v>75511436.727010012</v>
      </c>
      <c r="H142" s="22">
        <f t="shared" si="43"/>
        <v>8281288.9000000004</v>
      </c>
      <c r="I142" s="22">
        <f t="shared" si="43"/>
        <v>16181140.539999999</v>
      </c>
      <c r="J142" s="22">
        <f t="shared" si="43"/>
        <v>16514372.370000001</v>
      </c>
      <c r="K142" s="22">
        <f t="shared" si="43"/>
        <v>17889187.91</v>
      </c>
      <c r="L142" s="22">
        <f>L143+L144+L145</f>
        <v>17320824.710000001</v>
      </c>
      <c r="M142" s="22">
        <f t="shared" si="43"/>
        <v>16645447.007010002</v>
      </c>
      <c r="N142" s="106" t="s">
        <v>73</v>
      </c>
    </row>
    <row r="143" spans="1:15" ht="21.75" customHeight="1">
      <c r="A143" s="109"/>
      <c r="B143" s="112"/>
      <c r="C143" s="115"/>
      <c r="D143" s="118"/>
      <c r="E143" s="115"/>
      <c r="F143" s="12" t="s">
        <v>133</v>
      </c>
      <c r="G143" s="22">
        <f>H143+I143+J143+K143+M143</f>
        <v>77079.274919999996</v>
      </c>
      <c r="H143" s="22">
        <v>8281.2900000000009</v>
      </c>
      <c r="I143" s="22">
        <v>16181.139999999996</v>
      </c>
      <c r="J143" s="48">
        <f>17660.82+421.39</f>
        <v>18082.21</v>
      </c>
      <c r="K143" s="48">
        <f>'[5]01.09.2023 по 31.12.2023'!$AB$29</f>
        <v>17889.187910000001</v>
      </c>
      <c r="L143" s="48">
        <v>17320.82</v>
      </c>
      <c r="M143" s="48">
        <f>'[5]01.09.2023 по 31.12.2023'!$AN$29</f>
        <v>16645.44701</v>
      </c>
      <c r="N143" s="107"/>
    </row>
    <row r="144" spans="1:15" ht="21.75" customHeight="1">
      <c r="A144" s="109"/>
      <c r="B144" s="112"/>
      <c r="C144" s="115"/>
      <c r="D144" s="118"/>
      <c r="E144" s="115"/>
      <c r="F144" s="12" t="s">
        <v>16</v>
      </c>
      <c r="G144" s="22">
        <f>H144+I144+J144+K144+M144</f>
        <v>8593504.30018791</v>
      </c>
      <c r="H144" s="22">
        <f>1873906.61+1</f>
        <v>1873907.61</v>
      </c>
      <c r="I144" s="22">
        <v>1616459.4000000001</v>
      </c>
      <c r="J144" s="48">
        <f>'[4]остатки средств в ФК_3'!$AH$112</f>
        <v>1649639.27</v>
      </c>
      <c r="K144" s="48">
        <f>'[5]01.09.2023 по 31.12.2023'!$AA$29</f>
        <v>1788936.6801879103</v>
      </c>
      <c r="L144" s="48">
        <v>1732099.79</v>
      </c>
      <c r="M144" s="48">
        <v>1664561.34</v>
      </c>
      <c r="N144" s="107"/>
    </row>
    <row r="145" spans="1:14" ht="21.75" customHeight="1">
      <c r="A145" s="110"/>
      <c r="B145" s="113"/>
      <c r="C145" s="115"/>
      <c r="D145" s="119"/>
      <c r="E145" s="116"/>
      <c r="F145" s="12" t="s">
        <v>17</v>
      </c>
      <c r="G145" s="22">
        <f>H145+I145+J145+K145+M145</f>
        <v>66840853.151902094</v>
      </c>
      <c r="H145" s="22">
        <v>6399100</v>
      </c>
      <c r="I145" s="22">
        <v>14548499.999999998</v>
      </c>
      <c r="J145" s="48">
        <f>'[4]остатки средств в ФК_3'!$AG$112</f>
        <v>14846650.890000001</v>
      </c>
      <c r="K145" s="48">
        <f>'[5]01.09.2023 по 31.12.2023'!$Z$29</f>
        <v>16082362.041902091</v>
      </c>
      <c r="L145" s="48">
        <v>15571404.1</v>
      </c>
      <c r="M145" s="48">
        <v>14964240.220000001</v>
      </c>
      <c r="N145" s="167"/>
    </row>
    <row r="146" spans="1:14" ht="21.75" customHeight="1">
      <c r="A146" s="108" t="s">
        <v>86</v>
      </c>
      <c r="B146" s="111" t="s">
        <v>74</v>
      </c>
      <c r="C146" s="114" t="s">
        <v>11</v>
      </c>
      <c r="D146" s="117" t="s">
        <v>42</v>
      </c>
      <c r="E146" s="114" t="s">
        <v>153</v>
      </c>
      <c r="F146" s="12" t="s">
        <v>14</v>
      </c>
      <c r="G146" s="22">
        <f t="shared" ref="G146:M146" si="44">G147+G148+G149</f>
        <v>9023725.1500000004</v>
      </c>
      <c r="H146" s="22">
        <f t="shared" si="44"/>
        <v>0</v>
      </c>
      <c r="I146" s="22">
        <f t="shared" si="44"/>
        <v>0</v>
      </c>
      <c r="J146" s="22">
        <f t="shared" si="44"/>
        <v>2749897.15</v>
      </c>
      <c r="K146" s="22">
        <f t="shared" si="44"/>
        <v>3886914</v>
      </c>
      <c r="L146" s="22">
        <f>L147+L148+L149</f>
        <v>2386914</v>
      </c>
      <c r="M146" s="22">
        <f t="shared" si="44"/>
        <v>2386914</v>
      </c>
      <c r="N146" s="106" t="s">
        <v>75</v>
      </c>
    </row>
    <row r="147" spans="1:14" ht="21.75" customHeight="1">
      <c r="A147" s="109"/>
      <c r="B147" s="112"/>
      <c r="C147" s="115"/>
      <c r="D147" s="118"/>
      <c r="E147" s="115"/>
      <c r="F147" s="12" t="s">
        <v>133</v>
      </c>
      <c r="G147" s="22">
        <f>H147+I147+J147+K147+M147</f>
        <v>9023725.1500000004</v>
      </c>
      <c r="H147" s="22"/>
      <c r="I147" s="22"/>
      <c r="J147" s="22">
        <v>2749897.15</v>
      </c>
      <c r="K147" s="22">
        <f>'[1]Бюджет 2023-2025 МБ, ОБ, ФБ'!$J$14</f>
        <v>3886914</v>
      </c>
      <c r="L147" s="22">
        <v>2386914</v>
      </c>
      <c r="M147" s="22">
        <v>2386914</v>
      </c>
      <c r="N147" s="107"/>
    </row>
    <row r="148" spans="1:14" ht="21.75" customHeight="1">
      <c r="A148" s="109"/>
      <c r="B148" s="112"/>
      <c r="C148" s="115"/>
      <c r="D148" s="118"/>
      <c r="E148" s="115"/>
      <c r="F148" s="12" t="s">
        <v>16</v>
      </c>
      <c r="G148" s="22">
        <f>H148+I148+J148+K148+M148</f>
        <v>0</v>
      </c>
      <c r="H148" s="22"/>
      <c r="I148" s="22"/>
      <c r="J148" s="22">
        <v>0</v>
      </c>
      <c r="K148" s="22">
        <v>0</v>
      </c>
      <c r="L148" s="22">
        <v>0</v>
      </c>
      <c r="M148" s="22">
        <v>0</v>
      </c>
      <c r="N148" s="107"/>
    </row>
    <row r="149" spans="1:14" ht="21.75" customHeight="1">
      <c r="A149" s="110"/>
      <c r="B149" s="113"/>
      <c r="C149" s="115"/>
      <c r="D149" s="119"/>
      <c r="E149" s="116"/>
      <c r="F149" s="12" t="s">
        <v>17</v>
      </c>
      <c r="G149" s="22">
        <f>H149+I149+J149+K149+M149</f>
        <v>0</v>
      </c>
      <c r="H149" s="22"/>
      <c r="I149" s="22"/>
      <c r="J149" s="22">
        <v>0</v>
      </c>
      <c r="K149" s="22">
        <v>0</v>
      </c>
      <c r="L149" s="22">
        <v>0</v>
      </c>
      <c r="M149" s="22">
        <v>0</v>
      </c>
      <c r="N149" s="167"/>
    </row>
    <row r="150" spans="1:14" ht="21.75" customHeight="1">
      <c r="A150" s="108" t="s">
        <v>121</v>
      </c>
      <c r="B150" s="111" t="s">
        <v>76</v>
      </c>
      <c r="C150" s="114" t="s">
        <v>11</v>
      </c>
      <c r="D150" s="117" t="s">
        <v>42</v>
      </c>
      <c r="E150" s="114" t="s">
        <v>153</v>
      </c>
      <c r="F150" s="12" t="s">
        <v>14</v>
      </c>
      <c r="G150" s="22">
        <f t="shared" ref="G150:M150" si="45">G151+G152+G153</f>
        <v>4107171.49</v>
      </c>
      <c r="H150" s="22">
        <f t="shared" si="45"/>
        <v>0</v>
      </c>
      <c r="I150" s="22">
        <f t="shared" si="45"/>
        <v>0</v>
      </c>
      <c r="J150" s="22">
        <f t="shared" si="45"/>
        <v>1646729.49</v>
      </c>
      <c r="K150" s="22">
        <f t="shared" si="45"/>
        <v>1630221</v>
      </c>
      <c r="L150" s="22">
        <f>L151+L152+L153</f>
        <v>830221</v>
      </c>
      <c r="M150" s="22">
        <f t="shared" si="45"/>
        <v>830221</v>
      </c>
      <c r="N150" s="106" t="s">
        <v>77</v>
      </c>
    </row>
    <row r="151" spans="1:14" ht="21.75" customHeight="1">
      <c r="A151" s="109"/>
      <c r="B151" s="112"/>
      <c r="C151" s="115"/>
      <c r="D151" s="118"/>
      <c r="E151" s="115"/>
      <c r="F151" s="12" t="s">
        <v>133</v>
      </c>
      <c r="G151" s="22">
        <f>H151+I151+J151+K151+M151</f>
        <v>4107171.49</v>
      </c>
      <c r="H151" s="22"/>
      <c r="I151" s="22"/>
      <c r="J151" s="22">
        <v>1646729.49</v>
      </c>
      <c r="K151" s="22">
        <f>'[1]Бюджет 2023-2025 МБ, ОБ, ФБ'!$J$32</f>
        <v>1630221</v>
      </c>
      <c r="L151" s="22">
        <v>830221</v>
      </c>
      <c r="M151" s="22">
        <v>830221</v>
      </c>
      <c r="N151" s="107"/>
    </row>
    <row r="152" spans="1:14" ht="21.75" customHeight="1">
      <c r="A152" s="109"/>
      <c r="B152" s="112"/>
      <c r="C152" s="115"/>
      <c r="D152" s="118"/>
      <c r="E152" s="115"/>
      <c r="F152" s="12" t="s">
        <v>16</v>
      </c>
      <c r="G152" s="22">
        <f>H152+I152+J152+K152+M152</f>
        <v>0</v>
      </c>
      <c r="H152" s="22"/>
      <c r="I152" s="22"/>
      <c r="J152" s="22">
        <v>0</v>
      </c>
      <c r="K152" s="22">
        <v>0</v>
      </c>
      <c r="L152" s="22">
        <v>0</v>
      </c>
      <c r="M152" s="22">
        <v>0</v>
      </c>
      <c r="N152" s="107"/>
    </row>
    <row r="153" spans="1:14" ht="21.75" customHeight="1">
      <c r="A153" s="110"/>
      <c r="B153" s="113"/>
      <c r="C153" s="115"/>
      <c r="D153" s="119"/>
      <c r="E153" s="116"/>
      <c r="F153" s="12" t="s">
        <v>17</v>
      </c>
      <c r="G153" s="22">
        <f>H153+I153+J153+K153+M153</f>
        <v>0</v>
      </c>
      <c r="H153" s="22"/>
      <c r="I153" s="22"/>
      <c r="J153" s="22">
        <v>0</v>
      </c>
      <c r="K153" s="22">
        <v>0</v>
      </c>
      <c r="L153" s="22">
        <v>0</v>
      </c>
      <c r="M153" s="22">
        <v>0</v>
      </c>
      <c r="N153" s="167"/>
    </row>
    <row r="154" spans="1:14" ht="21.75" customHeight="1">
      <c r="A154" s="108" t="s">
        <v>89</v>
      </c>
      <c r="B154" s="174" t="s">
        <v>136</v>
      </c>
      <c r="C154" s="177" t="s">
        <v>11</v>
      </c>
      <c r="D154" s="179" t="s">
        <v>42</v>
      </c>
      <c r="E154" s="177" t="s">
        <v>153</v>
      </c>
      <c r="F154" s="49" t="s">
        <v>14</v>
      </c>
      <c r="G154" s="48">
        <f t="shared" ref="G154:M154" si="46">G155+G156+G157</f>
        <v>172005</v>
      </c>
      <c r="H154" s="48">
        <f t="shared" si="46"/>
        <v>0</v>
      </c>
      <c r="I154" s="48">
        <f t="shared" si="46"/>
        <v>0</v>
      </c>
      <c r="J154" s="48">
        <f t="shared" si="46"/>
        <v>172005</v>
      </c>
      <c r="K154" s="48">
        <f t="shared" si="46"/>
        <v>0</v>
      </c>
      <c r="L154" s="48">
        <f t="shared" si="46"/>
        <v>0</v>
      </c>
      <c r="M154" s="48">
        <f t="shared" si="46"/>
        <v>0</v>
      </c>
      <c r="N154" s="123" t="s">
        <v>137</v>
      </c>
    </row>
    <row r="155" spans="1:14" ht="21.75" customHeight="1">
      <c r="A155" s="109"/>
      <c r="B155" s="175"/>
      <c r="C155" s="178"/>
      <c r="D155" s="180"/>
      <c r="E155" s="178"/>
      <c r="F155" s="49" t="s">
        <v>15</v>
      </c>
      <c r="G155" s="48">
        <f>H155+I155+J155+K155+L155</f>
        <v>0</v>
      </c>
      <c r="H155" s="48"/>
      <c r="I155" s="48"/>
      <c r="J155" s="48">
        <v>0</v>
      </c>
      <c r="K155" s="48">
        <v>0</v>
      </c>
      <c r="L155" s="48">
        <v>0</v>
      </c>
      <c r="M155" s="48">
        <v>0</v>
      </c>
      <c r="N155" s="124"/>
    </row>
    <row r="156" spans="1:14" ht="21.75" customHeight="1">
      <c r="A156" s="109"/>
      <c r="B156" s="175"/>
      <c r="C156" s="178"/>
      <c r="D156" s="180"/>
      <c r="E156" s="178"/>
      <c r="F156" s="49" t="s">
        <v>16</v>
      </c>
      <c r="G156" s="48">
        <f>H156+I156+J156+K156+L156</f>
        <v>172005</v>
      </c>
      <c r="H156" s="48"/>
      <c r="I156" s="48"/>
      <c r="J156" s="48">
        <v>172005</v>
      </c>
      <c r="K156" s="48">
        <v>0</v>
      </c>
      <c r="L156" s="48">
        <v>0</v>
      </c>
      <c r="M156" s="48">
        <v>0</v>
      </c>
      <c r="N156" s="124"/>
    </row>
    <row r="157" spans="1:14" ht="21.75" customHeight="1">
      <c r="A157" s="110"/>
      <c r="B157" s="176"/>
      <c r="C157" s="178"/>
      <c r="D157" s="181"/>
      <c r="E157" s="182"/>
      <c r="F157" s="49" t="s">
        <v>17</v>
      </c>
      <c r="G157" s="48">
        <f>H157+I157+J157+K157+L157</f>
        <v>0</v>
      </c>
      <c r="H157" s="48"/>
      <c r="I157" s="48"/>
      <c r="J157" s="48">
        <v>0</v>
      </c>
      <c r="K157" s="48">
        <v>0</v>
      </c>
      <c r="L157" s="48">
        <v>0</v>
      </c>
      <c r="M157" s="48">
        <v>0</v>
      </c>
      <c r="N157" s="125"/>
    </row>
    <row r="158" spans="1:14" ht="22.5" customHeight="1">
      <c r="A158" s="126"/>
      <c r="B158" s="129" t="s">
        <v>143</v>
      </c>
      <c r="C158" s="132" t="s">
        <v>11</v>
      </c>
      <c r="D158" s="166" t="s">
        <v>12</v>
      </c>
      <c r="E158" s="132" t="s">
        <v>153</v>
      </c>
      <c r="F158" s="34" t="s">
        <v>14</v>
      </c>
      <c r="G158" s="35">
        <f t="shared" ref="G158:M158" si="47">G159+G160+G161</f>
        <v>297562381.57000005</v>
      </c>
      <c r="H158" s="35">
        <f>H159+H160+H161</f>
        <v>33765416.269999996</v>
      </c>
      <c r="I158" s="35">
        <f>I159+I160+I161</f>
        <v>51849700.129999995</v>
      </c>
      <c r="J158" s="35">
        <f>J159+J160+J161</f>
        <v>175908008.94999999</v>
      </c>
      <c r="K158" s="35">
        <f t="shared" si="47"/>
        <v>30901932.609999999</v>
      </c>
      <c r="L158" s="35">
        <f>L159+L160+L161</f>
        <v>5137323.6100000003</v>
      </c>
      <c r="M158" s="35">
        <f t="shared" si="47"/>
        <v>5137323.6100000003</v>
      </c>
      <c r="N158" s="161"/>
    </row>
    <row r="159" spans="1:14" ht="22.5" customHeight="1">
      <c r="A159" s="127"/>
      <c r="B159" s="130"/>
      <c r="C159" s="133"/>
      <c r="D159" s="172"/>
      <c r="E159" s="133"/>
      <c r="F159" s="34" t="s">
        <v>133</v>
      </c>
      <c r="G159" s="35">
        <f>H159+I159+J159+K159+M159</f>
        <v>60287319.909999996</v>
      </c>
      <c r="H159" s="35">
        <f t="shared" ref="H159:M159" si="48">H163+H191+H203+H207+H195+H199+H215+H219+H211+H167+H179+H171+H175+H183+H187</f>
        <v>11096398.129999999</v>
      </c>
      <c r="I159" s="35">
        <f t="shared" si="48"/>
        <v>13999034.969999999</v>
      </c>
      <c r="J159" s="35">
        <f t="shared" si="48"/>
        <v>16915030.59</v>
      </c>
      <c r="K159" s="35">
        <f t="shared" si="48"/>
        <v>13139532.609999999</v>
      </c>
      <c r="L159" s="35">
        <f t="shared" si="48"/>
        <v>5137323.6100000003</v>
      </c>
      <c r="M159" s="35">
        <f t="shared" si="48"/>
        <v>5137323.6100000003</v>
      </c>
      <c r="N159" s="162"/>
    </row>
    <row r="160" spans="1:14" ht="22.5" customHeight="1">
      <c r="A160" s="127"/>
      <c r="B160" s="130"/>
      <c r="C160" s="133"/>
      <c r="D160" s="172"/>
      <c r="E160" s="133"/>
      <c r="F160" s="34" t="s">
        <v>16</v>
      </c>
      <c r="G160" s="35">
        <f>H160+I160+J160+K160+M160</f>
        <v>78543981.200000003</v>
      </c>
      <c r="H160" s="35">
        <f t="shared" ref="H160:M161" si="49">H164+H192+H204+H208+H196+H200+H216+H220+H212+H168+H180+H172+H176+H184+H188</f>
        <v>19227384.140000001</v>
      </c>
      <c r="I160" s="35">
        <f t="shared" si="49"/>
        <v>17200900.700000003</v>
      </c>
      <c r="J160" s="35">
        <f t="shared" si="49"/>
        <v>24353296.359999999</v>
      </c>
      <c r="K160" s="35">
        <f t="shared" si="49"/>
        <v>17762400</v>
      </c>
      <c r="L160" s="35">
        <f t="shared" si="49"/>
        <v>0</v>
      </c>
      <c r="M160" s="35">
        <f t="shared" si="49"/>
        <v>0</v>
      </c>
      <c r="N160" s="162"/>
    </row>
    <row r="161" spans="1:26" ht="22.5" customHeight="1">
      <c r="A161" s="128"/>
      <c r="B161" s="131"/>
      <c r="C161" s="134"/>
      <c r="D161" s="173"/>
      <c r="E161" s="134"/>
      <c r="F161" s="34" t="s">
        <v>17</v>
      </c>
      <c r="G161" s="35">
        <f>H161+I161+J161+K161+M161</f>
        <v>158731080.46000001</v>
      </c>
      <c r="H161" s="35">
        <f t="shared" si="49"/>
        <v>3441634</v>
      </c>
      <c r="I161" s="35">
        <f t="shared" si="49"/>
        <v>20649764.459999997</v>
      </c>
      <c r="J161" s="35">
        <f t="shared" si="49"/>
        <v>134639682</v>
      </c>
      <c r="K161" s="35">
        <f t="shared" si="49"/>
        <v>0</v>
      </c>
      <c r="L161" s="35">
        <f t="shared" si="49"/>
        <v>0</v>
      </c>
      <c r="M161" s="35">
        <f t="shared" si="49"/>
        <v>0</v>
      </c>
      <c r="N161" s="163"/>
      <c r="Z161" s="3"/>
    </row>
    <row r="162" spans="1:26" ht="21.75" customHeight="1">
      <c r="A162" s="108" t="s">
        <v>18</v>
      </c>
      <c r="B162" s="111" t="s">
        <v>79</v>
      </c>
      <c r="C162" s="114" t="s">
        <v>11</v>
      </c>
      <c r="D162" s="117" t="s">
        <v>42</v>
      </c>
      <c r="E162" s="114" t="s">
        <v>153</v>
      </c>
      <c r="F162" s="12" t="s">
        <v>14</v>
      </c>
      <c r="G162" s="22">
        <f t="shared" ref="G162:M162" si="50">G163+G164+G165</f>
        <v>64368253.679999992</v>
      </c>
      <c r="H162" s="22">
        <f t="shared" si="50"/>
        <v>14048396.27</v>
      </c>
      <c r="I162" s="22">
        <f t="shared" si="50"/>
        <v>23290645.129999999</v>
      </c>
      <c r="J162" s="48">
        <f t="shared" si="50"/>
        <v>10367208.279999999</v>
      </c>
      <c r="K162" s="22">
        <f t="shared" si="50"/>
        <v>16352004</v>
      </c>
      <c r="L162" s="22">
        <f>L163+L164+L165</f>
        <v>310000</v>
      </c>
      <c r="M162" s="22">
        <f t="shared" si="50"/>
        <v>310000</v>
      </c>
      <c r="N162" s="106" t="s">
        <v>148</v>
      </c>
    </row>
    <row r="163" spans="1:26" ht="21.75" customHeight="1">
      <c r="A163" s="109"/>
      <c r="B163" s="112"/>
      <c r="C163" s="115"/>
      <c r="D163" s="118"/>
      <c r="E163" s="115"/>
      <c r="F163" s="12" t="s">
        <v>133</v>
      </c>
      <c r="G163" s="22">
        <f>H163+I163+J163+K163+M163</f>
        <v>25264870.379999995</v>
      </c>
      <c r="H163" s="22">
        <v>4977603.13</v>
      </c>
      <c r="I163" s="22">
        <f>7673601.18+600000+400000-13542.21+500000</f>
        <v>9160058.9699999988</v>
      </c>
      <c r="J163" s="48">
        <f>'[6]иные 22.12.2022'!$M$22+'[6]иные 22.12.2022'!$N$22+'[6]иные 22.12.2022'!$AM$22+'[6]иные 22.12.2022'!$AN$22+'[6]иные 22.12.2022'!$AW$22+'[6]иные 22.12.2022'!$AX$22+'[6]иные 22.12.2022'!$BC$22+'[6]иные 22.12.2022'!$BQ$22+'[6]иные 22.12.2022'!$BR$22+'[6]иные 22.12.2022'!$BV$22+'[6]иные 22.12.2022'!$BX$22</f>
        <v>10367208.279999999</v>
      </c>
      <c r="K163" s="22">
        <f>450000</f>
        <v>450000</v>
      </c>
      <c r="L163" s="22">
        <f>60000+250000</f>
        <v>310000</v>
      </c>
      <c r="M163" s="22">
        <v>310000</v>
      </c>
      <c r="N163" s="107"/>
      <c r="P163" s="3">
        <f>1759000+1400000+4507295+1195000</f>
        <v>8861295</v>
      </c>
      <c r="Q163" s="3">
        <f>P163-O163</f>
        <v>8861295</v>
      </c>
    </row>
    <row r="164" spans="1:26" ht="21.75" customHeight="1">
      <c r="A164" s="109"/>
      <c r="B164" s="112"/>
      <c r="C164" s="115"/>
      <c r="D164" s="118"/>
      <c r="E164" s="115"/>
      <c r="F164" s="12" t="s">
        <v>16</v>
      </c>
      <c r="G164" s="22">
        <f>H164+I164+J164+K164+M164</f>
        <v>39103383.299999997</v>
      </c>
      <c r="H164" s="22">
        <f>3714220.8+5356572.34</f>
        <v>9070793.1400000006</v>
      </c>
      <c r="I164" s="22">
        <v>14130586.16</v>
      </c>
      <c r="J164" s="48">
        <f>1500000-1500000</f>
        <v>0</v>
      </c>
      <c r="K164" s="22">
        <f>16686400+1076000-1370000-490396</f>
        <v>15902004</v>
      </c>
      <c r="L164" s="22">
        <v>0</v>
      </c>
      <c r="M164" s="22">
        <v>0</v>
      </c>
      <c r="N164" s="107"/>
      <c r="Q164" s="3"/>
    </row>
    <row r="165" spans="1:26" ht="21.75" customHeight="1">
      <c r="A165" s="110"/>
      <c r="B165" s="113"/>
      <c r="C165" s="116"/>
      <c r="D165" s="119"/>
      <c r="E165" s="116"/>
      <c r="F165" s="12" t="s">
        <v>17</v>
      </c>
      <c r="G165" s="22">
        <f>H165+I165+J165+K165+M165</f>
        <v>0</v>
      </c>
      <c r="H165" s="22">
        <v>0</v>
      </c>
      <c r="I165" s="22">
        <v>0</v>
      </c>
      <c r="J165" s="48">
        <v>0</v>
      </c>
      <c r="K165" s="22">
        <v>0</v>
      </c>
      <c r="L165" s="22">
        <v>0</v>
      </c>
      <c r="M165" s="22">
        <v>0</v>
      </c>
      <c r="N165" s="107"/>
      <c r="O165" s="3"/>
    </row>
    <row r="166" spans="1:26" ht="21.75" customHeight="1">
      <c r="A166" s="108" t="s">
        <v>25</v>
      </c>
      <c r="B166" s="111" t="s">
        <v>119</v>
      </c>
      <c r="C166" s="114" t="s">
        <v>11</v>
      </c>
      <c r="D166" s="117" t="s">
        <v>80</v>
      </c>
      <c r="E166" s="114" t="s">
        <v>153</v>
      </c>
      <c r="F166" s="12" t="s">
        <v>14</v>
      </c>
      <c r="G166" s="22">
        <f t="shared" ref="G166:M166" si="51">G167+G168+G169</f>
        <v>164167221.62</v>
      </c>
      <c r="H166" s="22">
        <f t="shared" si="51"/>
        <v>0</v>
      </c>
      <c r="I166" s="22">
        <f t="shared" si="51"/>
        <v>0</v>
      </c>
      <c r="J166" s="48">
        <f t="shared" si="51"/>
        <v>160296473.78</v>
      </c>
      <c r="K166" s="22">
        <f t="shared" si="51"/>
        <v>3870747.84</v>
      </c>
      <c r="L166" s="22">
        <f>L167+L168+L169</f>
        <v>0</v>
      </c>
      <c r="M166" s="22">
        <f t="shared" si="51"/>
        <v>0</v>
      </c>
      <c r="N166" s="107"/>
    </row>
    <row r="167" spans="1:26" ht="21.75" customHeight="1">
      <c r="A167" s="109"/>
      <c r="B167" s="112"/>
      <c r="C167" s="115"/>
      <c r="D167" s="118"/>
      <c r="E167" s="115"/>
      <c r="F167" s="12" t="s">
        <v>133</v>
      </c>
      <c r="G167" s="22">
        <f>H167+I167+J167+K167+M167</f>
        <v>7162202.0599999996</v>
      </c>
      <c r="H167" s="22">
        <v>0</v>
      </c>
      <c r="I167" s="22">
        <v>0</v>
      </c>
      <c r="J167" s="48">
        <v>3291454.2199999997</v>
      </c>
      <c r="K167" s="22">
        <f>337451+3533296.84</f>
        <v>3870747.84</v>
      </c>
      <c r="L167" s="22">
        <v>0</v>
      </c>
      <c r="M167" s="22">
        <v>0</v>
      </c>
      <c r="N167" s="107"/>
      <c r="P167" s="3">
        <f>1759000+1400000+4507295+1195000</f>
        <v>8861295</v>
      </c>
      <c r="Q167" s="3">
        <f>P167-O167</f>
        <v>8861295</v>
      </c>
    </row>
    <row r="168" spans="1:26" ht="21.75" customHeight="1">
      <c r="A168" s="109"/>
      <c r="B168" s="112"/>
      <c r="C168" s="115"/>
      <c r="D168" s="118"/>
      <c r="E168" s="115"/>
      <c r="F168" s="12" t="s">
        <v>16</v>
      </c>
      <c r="G168" s="22">
        <f>H168+I168+J168+K168+M168</f>
        <v>22365337.559999999</v>
      </c>
      <c r="H168" s="22">
        <v>0</v>
      </c>
      <c r="I168" s="22">
        <v>0</v>
      </c>
      <c r="J168" s="48">
        <v>22365337.559999999</v>
      </c>
      <c r="K168" s="22"/>
      <c r="L168" s="22">
        <v>0</v>
      </c>
      <c r="M168" s="22">
        <v>0</v>
      </c>
      <c r="N168" s="107"/>
      <c r="Q168" s="3"/>
    </row>
    <row r="169" spans="1:26" ht="21.75" customHeight="1">
      <c r="A169" s="110"/>
      <c r="B169" s="113"/>
      <c r="C169" s="115"/>
      <c r="D169" s="119"/>
      <c r="E169" s="116"/>
      <c r="F169" s="12" t="s">
        <v>17</v>
      </c>
      <c r="G169" s="22">
        <f>H169+I169+J169+K169+M169</f>
        <v>134639682</v>
      </c>
      <c r="H169" s="22">
        <v>0</v>
      </c>
      <c r="I169" s="22">
        <v>0</v>
      </c>
      <c r="J169" s="48">
        <v>134639682</v>
      </c>
      <c r="K169" s="22">
        <v>0</v>
      </c>
      <c r="L169" s="22">
        <v>0</v>
      </c>
      <c r="M169" s="22">
        <v>0</v>
      </c>
      <c r="N169" s="107"/>
      <c r="O169" s="3"/>
    </row>
    <row r="170" spans="1:26" ht="21.75" customHeight="1">
      <c r="A170" s="108" t="s">
        <v>44</v>
      </c>
      <c r="B170" s="111" t="s">
        <v>59</v>
      </c>
      <c r="C170" s="114" t="s">
        <v>11</v>
      </c>
      <c r="D170" s="120" t="s">
        <v>60</v>
      </c>
      <c r="E170" s="114" t="s">
        <v>153</v>
      </c>
      <c r="F170" s="12" t="s">
        <v>14</v>
      </c>
      <c r="G170" s="22">
        <f t="shared" ref="G170:M170" si="52">G171+G172+G173</f>
        <v>16025521</v>
      </c>
      <c r="H170" s="22">
        <f t="shared" si="52"/>
        <v>12027171</v>
      </c>
      <c r="I170" s="22">
        <f t="shared" si="52"/>
        <v>2498350</v>
      </c>
      <c r="J170" s="22">
        <f t="shared" si="52"/>
        <v>0</v>
      </c>
      <c r="K170" s="22">
        <f t="shared" si="52"/>
        <v>1500000</v>
      </c>
      <c r="L170" s="22">
        <f t="shared" si="52"/>
        <v>0</v>
      </c>
      <c r="M170" s="22">
        <f t="shared" si="52"/>
        <v>0</v>
      </c>
      <c r="N170" s="107"/>
    </row>
    <row r="171" spans="1:26" ht="21.75" customHeight="1">
      <c r="A171" s="109"/>
      <c r="B171" s="112"/>
      <c r="C171" s="115"/>
      <c r="D171" s="121"/>
      <c r="E171" s="115"/>
      <c r="F171" s="12" t="s">
        <v>133</v>
      </c>
      <c r="G171" s="22">
        <f>H171+I171+J171+K171+M171</f>
        <v>2477901</v>
      </c>
      <c r="H171" s="22">
        <v>900000</v>
      </c>
      <c r="I171" s="22">
        <v>77901</v>
      </c>
      <c r="J171" s="22">
        <v>0</v>
      </c>
      <c r="K171" s="22">
        <v>1500000</v>
      </c>
      <c r="L171" s="22">
        <v>0</v>
      </c>
      <c r="M171" s="22">
        <v>0</v>
      </c>
      <c r="N171" s="107"/>
    </row>
    <row r="172" spans="1:26" ht="21.75" customHeight="1">
      <c r="A172" s="109"/>
      <c r="B172" s="112"/>
      <c r="C172" s="115"/>
      <c r="D172" s="121"/>
      <c r="E172" s="115"/>
      <c r="F172" s="12" t="s">
        <v>16</v>
      </c>
      <c r="G172" s="22">
        <f>H172+I172+J172+K172+M172</f>
        <v>9349858.9399999995</v>
      </c>
      <c r="H172" s="22">
        <v>7685537</v>
      </c>
      <c r="I172" s="22">
        <f>464321.94+1200000</f>
        <v>1664321.94</v>
      </c>
      <c r="J172" s="22">
        <v>0</v>
      </c>
      <c r="K172" s="22">
        <v>0</v>
      </c>
      <c r="L172" s="22">
        <v>0</v>
      </c>
      <c r="M172" s="22">
        <v>0</v>
      </c>
      <c r="N172" s="107"/>
    </row>
    <row r="173" spans="1:26" ht="21.75" customHeight="1">
      <c r="A173" s="110"/>
      <c r="B173" s="113"/>
      <c r="C173" s="115"/>
      <c r="D173" s="122"/>
      <c r="E173" s="116"/>
      <c r="F173" s="12" t="s">
        <v>17</v>
      </c>
      <c r="G173" s="22">
        <f>H173+I173+J173+K173+M173</f>
        <v>4197761.0600000005</v>
      </c>
      <c r="H173" s="22">
        <v>3441634</v>
      </c>
      <c r="I173" s="22">
        <v>756127.06</v>
      </c>
      <c r="J173" s="22">
        <v>0</v>
      </c>
      <c r="K173" s="22">
        <v>0</v>
      </c>
      <c r="L173" s="22">
        <v>0</v>
      </c>
      <c r="M173" s="22">
        <v>0</v>
      </c>
      <c r="N173" s="107"/>
    </row>
    <row r="174" spans="1:26" s="31" customFormat="1" ht="21.75" customHeight="1">
      <c r="A174" s="108" t="s">
        <v>78</v>
      </c>
      <c r="B174" s="111" t="s">
        <v>61</v>
      </c>
      <c r="C174" s="114" t="s">
        <v>11</v>
      </c>
      <c r="D174" s="168" t="s">
        <v>62</v>
      </c>
      <c r="E174" s="114" t="s">
        <v>153</v>
      </c>
      <c r="F174" s="12" t="s">
        <v>14</v>
      </c>
      <c r="G174" s="22">
        <f t="shared" ref="G174:M174" si="53">G175+G176+G177</f>
        <v>21151290</v>
      </c>
      <c r="H174" s="22">
        <f t="shared" si="53"/>
        <v>0</v>
      </c>
      <c r="I174" s="22">
        <f t="shared" si="53"/>
        <v>21151290</v>
      </c>
      <c r="J174" s="22">
        <f t="shared" si="53"/>
        <v>0</v>
      </c>
      <c r="K174" s="22">
        <f t="shared" si="53"/>
        <v>0</v>
      </c>
      <c r="L174" s="22">
        <f t="shared" si="53"/>
        <v>0</v>
      </c>
      <c r="M174" s="22">
        <f t="shared" si="53"/>
        <v>0</v>
      </c>
      <c r="N174" s="107"/>
    </row>
    <row r="175" spans="1:26" s="31" customFormat="1" ht="21.75" customHeight="1">
      <c r="A175" s="109"/>
      <c r="B175" s="112"/>
      <c r="C175" s="115"/>
      <c r="D175" s="169"/>
      <c r="E175" s="115"/>
      <c r="F175" s="12" t="s">
        <v>133</v>
      </c>
      <c r="G175" s="22">
        <f>H175+I175+J175+K175+M175</f>
        <v>851660</v>
      </c>
      <c r="H175" s="22">
        <v>0</v>
      </c>
      <c r="I175" s="22">
        <f>20320+351340+480000</f>
        <v>851660</v>
      </c>
      <c r="J175" s="22">
        <v>0</v>
      </c>
      <c r="K175" s="22">
        <v>0</v>
      </c>
      <c r="L175" s="22">
        <v>0</v>
      </c>
      <c r="M175" s="22">
        <v>0</v>
      </c>
      <c r="N175" s="107"/>
      <c r="P175" s="32">
        <f>1759000+1400000+4507295+1195000</f>
        <v>8861295</v>
      </c>
      <c r="Q175" s="32">
        <f>P175-O175</f>
        <v>8861295</v>
      </c>
    </row>
    <row r="176" spans="1:26" s="31" customFormat="1" ht="21.75" customHeight="1">
      <c r="A176" s="109"/>
      <c r="B176" s="112"/>
      <c r="C176" s="115"/>
      <c r="D176" s="169"/>
      <c r="E176" s="115"/>
      <c r="F176" s="12" t="s">
        <v>16</v>
      </c>
      <c r="G176" s="22">
        <f>H176+I176+J176+K176+M176</f>
        <v>405992.6</v>
      </c>
      <c r="H176" s="22">
        <v>0</v>
      </c>
      <c r="I176" s="22">
        <v>405992.6</v>
      </c>
      <c r="J176" s="22">
        <v>0</v>
      </c>
      <c r="K176" s="22">
        <v>0</v>
      </c>
      <c r="L176" s="22">
        <v>0</v>
      </c>
      <c r="M176" s="22">
        <v>0</v>
      </c>
      <c r="N176" s="107"/>
      <c r="Q176" s="32"/>
    </row>
    <row r="177" spans="1:23" s="31" customFormat="1" ht="21.75" customHeight="1">
      <c r="A177" s="110"/>
      <c r="B177" s="113"/>
      <c r="C177" s="116"/>
      <c r="D177" s="170"/>
      <c r="E177" s="116"/>
      <c r="F177" s="12" t="s">
        <v>17</v>
      </c>
      <c r="G177" s="22">
        <f>H177+I177+J177+K177+M177</f>
        <v>19893637.399999999</v>
      </c>
      <c r="H177" s="22">
        <v>0</v>
      </c>
      <c r="I177" s="22">
        <v>19893637.399999999</v>
      </c>
      <c r="J177" s="22">
        <v>0</v>
      </c>
      <c r="K177" s="22">
        <v>0</v>
      </c>
      <c r="L177" s="22">
        <v>0</v>
      </c>
      <c r="M177" s="22">
        <v>0</v>
      </c>
      <c r="N177" s="107"/>
      <c r="O177" s="32"/>
    </row>
    <row r="178" spans="1:23" ht="21.75" customHeight="1">
      <c r="A178" s="108" t="s">
        <v>81</v>
      </c>
      <c r="B178" s="111" t="s">
        <v>58</v>
      </c>
      <c r="C178" s="114" t="s">
        <v>11</v>
      </c>
      <c r="D178" s="120" t="s">
        <v>37</v>
      </c>
      <c r="E178" s="114" t="s">
        <v>153</v>
      </c>
      <c r="F178" s="12" t="s">
        <v>14</v>
      </c>
      <c r="G178" s="22">
        <f t="shared" ref="G178:M178" si="54">G179+G180+G181</f>
        <v>58058</v>
      </c>
      <c r="H178" s="22">
        <f t="shared" si="54"/>
        <v>58058</v>
      </c>
      <c r="I178" s="22">
        <f t="shared" si="54"/>
        <v>0</v>
      </c>
      <c r="J178" s="22">
        <f t="shared" si="54"/>
        <v>0</v>
      </c>
      <c r="K178" s="22">
        <f t="shared" si="54"/>
        <v>0</v>
      </c>
      <c r="L178" s="22">
        <f t="shared" si="54"/>
        <v>0</v>
      </c>
      <c r="M178" s="22">
        <f t="shared" si="54"/>
        <v>0</v>
      </c>
      <c r="N178" s="107"/>
    </row>
    <row r="179" spans="1:23" ht="21.75" customHeight="1">
      <c r="A179" s="109"/>
      <c r="B179" s="112"/>
      <c r="C179" s="115"/>
      <c r="D179" s="121"/>
      <c r="E179" s="115"/>
      <c r="F179" s="12" t="s">
        <v>133</v>
      </c>
      <c r="G179" s="22">
        <f>H179+I179+J179+K179+M179</f>
        <v>58058</v>
      </c>
      <c r="H179" s="22">
        <v>58058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107"/>
    </row>
    <row r="180" spans="1:23" ht="21.75" customHeight="1">
      <c r="A180" s="109"/>
      <c r="B180" s="112"/>
      <c r="C180" s="115"/>
      <c r="D180" s="121"/>
      <c r="E180" s="115"/>
      <c r="F180" s="12" t="s">
        <v>16</v>
      </c>
      <c r="G180" s="22">
        <f>H180+I180+J180+K180+M180</f>
        <v>0</v>
      </c>
      <c r="H180" s="22">
        <v>0</v>
      </c>
      <c r="I180" s="22">
        <v>0</v>
      </c>
      <c r="J180" s="22">
        <v>0</v>
      </c>
      <c r="K180" s="22"/>
      <c r="L180" s="22">
        <v>0</v>
      </c>
      <c r="M180" s="22">
        <v>0</v>
      </c>
      <c r="N180" s="107"/>
    </row>
    <row r="181" spans="1:23" ht="21.75" customHeight="1">
      <c r="A181" s="110"/>
      <c r="B181" s="113"/>
      <c r="C181" s="115"/>
      <c r="D181" s="122"/>
      <c r="E181" s="116"/>
      <c r="F181" s="12" t="s">
        <v>17</v>
      </c>
      <c r="G181" s="22">
        <f>H181+I181+J181+K181+M181</f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107"/>
    </row>
    <row r="182" spans="1:23" ht="21.75" customHeight="1">
      <c r="A182" s="108" t="s">
        <v>83</v>
      </c>
      <c r="B182" s="111" t="s">
        <v>63</v>
      </c>
      <c r="C182" s="114" t="s">
        <v>11</v>
      </c>
      <c r="D182" s="120" t="s">
        <v>37</v>
      </c>
      <c r="E182" s="114" t="s">
        <v>153</v>
      </c>
      <c r="F182" s="12" t="s">
        <v>14</v>
      </c>
      <c r="G182" s="22">
        <f t="shared" ref="G182:M182" si="55">G183+G184+G185</f>
        <v>676415</v>
      </c>
      <c r="H182" s="22">
        <f t="shared" si="55"/>
        <v>0</v>
      </c>
      <c r="I182" s="22">
        <f t="shared" si="55"/>
        <v>676415</v>
      </c>
      <c r="J182" s="22">
        <f t="shared" si="55"/>
        <v>0</v>
      </c>
      <c r="K182" s="22">
        <f t="shared" si="55"/>
        <v>0</v>
      </c>
      <c r="L182" s="22">
        <f t="shared" si="55"/>
        <v>0</v>
      </c>
      <c r="M182" s="22">
        <f t="shared" si="55"/>
        <v>0</v>
      </c>
      <c r="N182" s="107"/>
    </row>
    <row r="183" spans="1:23" ht="21.75" customHeight="1">
      <c r="A183" s="109"/>
      <c r="B183" s="112"/>
      <c r="C183" s="115"/>
      <c r="D183" s="121"/>
      <c r="E183" s="115"/>
      <c r="F183" s="12" t="s">
        <v>133</v>
      </c>
      <c r="G183" s="22">
        <f>H183+I183+J183+K183+M183</f>
        <v>676415</v>
      </c>
      <c r="H183" s="22">
        <v>0</v>
      </c>
      <c r="I183" s="22">
        <v>676415</v>
      </c>
      <c r="J183" s="22">
        <v>0</v>
      </c>
      <c r="K183" s="22">
        <v>0</v>
      </c>
      <c r="L183" s="22">
        <v>0</v>
      </c>
      <c r="M183" s="22">
        <v>0</v>
      </c>
      <c r="N183" s="107"/>
    </row>
    <row r="184" spans="1:23" ht="21.75" customHeight="1">
      <c r="A184" s="109"/>
      <c r="B184" s="112"/>
      <c r="C184" s="115"/>
      <c r="D184" s="121"/>
      <c r="E184" s="115"/>
      <c r="F184" s="12" t="s">
        <v>16</v>
      </c>
      <c r="G184" s="22">
        <f>H184+I184+J184+K184+M184</f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107"/>
    </row>
    <row r="185" spans="1:23" ht="21.75" customHeight="1">
      <c r="A185" s="110"/>
      <c r="B185" s="113"/>
      <c r="C185" s="115"/>
      <c r="D185" s="122"/>
      <c r="E185" s="116"/>
      <c r="F185" s="12" t="s">
        <v>17</v>
      </c>
      <c r="G185" s="22">
        <f>H185+I185+J185+K185+M185</f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107"/>
    </row>
    <row r="186" spans="1:23" ht="21.75" customHeight="1">
      <c r="A186" s="108" t="s">
        <v>120</v>
      </c>
      <c r="B186" s="111" t="s">
        <v>71</v>
      </c>
      <c r="C186" s="114" t="s">
        <v>11</v>
      </c>
      <c r="D186" s="117" t="s">
        <v>149</v>
      </c>
      <c r="E186" s="114" t="s">
        <v>153</v>
      </c>
      <c r="F186" s="12" t="s">
        <v>14</v>
      </c>
      <c r="G186" s="22">
        <f>G187+G188+G189</f>
        <v>227000</v>
      </c>
      <c r="H186" s="22">
        <v>0</v>
      </c>
      <c r="I186" s="22">
        <f>I187+I188+I189</f>
        <v>0</v>
      </c>
      <c r="J186" s="22">
        <f>J187+J188+J189</f>
        <v>0</v>
      </c>
      <c r="K186" s="22">
        <v>0</v>
      </c>
      <c r="L186" s="22">
        <f>L187+L188+L189</f>
        <v>0</v>
      </c>
      <c r="M186" s="22">
        <f>M187+M188+M189</f>
        <v>0</v>
      </c>
      <c r="N186" s="107"/>
    </row>
    <row r="187" spans="1:23" ht="21.75" customHeight="1">
      <c r="A187" s="109"/>
      <c r="B187" s="112"/>
      <c r="C187" s="115"/>
      <c r="D187" s="118"/>
      <c r="E187" s="115"/>
      <c r="F187" s="12" t="s">
        <v>133</v>
      </c>
      <c r="G187" s="22">
        <f>H187+I187+J187+K187+M187</f>
        <v>227000</v>
      </c>
      <c r="H187" s="22">
        <v>227000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107"/>
    </row>
    <row r="188" spans="1:23" ht="21.75" customHeight="1">
      <c r="A188" s="109"/>
      <c r="B188" s="112"/>
      <c r="C188" s="115"/>
      <c r="D188" s="118"/>
      <c r="E188" s="115"/>
      <c r="F188" s="12" t="s">
        <v>16</v>
      </c>
      <c r="G188" s="22">
        <f>H188+I188+J188+K188+M188</f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107"/>
    </row>
    <row r="189" spans="1:23" ht="21.75" customHeight="1">
      <c r="A189" s="110"/>
      <c r="B189" s="113"/>
      <c r="C189" s="115"/>
      <c r="D189" s="119"/>
      <c r="E189" s="116"/>
      <c r="F189" s="12" t="s">
        <v>17</v>
      </c>
      <c r="G189" s="22">
        <f>H189+I189+J189+K189+M189</f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107"/>
    </row>
    <row r="190" spans="1:23" ht="21.75" customHeight="1">
      <c r="A190" s="108" t="s">
        <v>86</v>
      </c>
      <c r="B190" s="111" t="s">
        <v>82</v>
      </c>
      <c r="C190" s="114" t="s">
        <v>11</v>
      </c>
      <c r="D190" s="117" t="s">
        <v>42</v>
      </c>
      <c r="E190" s="114" t="s">
        <v>153</v>
      </c>
      <c r="F190" s="12" t="s">
        <v>14</v>
      </c>
      <c r="G190" s="22">
        <f t="shared" ref="G190:M190" si="56">G191+G192+G193</f>
        <v>4525000</v>
      </c>
      <c r="H190" s="22">
        <f t="shared" si="56"/>
        <v>2525000</v>
      </c>
      <c r="I190" s="22">
        <f t="shared" si="56"/>
        <v>2000000</v>
      </c>
      <c r="J190" s="22">
        <f t="shared" si="56"/>
        <v>0</v>
      </c>
      <c r="K190" s="22">
        <f t="shared" si="56"/>
        <v>0</v>
      </c>
      <c r="L190" s="22">
        <f>L191+L192+L193</f>
        <v>0</v>
      </c>
      <c r="M190" s="22">
        <f t="shared" si="56"/>
        <v>0</v>
      </c>
      <c r="N190" s="107"/>
      <c r="O190" s="3"/>
      <c r="W190" s="3" t="e">
        <f>#REF!+#REF!+#REF!+#REF!</f>
        <v>#REF!</v>
      </c>
    </row>
    <row r="191" spans="1:23" ht="21.75" customHeight="1">
      <c r="A191" s="109"/>
      <c r="B191" s="112"/>
      <c r="C191" s="115"/>
      <c r="D191" s="118"/>
      <c r="E191" s="115"/>
      <c r="F191" s="12" t="s">
        <v>133</v>
      </c>
      <c r="G191" s="22">
        <f>H191+I191+J191+K191+M191</f>
        <v>2052500</v>
      </c>
      <c r="H191" s="22">
        <f>1000000+47250+5250</f>
        <v>1052500</v>
      </c>
      <c r="I191" s="22">
        <v>1000000</v>
      </c>
      <c r="J191" s="22">
        <v>0</v>
      </c>
      <c r="K191" s="22">
        <v>0</v>
      </c>
      <c r="L191" s="22">
        <v>0</v>
      </c>
      <c r="M191" s="22">
        <v>0</v>
      </c>
      <c r="N191" s="107"/>
    </row>
    <row r="192" spans="1:23" ht="21.75" customHeight="1">
      <c r="A192" s="109"/>
      <c r="B192" s="112"/>
      <c r="C192" s="115"/>
      <c r="D192" s="118"/>
      <c r="E192" s="115"/>
      <c r="F192" s="12" t="s">
        <v>16</v>
      </c>
      <c r="G192" s="22">
        <f>H192+I192+J192+K192+M192</f>
        <v>2472500</v>
      </c>
      <c r="H192" s="22">
        <f>1000000+472500</f>
        <v>1472500</v>
      </c>
      <c r="I192" s="22">
        <v>1000000</v>
      </c>
      <c r="J192" s="22">
        <v>0</v>
      </c>
      <c r="K192" s="22">
        <v>0</v>
      </c>
      <c r="L192" s="22">
        <v>0</v>
      </c>
      <c r="M192" s="22">
        <v>0</v>
      </c>
      <c r="N192" s="107"/>
    </row>
    <row r="193" spans="1:16" ht="21.75" customHeight="1">
      <c r="A193" s="110"/>
      <c r="B193" s="113"/>
      <c r="C193" s="116"/>
      <c r="D193" s="119"/>
      <c r="E193" s="116"/>
      <c r="F193" s="12" t="s">
        <v>17</v>
      </c>
      <c r="G193" s="22">
        <f>H193+I193+J193+K193+M193</f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107"/>
    </row>
    <row r="194" spans="1:16" s="10" customFormat="1" ht="21.75" customHeight="1">
      <c r="A194" s="108" t="s">
        <v>121</v>
      </c>
      <c r="B194" s="111" t="s">
        <v>92</v>
      </c>
      <c r="C194" s="114" t="s">
        <v>11</v>
      </c>
      <c r="D194" s="117" t="s">
        <v>42</v>
      </c>
      <c r="E194" s="114" t="s">
        <v>153</v>
      </c>
      <c r="F194" s="12" t="s">
        <v>14</v>
      </c>
      <c r="G194" s="22">
        <f t="shared" ref="G194:M194" si="57">G195+G196+G197</f>
        <v>6786538.7999999998</v>
      </c>
      <c r="H194" s="22">
        <f t="shared" si="57"/>
        <v>1316716</v>
      </c>
      <c r="I194" s="22">
        <f t="shared" si="57"/>
        <v>0</v>
      </c>
      <c r="J194" s="22">
        <f t="shared" si="57"/>
        <v>2487958.7999999998</v>
      </c>
      <c r="K194" s="22">
        <f t="shared" si="57"/>
        <v>2981864</v>
      </c>
      <c r="L194" s="22">
        <f t="shared" si="57"/>
        <v>0</v>
      </c>
      <c r="M194" s="22">
        <f t="shared" si="57"/>
        <v>0</v>
      </c>
      <c r="N194" s="107"/>
    </row>
    <row r="195" spans="1:16" s="10" customFormat="1" ht="21.75" customHeight="1">
      <c r="A195" s="109"/>
      <c r="B195" s="112"/>
      <c r="C195" s="115"/>
      <c r="D195" s="118"/>
      <c r="E195" s="115"/>
      <c r="F195" s="12" t="s">
        <v>133</v>
      </c>
      <c r="G195" s="22">
        <f>H195+I195+J195+K195+M195</f>
        <v>4188101</v>
      </c>
      <c r="H195" s="22">
        <f>368777+87460</f>
        <v>456237</v>
      </c>
      <c r="I195" s="22">
        <v>0</v>
      </c>
      <c r="J195" s="22">
        <f>+'[7]остатки средств в ФК_2'!$R$52</f>
        <v>750000</v>
      </c>
      <c r="K195" s="22">
        <v>2981864</v>
      </c>
      <c r="L195" s="22">
        <v>0</v>
      </c>
      <c r="M195" s="22">
        <v>0</v>
      </c>
      <c r="N195" s="107"/>
    </row>
    <row r="196" spans="1:16" s="10" customFormat="1" ht="21.75" customHeight="1">
      <c r="A196" s="109"/>
      <c r="B196" s="112"/>
      <c r="C196" s="115"/>
      <c r="D196" s="118"/>
      <c r="E196" s="115"/>
      <c r="F196" s="12" t="s">
        <v>16</v>
      </c>
      <c r="G196" s="22">
        <f>H196+I196+J196+K196+M196</f>
        <v>2598437.7999999998</v>
      </c>
      <c r="H196" s="22">
        <v>860479</v>
      </c>
      <c r="I196" s="22">
        <v>0</v>
      </c>
      <c r="J196" s="22">
        <f>'[8]остатки средств в ФК_2'!$Y$46</f>
        <v>1737958.8</v>
      </c>
      <c r="K196" s="22">
        <v>0</v>
      </c>
      <c r="L196" s="22">
        <v>0</v>
      </c>
      <c r="M196" s="22">
        <v>0</v>
      </c>
      <c r="N196" s="107"/>
    </row>
    <row r="197" spans="1:16" s="10" customFormat="1" ht="21.75" customHeight="1">
      <c r="A197" s="110"/>
      <c r="B197" s="113"/>
      <c r="C197" s="116"/>
      <c r="D197" s="119"/>
      <c r="E197" s="116"/>
      <c r="F197" s="12" t="s">
        <v>17</v>
      </c>
      <c r="G197" s="22">
        <f>H197+I197+J197+K197+M197</f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107"/>
    </row>
    <row r="198" spans="1:16" ht="21.75" customHeight="1">
      <c r="A198" s="108" t="s">
        <v>89</v>
      </c>
      <c r="B198" s="111" t="s">
        <v>90</v>
      </c>
      <c r="C198" s="114" t="s">
        <v>11</v>
      </c>
      <c r="D198" s="117" t="s">
        <v>42</v>
      </c>
      <c r="E198" s="114" t="s">
        <v>153</v>
      </c>
      <c r="F198" s="12" t="s">
        <v>14</v>
      </c>
      <c r="G198" s="22">
        <f t="shared" ref="G198:M198" si="58">G199+G200+G201</f>
        <v>0</v>
      </c>
      <c r="H198" s="22">
        <f t="shared" si="58"/>
        <v>0</v>
      </c>
      <c r="I198" s="22">
        <f t="shared" si="58"/>
        <v>0</v>
      </c>
      <c r="J198" s="22">
        <f t="shared" si="58"/>
        <v>0</v>
      </c>
      <c r="K198" s="22">
        <f t="shared" si="58"/>
        <v>0</v>
      </c>
      <c r="L198" s="22">
        <f t="shared" si="58"/>
        <v>0</v>
      </c>
      <c r="M198" s="22">
        <f t="shared" si="58"/>
        <v>0</v>
      </c>
      <c r="N198" s="107"/>
    </row>
    <row r="199" spans="1:16" ht="21.75" customHeight="1">
      <c r="A199" s="109"/>
      <c r="B199" s="112"/>
      <c r="C199" s="115"/>
      <c r="D199" s="118"/>
      <c r="E199" s="115"/>
      <c r="F199" s="12" t="s">
        <v>15</v>
      </c>
      <c r="G199" s="22">
        <f>H199+I199+J199+K199+M199</f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107"/>
    </row>
    <row r="200" spans="1:16" ht="21.75" customHeight="1">
      <c r="A200" s="109"/>
      <c r="B200" s="112"/>
      <c r="C200" s="115"/>
      <c r="D200" s="118"/>
      <c r="E200" s="115"/>
      <c r="F200" s="12" t="s">
        <v>16</v>
      </c>
      <c r="G200" s="22">
        <f>H200+I200+J200+K200+M200</f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107"/>
    </row>
    <row r="201" spans="1:16" ht="21.75" customHeight="1">
      <c r="A201" s="110"/>
      <c r="B201" s="113"/>
      <c r="C201" s="116"/>
      <c r="D201" s="119"/>
      <c r="E201" s="116"/>
      <c r="F201" s="12" t="s">
        <v>17</v>
      </c>
      <c r="G201" s="22">
        <f>H201+I201+J201+K201+M201</f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107"/>
    </row>
    <row r="202" spans="1:16" ht="21.75" customHeight="1">
      <c r="A202" s="108" t="s">
        <v>94</v>
      </c>
      <c r="B202" s="111" t="s">
        <v>84</v>
      </c>
      <c r="C202" s="114" t="s">
        <v>11</v>
      </c>
      <c r="D202" s="117" t="s">
        <v>12</v>
      </c>
      <c r="E202" s="114" t="s">
        <v>153</v>
      </c>
      <c r="F202" s="12" t="s">
        <v>14</v>
      </c>
      <c r="G202" s="22">
        <f t="shared" ref="G202:M202" si="59">G203+G204+G205</f>
        <v>12872083.469999999</v>
      </c>
      <c r="H202" s="22">
        <f t="shared" si="59"/>
        <v>3038075</v>
      </c>
      <c r="I202" s="22">
        <f t="shared" si="59"/>
        <v>2233000</v>
      </c>
      <c r="J202" s="22">
        <f t="shared" si="59"/>
        <v>2146368.09</v>
      </c>
      <c r="K202" s="22">
        <f t="shared" si="59"/>
        <v>2727316.77</v>
      </c>
      <c r="L202" s="22">
        <f>L203+L204+L205</f>
        <v>2727323.6100000003</v>
      </c>
      <c r="M202" s="22">
        <f t="shared" si="59"/>
        <v>2727323.6100000003</v>
      </c>
      <c r="N202" s="107"/>
    </row>
    <row r="203" spans="1:16" ht="21.75" customHeight="1">
      <c r="A203" s="109"/>
      <c r="B203" s="112"/>
      <c r="C203" s="115"/>
      <c r="D203" s="118"/>
      <c r="E203" s="115"/>
      <c r="F203" s="12" t="s">
        <v>133</v>
      </c>
      <c r="G203" s="22">
        <f t="shared" ref="G203:G213" si="60">H203+I203+J203+K203+M203</f>
        <v>12243612.469999999</v>
      </c>
      <c r="H203" s="22">
        <f>3200000-300000-62034+62034</f>
        <v>2900000</v>
      </c>
      <c r="I203" s="22">
        <f>1933000+300000</f>
        <v>2233000</v>
      </c>
      <c r="J203" s="22">
        <v>2146368.09</v>
      </c>
      <c r="K203" s="22">
        <f>2727323.61-490396-6.84</f>
        <v>2236920.77</v>
      </c>
      <c r="L203" s="22">
        <v>2727323.6100000003</v>
      </c>
      <c r="M203" s="22">
        <v>2727323.6100000003</v>
      </c>
      <c r="N203" s="107"/>
    </row>
    <row r="204" spans="1:16" ht="21.75" customHeight="1">
      <c r="A204" s="109"/>
      <c r="B204" s="112"/>
      <c r="C204" s="115"/>
      <c r="D204" s="118"/>
      <c r="E204" s="115"/>
      <c r="F204" s="12" t="s">
        <v>16</v>
      </c>
      <c r="G204" s="22">
        <f t="shared" si="60"/>
        <v>628471</v>
      </c>
      <c r="H204" s="22">
        <v>138075</v>
      </c>
      <c r="I204" s="22">
        <v>0</v>
      </c>
      <c r="J204" s="22">
        <v>0</v>
      </c>
      <c r="K204" s="22">
        <v>490396</v>
      </c>
      <c r="L204" s="22">
        <v>0</v>
      </c>
      <c r="M204" s="22">
        <v>0</v>
      </c>
      <c r="N204" s="107"/>
      <c r="P204" s="3"/>
    </row>
    <row r="205" spans="1:16" ht="21.75" customHeight="1">
      <c r="A205" s="110"/>
      <c r="B205" s="113"/>
      <c r="C205" s="116"/>
      <c r="D205" s="119"/>
      <c r="E205" s="116"/>
      <c r="F205" s="12" t="s">
        <v>17</v>
      </c>
      <c r="G205" s="22">
        <f t="shared" si="60"/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107"/>
      <c r="P205" s="3"/>
    </row>
    <row r="206" spans="1:16" ht="21.75" customHeight="1">
      <c r="A206" s="171" t="s">
        <v>102</v>
      </c>
      <c r="B206" s="111" t="s">
        <v>87</v>
      </c>
      <c r="C206" s="114" t="s">
        <v>11</v>
      </c>
      <c r="D206" s="117" t="s">
        <v>42</v>
      </c>
      <c r="E206" s="114" t="s">
        <v>153</v>
      </c>
      <c r="F206" s="12" t="s">
        <v>14</v>
      </c>
      <c r="G206" s="22">
        <f t="shared" ref="G206:M206" si="61">G207+G208+G209</f>
        <v>6705000</v>
      </c>
      <c r="H206" s="22">
        <f t="shared" si="61"/>
        <v>525000</v>
      </c>
      <c r="I206" s="22">
        <f t="shared" si="61"/>
        <v>0</v>
      </c>
      <c r="J206" s="22">
        <f t="shared" si="61"/>
        <v>610000</v>
      </c>
      <c r="K206" s="22">
        <f t="shared" si="61"/>
        <v>3470000</v>
      </c>
      <c r="L206" s="22">
        <f>L207+L208+L209</f>
        <v>2100000</v>
      </c>
      <c r="M206" s="22">
        <f t="shared" si="61"/>
        <v>2100000</v>
      </c>
      <c r="N206" s="107"/>
    </row>
    <row r="207" spans="1:16" ht="21.75" customHeight="1">
      <c r="A207" s="109"/>
      <c r="B207" s="112"/>
      <c r="C207" s="115"/>
      <c r="D207" s="118"/>
      <c r="E207" s="115"/>
      <c r="F207" s="12" t="s">
        <v>133</v>
      </c>
      <c r="G207" s="22">
        <f t="shared" si="60"/>
        <v>5085000</v>
      </c>
      <c r="H207" s="22">
        <f>700000+300000-475000</f>
        <v>525000</v>
      </c>
      <c r="I207" s="22">
        <v>0</v>
      </c>
      <c r="J207" s="22">
        <f>500000+600000-140000-600000</f>
        <v>360000</v>
      </c>
      <c r="K207" s="22">
        <f>'[1]Бюджет 2023-2025 местн'!$J$41</f>
        <v>2100000</v>
      </c>
      <c r="L207" s="22">
        <v>2100000</v>
      </c>
      <c r="M207" s="22">
        <v>2100000</v>
      </c>
      <c r="N207" s="107"/>
      <c r="P207" s="2">
        <v>854209197.39999998</v>
      </c>
    </row>
    <row r="208" spans="1:16" ht="21.75" customHeight="1">
      <c r="A208" s="109"/>
      <c r="B208" s="112"/>
      <c r="C208" s="115"/>
      <c r="D208" s="118"/>
      <c r="E208" s="115"/>
      <c r="F208" s="12" t="s">
        <v>16</v>
      </c>
      <c r="G208" s="22">
        <f t="shared" si="60"/>
        <v>1620000</v>
      </c>
      <c r="H208" s="22">
        <v>0</v>
      </c>
      <c r="I208" s="22">
        <v>0</v>
      </c>
      <c r="J208" s="22">
        <v>250000</v>
      </c>
      <c r="K208" s="22">
        <v>1370000</v>
      </c>
      <c r="L208" s="22">
        <v>0</v>
      </c>
      <c r="M208" s="22">
        <v>0</v>
      </c>
      <c r="N208" s="107"/>
      <c r="P208" s="2">
        <v>852492090</v>
      </c>
    </row>
    <row r="209" spans="1:16" ht="21.75" customHeight="1">
      <c r="A209" s="110"/>
      <c r="B209" s="113"/>
      <c r="C209" s="116"/>
      <c r="D209" s="119"/>
      <c r="E209" s="116"/>
      <c r="F209" s="12" t="s">
        <v>17</v>
      </c>
      <c r="G209" s="22">
        <f t="shared" si="60"/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107"/>
      <c r="P209" s="2">
        <f>P207-P208</f>
        <v>1717107.3999999762</v>
      </c>
    </row>
    <row r="210" spans="1:16" ht="21.75" hidden="1" customHeight="1" outlineLevel="1">
      <c r="A210" s="51"/>
      <c r="B210" s="111" t="s">
        <v>88</v>
      </c>
      <c r="C210" s="114" t="s">
        <v>11</v>
      </c>
      <c r="D210" s="114"/>
      <c r="E210" s="114" t="s">
        <v>153</v>
      </c>
      <c r="F210" s="12" t="s">
        <v>14</v>
      </c>
      <c r="G210" s="22">
        <f t="shared" ref="G210:M210" si="62">G211+G212+G213</f>
        <v>0</v>
      </c>
      <c r="H210" s="22">
        <f t="shared" si="62"/>
        <v>0</v>
      </c>
      <c r="I210" s="22">
        <f t="shared" si="62"/>
        <v>0</v>
      </c>
      <c r="J210" s="22">
        <f t="shared" si="62"/>
        <v>0</v>
      </c>
      <c r="K210" s="22">
        <f t="shared" si="62"/>
        <v>0</v>
      </c>
      <c r="L210" s="22">
        <f>L211+L212+L213</f>
        <v>0</v>
      </c>
      <c r="M210" s="22">
        <f t="shared" si="62"/>
        <v>0</v>
      </c>
      <c r="N210" s="107"/>
    </row>
    <row r="211" spans="1:16" ht="21.75" hidden="1" customHeight="1" outlineLevel="1">
      <c r="A211" s="50" t="s">
        <v>89</v>
      </c>
      <c r="B211" s="112"/>
      <c r="C211" s="115"/>
      <c r="D211" s="115"/>
      <c r="E211" s="115"/>
      <c r="F211" s="12" t="s">
        <v>15</v>
      </c>
      <c r="G211" s="22">
        <f t="shared" si="60"/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107"/>
    </row>
    <row r="212" spans="1:16" ht="21.75" hidden="1" customHeight="1" outlineLevel="1">
      <c r="A212" s="51"/>
      <c r="B212" s="112"/>
      <c r="C212" s="115"/>
      <c r="D212" s="115"/>
      <c r="E212" s="115"/>
      <c r="F212" s="12" t="s">
        <v>16</v>
      </c>
      <c r="G212" s="22">
        <f t="shared" si="60"/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107"/>
    </row>
    <row r="213" spans="1:16" ht="21.75" hidden="1" customHeight="1" outlineLevel="1">
      <c r="A213" s="51"/>
      <c r="B213" s="113"/>
      <c r="C213" s="116"/>
      <c r="D213" s="116"/>
      <c r="E213" s="116"/>
      <c r="F213" s="12" t="s">
        <v>17</v>
      </c>
      <c r="G213" s="22">
        <f t="shared" si="60"/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107"/>
    </row>
    <row r="214" spans="1:16" ht="21.75" hidden="1" customHeight="1" outlineLevel="1">
      <c r="A214" s="108" t="s">
        <v>91</v>
      </c>
      <c r="B214" s="111" t="s">
        <v>90</v>
      </c>
      <c r="C214" s="114" t="s">
        <v>11</v>
      </c>
      <c r="D214" s="114"/>
      <c r="E214" s="114" t="s">
        <v>153</v>
      </c>
      <c r="F214" s="12" t="s">
        <v>14</v>
      </c>
      <c r="G214" s="22">
        <f t="shared" ref="G214:M214" si="63">G215+G216+G217</f>
        <v>0</v>
      </c>
      <c r="H214" s="22">
        <f t="shared" si="63"/>
        <v>0</v>
      </c>
      <c r="I214" s="22">
        <f t="shared" si="63"/>
        <v>0</v>
      </c>
      <c r="J214" s="22">
        <f t="shared" si="63"/>
        <v>0</v>
      </c>
      <c r="K214" s="22">
        <f t="shared" si="63"/>
        <v>0</v>
      </c>
      <c r="L214" s="22">
        <f>L215+L216+L217</f>
        <v>0</v>
      </c>
      <c r="M214" s="22">
        <f t="shared" si="63"/>
        <v>0</v>
      </c>
      <c r="N214" s="107"/>
    </row>
    <row r="215" spans="1:16" ht="21.75" hidden="1" customHeight="1" outlineLevel="1">
      <c r="A215" s="109"/>
      <c r="B215" s="112"/>
      <c r="C215" s="115"/>
      <c r="D215" s="115"/>
      <c r="E215" s="115"/>
      <c r="F215" s="12" t="s">
        <v>15</v>
      </c>
      <c r="G215" s="22">
        <f>H215+I215+J215+K215+M215</f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107"/>
    </row>
    <row r="216" spans="1:16" ht="21.75" hidden="1" customHeight="1" outlineLevel="1">
      <c r="A216" s="109"/>
      <c r="B216" s="112"/>
      <c r="C216" s="115"/>
      <c r="D216" s="115"/>
      <c r="E216" s="115"/>
      <c r="F216" s="12" t="s">
        <v>16</v>
      </c>
      <c r="G216" s="22">
        <f>H216+I216+J216+K216+M216</f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107"/>
    </row>
    <row r="217" spans="1:16" ht="21.75" hidden="1" customHeight="1" outlineLevel="1">
      <c r="A217" s="110"/>
      <c r="B217" s="113"/>
      <c r="C217" s="116"/>
      <c r="D217" s="116"/>
      <c r="E217" s="116"/>
      <c r="F217" s="12" t="s">
        <v>17</v>
      </c>
      <c r="G217" s="22">
        <f>H217+I217+J217+K217+M217</f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107"/>
    </row>
    <row r="218" spans="1:16" ht="21.75" hidden="1" customHeight="1" outlineLevel="1">
      <c r="A218" s="51"/>
      <c r="B218" s="111" t="s">
        <v>85</v>
      </c>
      <c r="C218" s="114" t="s">
        <v>11</v>
      </c>
      <c r="D218" s="114"/>
      <c r="E218" s="114" t="s">
        <v>153</v>
      </c>
      <c r="F218" s="12" t="s">
        <v>14</v>
      </c>
      <c r="G218" s="22">
        <f t="shared" ref="G218:M218" si="64">G219+G220+G221</f>
        <v>0</v>
      </c>
      <c r="H218" s="22">
        <f t="shared" si="64"/>
        <v>0</v>
      </c>
      <c r="I218" s="22">
        <f t="shared" si="64"/>
        <v>0</v>
      </c>
      <c r="J218" s="22">
        <f t="shared" si="64"/>
        <v>0</v>
      </c>
      <c r="K218" s="22">
        <f t="shared" si="64"/>
        <v>0</v>
      </c>
      <c r="L218" s="22">
        <f>L219+L220+L221</f>
        <v>0</v>
      </c>
      <c r="M218" s="22">
        <f t="shared" si="64"/>
        <v>0</v>
      </c>
      <c r="N218" s="107"/>
      <c r="P218" s="3"/>
    </row>
    <row r="219" spans="1:16" ht="21.75" hidden="1" customHeight="1" outlineLevel="1">
      <c r="A219" s="51"/>
      <c r="B219" s="112"/>
      <c r="C219" s="115"/>
      <c r="D219" s="115"/>
      <c r="E219" s="115"/>
      <c r="F219" s="12" t="s">
        <v>15</v>
      </c>
      <c r="G219" s="22">
        <f>H219+I219+J219+K219+M219</f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107"/>
      <c r="P219" s="3"/>
    </row>
    <row r="220" spans="1:16" ht="21.75" hidden="1" customHeight="1" outlineLevel="1">
      <c r="A220" s="50" t="s">
        <v>122</v>
      </c>
      <c r="B220" s="112"/>
      <c r="C220" s="115"/>
      <c r="D220" s="115"/>
      <c r="E220" s="115"/>
      <c r="F220" s="12" t="s">
        <v>16</v>
      </c>
      <c r="G220" s="22">
        <f>H220+I220+J220+K220+M220</f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107"/>
      <c r="P220" s="3"/>
    </row>
    <row r="221" spans="1:16" ht="21.75" hidden="1" customHeight="1" outlineLevel="1">
      <c r="A221" s="51"/>
      <c r="B221" s="113"/>
      <c r="C221" s="116"/>
      <c r="D221" s="116"/>
      <c r="E221" s="116"/>
      <c r="F221" s="12" t="s">
        <v>17</v>
      </c>
      <c r="G221" s="22">
        <f>H221+I221+J221+K221+M221</f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167"/>
      <c r="P221" s="3"/>
    </row>
    <row r="222" spans="1:16" ht="21.75" customHeight="1" collapsed="1">
      <c r="A222" s="126"/>
      <c r="B222" s="129" t="s">
        <v>141</v>
      </c>
      <c r="C222" s="132" t="s">
        <v>11</v>
      </c>
      <c r="D222" s="166" t="s">
        <v>93</v>
      </c>
      <c r="E222" s="132" t="s">
        <v>153</v>
      </c>
      <c r="F222" s="34" t="s">
        <v>14</v>
      </c>
      <c r="G222" s="35">
        <f t="shared" ref="G222:M222" si="65">G223+G224+G225</f>
        <v>23699651.289999999</v>
      </c>
      <c r="H222" s="35">
        <f t="shared" si="65"/>
        <v>1942784.25</v>
      </c>
      <c r="I222" s="35">
        <f t="shared" si="65"/>
        <v>4335490.6399999997</v>
      </c>
      <c r="J222" s="35">
        <f t="shared" si="65"/>
        <v>5072468.2399999993</v>
      </c>
      <c r="K222" s="35">
        <f t="shared" si="65"/>
        <v>6471604.9199999999</v>
      </c>
      <c r="L222" s="35">
        <f>L223+L224+L225</f>
        <v>5670475.4000000004</v>
      </c>
      <c r="M222" s="35">
        <f t="shared" si="65"/>
        <v>5877303.2400000002</v>
      </c>
      <c r="N222" s="161"/>
    </row>
    <row r="223" spans="1:16" ht="21.75" customHeight="1">
      <c r="A223" s="127"/>
      <c r="B223" s="130"/>
      <c r="C223" s="133"/>
      <c r="D223" s="133"/>
      <c r="E223" s="133"/>
      <c r="F223" s="34" t="s">
        <v>133</v>
      </c>
      <c r="G223" s="35">
        <f>H223+I223+J223+K223+M223</f>
        <v>3937369.86</v>
      </c>
      <c r="H223" s="35">
        <f t="shared" ref="H223:I225" si="66">H227+H231+H235+H243+H239</f>
        <v>1742784.25</v>
      </c>
      <c r="I223" s="35">
        <f>I227+I231+I235+I243+I239</f>
        <v>722529.92999999993</v>
      </c>
      <c r="J223" s="35">
        <f t="shared" ref="J223:M225" si="67">J227+J231+J235+J243+J239</f>
        <v>472055.68</v>
      </c>
      <c r="K223" s="35">
        <f t="shared" si="67"/>
        <v>500000</v>
      </c>
      <c r="L223" s="35">
        <f>L227+L231+L235+L243+L239</f>
        <v>500000</v>
      </c>
      <c r="M223" s="35">
        <f t="shared" si="67"/>
        <v>500000</v>
      </c>
      <c r="N223" s="162"/>
    </row>
    <row r="224" spans="1:16" ht="21.75" customHeight="1">
      <c r="A224" s="127"/>
      <c r="B224" s="130"/>
      <c r="C224" s="133"/>
      <c r="D224" s="133"/>
      <c r="E224" s="133"/>
      <c r="F224" s="34" t="s">
        <v>16</v>
      </c>
      <c r="G224" s="35">
        <f>H224+I224+J224+K224+M224</f>
        <v>19762281.43</v>
      </c>
      <c r="H224" s="35">
        <f t="shared" si="66"/>
        <v>200000</v>
      </c>
      <c r="I224" s="35">
        <f t="shared" si="66"/>
        <v>3612960.71</v>
      </c>
      <c r="J224" s="35">
        <f t="shared" si="67"/>
        <v>4600412.5599999996</v>
      </c>
      <c r="K224" s="35">
        <f t="shared" si="67"/>
        <v>5971604.9199999999</v>
      </c>
      <c r="L224" s="35">
        <f>L228+L232+L236+L244+L240</f>
        <v>5170475.4000000004</v>
      </c>
      <c r="M224" s="35">
        <f t="shared" si="67"/>
        <v>5377303.2400000002</v>
      </c>
      <c r="N224" s="162"/>
    </row>
    <row r="225" spans="1:14" ht="21.75" customHeight="1">
      <c r="A225" s="128"/>
      <c r="B225" s="131"/>
      <c r="C225" s="134"/>
      <c r="D225" s="134"/>
      <c r="E225" s="134"/>
      <c r="F225" s="34" t="s">
        <v>17</v>
      </c>
      <c r="G225" s="35">
        <f>H225+I225+J225+K225+M225</f>
        <v>0</v>
      </c>
      <c r="H225" s="35">
        <f t="shared" si="66"/>
        <v>0</v>
      </c>
      <c r="I225" s="35">
        <f t="shared" si="66"/>
        <v>0</v>
      </c>
      <c r="J225" s="35">
        <f t="shared" si="67"/>
        <v>0</v>
      </c>
      <c r="K225" s="35">
        <f t="shared" si="67"/>
        <v>0</v>
      </c>
      <c r="L225" s="35">
        <f>L229+L233+L237+L245+L241</f>
        <v>0</v>
      </c>
      <c r="M225" s="35">
        <f t="shared" si="67"/>
        <v>0</v>
      </c>
      <c r="N225" s="163"/>
    </row>
    <row r="226" spans="1:14" ht="21.75" customHeight="1">
      <c r="A226" s="108" t="s">
        <v>18</v>
      </c>
      <c r="B226" s="111" t="s">
        <v>138</v>
      </c>
      <c r="C226" s="114" t="s">
        <v>11</v>
      </c>
      <c r="D226" s="117" t="s">
        <v>95</v>
      </c>
      <c r="E226" s="114" t="s">
        <v>153</v>
      </c>
      <c r="F226" s="12" t="s">
        <v>14</v>
      </c>
      <c r="G226" s="22">
        <f t="shared" ref="G226:M226" si="68">G227+G228+G229</f>
        <v>2525881.79</v>
      </c>
      <c r="H226" s="22">
        <f t="shared" si="68"/>
        <v>1426776.79</v>
      </c>
      <c r="I226" s="22">
        <f t="shared" si="68"/>
        <v>0</v>
      </c>
      <c r="J226" s="48">
        <f t="shared" si="68"/>
        <v>50969</v>
      </c>
      <c r="K226" s="22">
        <f t="shared" si="68"/>
        <v>1024068</v>
      </c>
      <c r="L226" s="22">
        <f>L227+L228+L229</f>
        <v>24068</v>
      </c>
      <c r="M226" s="22">
        <f t="shared" si="68"/>
        <v>24068</v>
      </c>
      <c r="N226" s="164" t="s">
        <v>150</v>
      </c>
    </row>
    <row r="227" spans="1:14" ht="21.75" customHeight="1">
      <c r="A227" s="109"/>
      <c r="B227" s="112"/>
      <c r="C227" s="115"/>
      <c r="D227" s="118"/>
      <c r="E227" s="115"/>
      <c r="F227" s="12" t="s">
        <v>133</v>
      </c>
      <c r="G227" s="22">
        <f>H227+I227+J227+K227+M227</f>
        <v>1525881.79</v>
      </c>
      <c r="H227" s="22">
        <f>76776.79+1000000+350000</f>
        <v>1426776.79</v>
      </c>
      <c r="I227" s="22">
        <v>0</v>
      </c>
      <c r="J227" s="48">
        <f>'[9]2022 год'!$D$15+'[9]2022 год'!$E$19</f>
        <v>50969</v>
      </c>
      <c r="K227" s="22">
        <v>24068</v>
      </c>
      <c r="L227" s="22">
        <v>24068</v>
      </c>
      <c r="M227" s="22">
        <v>24068</v>
      </c>
      <c r="N227" s="165"/>
    </row>
    <row r="228" spans="1:14" ht="21.75" customHeight="1">
      <c r="A228" s="109"/>
      <c r="B228" s="112"/>
      <c r="C228" s="115"/>
      <c r="D228" s="118"/>
      <c r="E228" s="115"/>
      <c r="F228" s="12" t="s">
        <v>16</v>
      </c>
      <c r="G228" s="22">
        <f>H228+I228+J228+K228+M228</f>
        <v>1000000</v>
      </c>
      <c r="H228" s="22">
        <v>0</v>
      </c>
      <c r="I228" s="22">
        <v>0</v>
      </c>
      <c r="J228" s="48">
        <v>0</v>
      </c>
      <c r="K228" s="22">
        <v>1000000</v>
      </c>
      <c r="L228" s="22">
        <v>0</v>
      </c>
      <c r="M228" s="22">
        <v>0</v>
      </c>
      <c r="N228" s="165"/>
    </row>
    <row r="229" spans="1:14" ht="21.75" customHeight="1">
      <c r="A229" s="110"/>
      <c r="B229" s="113"/>
      <c r="C229" s="115"/>
      <c r="D229" s="119"/>
      <c r="E229" s="116"/>
      <c r="F229" s="12" t="s">
        <v>17</v>
      </c>
      <c r="G229" s="22">
        <f>H229+I229+J229+K229+M229</f>
        <v>0</v>
      </c>
      <c r="H229" s="22">
        <v>0</v>
      </c>
      <c r="I229" s="22">
        <v>0</v>
      </c>
      <c r="J229" s="48">
        <v>0</v>
      </c>
      <c r="K229" s="22">
        <v>0</v>
      </c>
      <c r="L229" s="22">
        <v>0</v>
      </c>
      <c r="M229" s="22">
        <v>0</v>
      </c>
      <c r="N229" s="165"/>
    </row>
    <row r="230" spans="1:14" ht="21.75" customHeight="1">
      <c r="A230" s="108" t="s">
        <v>78</v>
      </c>
      <c r="B230" s="111" t="s">
        <v>96</v>
      </c>
      <c r="C230" s="114" t="s">
        <v>11</v>
      </c>
      <c r="D230" s="117" t="s">
        <v>93</v>
      </c>
      <c r="E230" s="114" t="s">
        <v>153</v>
      </c>
      <c r="F230" s="12" t="s">
        <v>14</v>
      </c>
      <c r="G230" s="22">
        <f t="shared" ref="G230:M230" si="69">G231+G232+G233</f>
        <v>1493382.4000000001</v>
      </c>
      <c r="H230" s="22">
        <f t="shared" si="69"/>
        <v>199970.46</v>
      </c>
      <c r="I230" s="22">
        <f t="shared" si="69"/>
        <v>422529.93</v>
      </c>
      <c r="J230" s="48">
        <f t="shared" si="69"/>
        <v>279313.93</v>
      </c>
      <c r="K230" s="22">
        <f t="shared" si="69"/>
        <v>295784.03999999998</v>
      </c>
      <c r="L230" s="22">
        <f>L231+L232+L233</f>
        <v>295784.03999999998</v>
      </c>
      <c r="M230" s="22">
        <f t="shared" si="69"/>
        <v>295784.03999999998</v>
      </c>
      <c r="N230" s="165"/>
    </row>
    <row r="231" spans="1:14" ht="21.75" customHeight="1">
      <c r="A231" s="109"/>
      <c r="B231" s="112"/>
      <c r="C231" s="115"/>
      <c r="D231" s="118"/>
      <c r="E231" s="115"/>
      <c r="F231" s="12" t="s">
        <v>133</v>
      </c>
      <c r="G231" s="22">
        <f>H231+I231+J231+K231+M231</f>
        <v>1493382.4000000001</v>
      </c>
      <c r="H231" s="22">
        <f>190170.46+9800</f>
        <v>199970.46</v>
      </c>
      <c r="I231" s="22">
        <v>422529.93</v>
      </c>
      <c r="J231" s="48">
        <f>'[9]2022 год'!$C$20+'[9]2022 год'!$F$20-27944.32</f>
        <v>279313.93</v>
      </c>
      <c r="K231" s="22">
        <v>295784.03999999998</v>
      </c>
      <c r="L231" s="22">
        <v>295784.03999999998</v>
      </c>
      <c r="M231" s="22">
        <v>295784.03999999998</v>
      </c>
      <c r="N231" s="165"/>
    </row>
    <row r="232" spans="1:14" ht="21.75" customHeight="1">
      <c r="A232" s="109"/>
      <c r="B232" s="112"/>
      <c r="C232" s="115"/>
      <c r="D232" s="118"/>
      <c r="E232" s="115"/>
      <c r="F232" s="12" t="s">
        <v>16</v>
      </c>
      <c r="G232" s="22">
        <f>H232+I232+J232+K232+M232</f>
        <v>0</v>
      </c>
      <c r="H232" s="22">
        <v>0</v>
      </c>
      <c r="I232" s="22">
        <v>0</v>
      </c>
      <c r="J232" s="48">
        <v>0</v>
      </c>
      <c r="K232" s="22">
        <v>0</v>
      </c>
      <c r="L232" s="22">
        <v>0</v>
      </c>
      <c r="M232" s="22">
        <v>0</v>
      </c>
      <c r="N232" s="165"/>
    </row>
    <row r="233" spans="1:14" ht="21.75" customHeight="1">
      <c r="A233" s="110"/>
      <c r="B233" s="113"/>
      <c r="C233" s="115"/>
      <c r="D233" s="119"/>
      <c r="E233" s="116"/>
      <c r="F233" s="12" t="s">
        <v>17</v>
      </c>
      <c r="G233" s="22">
        <f>H233+I233+J233+K233+M233</f>
        <v>0</v>
      </c>
      <c r="H233" s="22">
        <v>0</v>
      </c>
      <c r="I233" s="22">
        <v>0</v>
      </c>
      <c r="J233" s="48">
        <v>0</v>
      </c>
      <c r="K233" s="22">
        <v>0</v>
      </c>
      <c r="L233" s="22">
        <v>0</v>
      </c>
      <c r="M233" s="22">
        <v>0</v>
      </c>
      <c r="N233" s="165"/>
    </row>
    <row r="234" spans="1:14" ht="21.75" customHeight="1">
      <c r="A234" s="108" t="s">
        <v>81</v>
      </c>
      <c r="B234" s="111" t="s">
        <v>97</v>
      </c>
      <c r="C234" s="114" t="s">
        <v>11</v>
      </c>
      <c r="D234" s="117" t="s">
        <v>42</v>
      </c>
      <c r="E234" s="114" t="s">
        <v>153</v>
      </c>
      <c r="F234" s="12" t="s">
        <v>14</v>
      </c>
      <c r="G234" s="22">
        <f t="shared" ref="G234:M234" si="70">G235+G236+G237</f>
        <v>0</v>
      </c>
      <c r="H234" s="22">
        <f t="shared" si="70"/>
        <v>0</v>
      </c>
      <c r="I234" s="22">
        <f t="shared" si="70"/>
        <v>0</v>
      </c>
      <c r="J234" s="48">
        <f t="shared" si="70"/>
        <v>0</v>
      </c>
      <c r="K234" s="22">
        <f t="shared" si="70"/>
        <v>0</v>
      </c>
      <c r="L234" s="22">
        <f>L235+L236+L237</f>
        <v>0</v>
      </c>
      <c r="M234" s="22">
        <f t="shared" si="70"/>
        <v>0</v>
      </c>
      <c r="N234" s="165"/>
    </row>
    <row r="235" spans="1:14" ht="21.75" customHeight="1">
      <c r="A235" s="109"/>
      <c r="B235" s="112"/>
      <c r="C235" s="115"/>
      <c r="D235" s="118"/>
      <c r="E235" s="115"/>
      <c r="F235" s="12" t="s">
        <v>133</v>
      </c>
      <c r="G235" s="22">
        <f>H235+I235+J235+K235+M235</f>
        <v>0</v>
      </c>
      <c r="H235" s="22">
        <v>0</v>
      </c>
      <c r="I235" s="22">
        <v>0</v>
      </c>
      <c r="J235" s="48">
        <v>0</v>
      </c>
      <c r="K235" s="22"/>
      <c r="L235" s="22">
        <v>0</v>
      </c>
      <c r="M235" s="22">
        <v>0</v>
      </c>
      <c r="N235" s="165"/>
    </row>
    <row r="236" spans="1:14" ht="21.75" customHeight="1">
      <c r="A236" s="109"/>
      <c r="B236" s="112"/>
      <c r="C236" s="115"/>
      <c r="D236" s="118"/>
      <c r="E236" s="115"/>
      <c r="F236" s="12" t="s">
        <v>16</v>
      </c>
      <c r="G236" s="22">
        <f>H236+I236+J236+K236+M236</f>
        <v>0</v>
      </c>
      <c r="H236" s="22">
        <v>0</v>
      </c>
      <c r="I236" s="22">
        <v>0</v>
      </c>
      <c r="J236" s="48">
        <v>0</v>
      </c>
      <c r="K236" s="22">
        <v>0</v>
      </c>
      <c r="L236" s="22">
        <v>0</v>
      </c>
      <c r="M236" s="22">
        <v>0</v>
      </c>
      <c r="N236" s="165"/>
    </row>
    <row r="237" spans="1:14" ht="21.75" customHeight="1">
      <c r="A237" s="110"/>
      <c r="B237" s="113"/>
      <c r="C237" s="115"/>
      <c r="D237" s="119"/>
      <c r="E237" s="116"/>
      <c r="F237" s="12" t="s">
        <v>17</v>
      </c>
      <c r="G237" s="22">
        <f>H237+I237+J237+K237+M237</f>
        <v>0</v>
      </c>
      <c r="H237" s="22">
        <v>0</v>
      </c>
      <c r="I237" s="22">
        <v>0</v>
      </c>
      <c r="J237" s="48">
        <v>0</v>
      </c>
      <c r="K237" s="22">
        <v>0</v>
      </c>
      <c r="L237" s="22">
        <v>0</v>
      </c>
      <c r="M237" s="22">
        <v>0</v>
      </c>
      <c r="N237" s="165"/>
    </row>
    <row r="238" spans="1:14" ht="21.75" customHeight="1">
      <c r="A238" s="108" t="s">
        <v>94</v>
      </c>
      <c r="B238" s="111" t="s">
        <v>98</v>
      </c>
      <c r="C238" s="114" t="s">
        <v>11</v>
      </c>
      <c r="D238" s="117" t="s">
        <v>99</v>
      </c>
      <c r="E238" s="114" t="s">
        <v>153</v>
      </c>
      <c r="F238" s="12" t="s">
        <v>14</v>
      </c>
      <c r="G238" s="22">
        <f t="shared" ref="G238:M238" si="71">G239+G240+G241</f>
        <v>1439105.67</v>
      </c>
      <c r="H238" s="22">
        <f t="shared" si="71"/>
        <v>316037</v>
      </c>
      <c r="I238" s="22">
        <f t="shared" si="71"/>
        <v>390000</v>
      </c>
      <c r="J238" s="48">
        <f t="shared" si="71"/>
        <v>372772.75</v>
      </c>
      <c r="K238" s="22">
        <f t="shared" si="71"/>
        <v>180147.96</v>
      </c>
      <c r="L238" s="22">
        <f>L239+L240+L241</f>
        <v>180147.96</v>
      </c>
      <c r="M238" s="22">
        <f t="shared" si="71"/>
        <v>180147.96</v>
      </c>
      <c r="N238" s="165"/>
    </row>
    <row r="239" spans="1:14" ht="21.75" customHeight="1">
      <c r="A239" s="109"/>
      <c r="B239" s="112"/>
      <c r="C239" s="115"/>
      <c r="D239" s="118"/>
      <c r="E239" s="115"/>
      <c r="F239" s="12" t="s">
        <v>133</v>
      </c>
      <c r="G239" s="22">
        <f>H239+I239+J239+K239+M239</f>
        <v>718105.66999999993</v>
      </c>
      <c r="H239" s="22">
        <v>116037</v>
      </c>
      <c r="I239" s="22">
        <f>157703.92-57703.92</f>
        <v>100000.00000000001</v>
      </c>
      <c r="J239" s="48">
        <f>110000+'[9]2022 год'!$D$19</f>
        <v>141772.75</v>
      </c>
      <c r="K239" s="22">
        <v>180147.96</v>
      </c>
      <c r="L239" s="22">
        <v>180147.96</v>
      </c>
      <c r="M239" s="22">
        <v>180147.96</v>
      </c>
      <c r="N239" s="165"/>
    </row>
    <row r="240" spans="1:14" ht="21.75" customHeight="1">
      <c r="A240" s="109"/>
      <c r="B240" s="112"/>
      <c r="C240" s="115"/>
      <c r="D240" s="118"/>
      <c r="E240" s="115"/>
      <c r="F240" s="12" t="s">
        <v>16</v>
      </c>
      <c r="G240" s="22">
        <f>H240+I240+J240+K240+M240</f>
        <v>721000</v>
      </c>
      <c r="H240" s="22">
        <v>200000</v>
      </c>
      <c r="I240" s="22">
        <v>290000</v>
      </c>
      <c r="J240" s="48">
        <v>231000</v>
      </c>
      <c r="K240" s="22">
        <v>0</v>
      </c>
      <c r="L240" s="22">
        <v>0</v>
      </c>
      <c r="M240" s="22">
        <v>0</v>
      </c>
      <c r="N240" s="165"/>
    </row>
    <row r="241" spans="1:14" ht="21.75" customHeight="1">
      <c r="A241" s="110"/>
      <c r="B241" s="113"/>
      <c r="C241" s="115"/>
      <c r="D241" s="119"/>
      <c r="E241" s="116"/>
      <c r="F241" s="12" t="s">
        <v>17</v>
      </c>
      <c r="G241" s="22">
        <f>H241+I241+J241+K241+M241</f>
        <v>0</v>
      </c>
      <c r="H241" s="22">
        <v>0</v>
      </c>
      <c r="I241" s="22">
        <v>0</v>
      </c>
      <c r="J241" s="48">
        <v>0</v>
      </c>
      <c r="K241" s="22">
        <v>0</v>
      </c>
      <c r="L241" s="22">
        <v>0</v>
      </c>
      <c r="M241" s="22">
        <v>0</v>
      </c>
      <c r="N241" s="165"/>
    </row>
    <row r="242" spans="1:14" ht="21.75" customHeight="1">
      <c r="A242" s="108" t="s">
        <v>102</v>
      </c>
      <c r="B242" s="111" t="s">
        <v>100</v>
      </c>
      <c r="C242" s="114" t="s">
        <v>11</v>
      </c>
      <c r="D242" s="117" t="s">
        <v>101</v>
      </c>
      <c r="E242" s="114" t="s">
        <v>153</v>
      </c>
      <c r="F242" s="12" t="s">
        <v>14</v>
      </c>
      <c r="G242" s="22">
        <f t="shared" ref="G242:M242" si="72">G243+G244+G245</f>
        <v>18241281.43</v>
      </c>
      <c r="H242" s="22">
        <f t="shared" si="72"/>
        <v>0</v>
      </c>
      <c r="I242" s="22">
        <f t="shared" si="72"/>
        <v>3522960.71</v>
      </c>
      <c r="J242" s="48">
        <f t="shared" si="72"/>
        <v>4369412.5599999996</v>
      </c>
      <c r="K242" s="22">
        <f t="shared" si="72"/>
        <v>4971604.92</v>
      </c>
      <c r="L242" s="22">
        <f>L243+L244+L245</f>
        <v>5170475.4000000004</v>
      </c>
      <c r="M242" s="22">
        <f t="shared" si="72"/>
        <v>5377303.2400000002</v>
      </c>
      <c r="N242" s="165"/>
    </row>
    <row r="243" spans="1:14" ht="21.75" customHeight="1">
      <c r="A243" s="109"/>
      <c r="B243" s="112"/>
      <c r="C243" s="115"/>
      <c r="D243" s="118"/>
      <c r="E243" s="115"/>
      <c r="F243" s="12" t="s">
        <v>133</v>
      </c>
      <c r="G243" s="22">
        <f>H243+I243+J243+K243+M243</f>
        <v>200000</v>
      </c>
      <c r="H243" s="22">
        <v>0</v>
      </c>
      <c r="I243" s="22">
        <f>200000+572400-572400</f>
        <v>200000</v>
      </c>
      <c r="J243" s="48">
        <v>0</v>
      </c>
      <c r="K243" s="22">
        <v>0</v>
      </c>
      <c r="L243" s="22">
        <v>0</v>
      </c>
      <c r="M243" s="22">
        <v>0</v>
      </c>
      <c r="N243" s="165"/>
    </row>
    <row r="244" spans="1:14" ht="21.75" customHeight="1">
      <c r="A244" s="109"/>
      <c r="B244" s="112"/>
      <c r="C244" s="115"/>
      <c r="D244" s="118"/>
      <c r="E244" s="115"/>
      <c r="F244" s="12" t="s">
        <v>16</v>
      </c>
      <c r="G244" s="22">
        <f>H244+I244+J244+K244+M244</f>
        <v>18041281.43</v>
      </c>
      <c r="H244" s="22">
        <v>0</v>
      </c>
      <c r="I244" s="22">
        <f>4922960.71-1600000</f>
        <v>3322960.71</v>
      </c>
      <c r="J244" s="48">
        <v>4369412.5599999996</v>
      </c>
      <c r="K244" s="22">
        <f>'[1]Бюджет 2023-2025 МБ, ОБ, ФБ'!$J$65</f>
        <v>4971604.92</v>
      </c>
      <c r="L244" s="22">
        <f>'[1]Бюджет 2023-2025 МБ, ОБ, ФБ'!$Q$65</f>
        <v>5170475.4000000004</v>
      </c>
      <c r="M244" s="22">
        <f>'[1]Бюджет 2023-2025 МБ, ОБ, ФБ'!$R$65</f>
        <v>5377303.2400000002</v>
      </c>
      <c r="N244" s="165"/>
    </row>
    <row r="245" spans="1:14" ht="21.75" customHeight="1">
      <c r="A245" s="110"/>
      <c r="B245" s="113"/>
      <c r="C245" s="115"/>
      <c r="D245" s="119"/>
      <c r="E245" s="116"/>
      <c r="F245" s="12" t="s">
        <v>17</v>
      </c>
      <c r="G245" s="22">
        <f>H245+I245+J245+K245+M245</f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165"/>
    </row>
    <row r="246" spans="1:14" ht="21.75" customHeight="1">
      <c r="A246" s="126"/>
      <c r="B246" s="129" t="s">
        <v>142</v>
      </c>
      <c r="C246" s="132" t="s">
        <v>11</v>
      </c>
      <c r="D246" s="135" t="s">
        <v>42</v>
      </c>
      <c r="E246" s="132" t="s">
        <v>153</v>
      </c>
      <c r="F246" s="34" t="s">
        <v>14</v>
      </c>
      <c r="G246" s="35">
        <f t="shared" ref="G246:M246" si="73">G247+G248+G249</f>
        <v>4640995.75</v>
      </c>
      <c r="H246" s="35">
        <f t="shared" si="73"/>
        <v>600000</v>
      </c>
      <c r="I246" s="35">
        <f t="shared" si="73"/>
        <v>557000</v>
      </c>
      <c r="J246" s="35">
        <f t="shared" si="73"/>
        <v>550591.55000000005</v>
      </c>
      <c r="K246" s="35">
        <f t="shared" si="73"/>
        <v>1466702.1</v>
      </c>
      <c r="L246" s="35">
        <f>L247+L248+L249</f>
        <v>1466702.1</v>
      </c>
      <c r="M246" s="35">
        <f t="shared" si="73"/>
        <v>1466702.1</v>
      </c>
      <c r="N246" s="161"/>
    </row>
    <row r="247" spans="1:14" ht="21.75" customHeight="1">
      <c r="A247" s="127"/>
      <c r="B247" s="130"/>
      <c r="C247" s="133"/>
      <c r="D247" s="136"/>
      <c r="E247" s="133"/>
      <c r="F247" s="34" t="s">
        <v>133</v>
      </c>
      <c r="G247" s="35">
        <f>H247+I247+J247+K247+M247</f>
        <v>4640995.75</v>
      </c>
      <c r="H247" s="35">
        <f t="shared" ref="H247:M247" si="74">H251+H259+H275+H279+H255+H263+H267+H271</f>
        <v>600000</v>
      </c>
      <c r="I247" s="35">
        <f t="shared" si="74"/>
        <v>557000</v>
      </c>
      <c r="J247" s="35">
        <f t="shared" si="74"/>
        <v>550591.55000000005</v>
      </c>
      <c r="K247" s="35">
        <f t="shared" si="74"/>
        <v>1466702.1</v>
      </c>
      <c r="L247" s="35">
        <f t="shared" si="74"/>
        <v>1466702.1</v>
      </c>
      <c r="M247" s="35">
        <f t="shared" si="74"/>
        <v>1466702.1</v>
      </c>
      <c r="N247" s="162"/>
    </row>
    <row r="248" spans="1:14" ht="21.75" customHeight="1">
      <c r="A248" s="127"/>
      <c r="B248" s="130"/>
      <c r="C248" s="133"/>
      <c r="D248" s="136"/>
      <c r="E248" s="133"/>
      <c r="F248" s="34" t="s">
        <v>16</v>
      </c>
      <c r="G248" s="35">
        <f>H248+I248+J248+K248+M248</f>
        <v>0</v>
      </c>
      <c r="H248" s="35">
        <f t="shared" ref="H248:M249" si="75">H252+H260+H276+H280+H256+H264+H268+H272</f>
        <v>0</v>
      </c>
      <c r="I248" s="35">
        <f t="shared" si="75"/>
        <v>0</v>
      </c>
      <c r="J248" s="35">
        <f t="shared" si="75"/>
        <v>0</v>
      </c>
      <c r="K248" s="35">
        <f t="shared" si="75"/>
        <v>0</v>
      </c>
      <c r="L248" s="35">
        <f t="shared" si="75"/>
        <v>0</v>
      </c>
      <c r="M248" s="35">
        <f t="shared" si="75"/>
        <v>0</v>
      </c>
      <c r="N248" s="162"/>
    </row>
    <row r="249" spans="1:14" ht="21.75" customHeight="1">
      <c r="A249" s="128"/>
      <c r="B249" s="131"/>
      <c r="C249" s="134"/>
      <c r="D249" s="137"/>
      <c r="E249" s="134"/>
      <c r="F249" s="34" t="s">
        <v>17</v>
      </c>
      <c r="G249" s="35">
        <f>H249+I249+J249+K249+M249</f>
        <v>0</v>
      </c>
      <c r="H249" s="35">
        <f t="shared" si="75"/>
        <v>0</v>
      </c>
      <c r="I249" s="35">
        <f t="shared" si="75"/>
        <v>0</v>
      </c>
      <c r="J249" s="35">
        <f t="shared" si="75"/>
        <v>0</v>
      </c>
      <c r="K249" s="35">
        <f t="shared" si="75"/>
        <v>0</v>
      </c>
      <c r="L249" s="35">
        <f t="shared" si="75"/>
        <v>0</v>
      </c>
      <c r="M249" s="35">
        <f t="shared" si="75"/>
        <v>0</v>
      </c>
      <c r="N249" s="163"/>
    </row>
    <row r="250" spans="1:14" ht="21.75" customHeight="1">
      <c r="A250" s="108" t="s">
        <v>18</v>
      </c>
      <c r="B250" s="111" t="s">
        <v>104</v>
      </c>
      <c r="C250" s="114" t="s">
        <v>11</v>
      </c>
      <c r="D250" s="117" t="s">
        <v>42</v>
      </c>
      <c r="E250" s="114" t="s">
        <v>153</v>
      </c>
      <c r="F250" s="12" t="s">
        <v>14</v>
      </c>
      <c r="G250" s="22">
        <f t="shared" ref="G250:M250" si="76">G251+G252+G253</f>
        <v>952762.74</v>
      </c>
      <c r="H250" s="22">
        <f t="shared" si="76"/>
        <v>235000</v>
      </c>
      <c r="I250" s="22">
        <f t="shared" si="76"/>
        <v>197749.8</v>
      </c>
      <c r="J250" s="22">
        <f t="shared" si="76"/>
        <v>196012.94</v>
      </c>
      <c r="K250" s="22">
        <f t="shared" si="76"/>
        <v>162000</v>
      </c>
      <c r="L250" s="22">
        <f>L251+L252+L253</f>
        <v>162000</v>
      </c>
      <c r="M250" s="22">
        <f t="shared" si="76"/>
        <v>162000</v>
      </c>
      <c r="N250" s="156" t="s">
        <v>151</v>
      </c>
    </row>
    <row r="251" spans="1:14" ht="21.75" customHeight="1">
      <c r="A251" s="109"/>
      <c r="B251" s="112"/>
      <c r="C251" s="115"/>
      <c r="D251" s="118"/>
      <c r="E251" s="115"/>
      <c r="F251" s="12" t="s">
        <v>133</v>
      </c>
      <c r="G251" s="22">
        <f>H251+I251+J251+K251+M251</f>
        <v>952762.74</v>
      </c>
      <c r="H251" s="22">
        <v>235000</v>
      </c>
      <c r="I251" s="22">
        <f>252000-I259-4250.2</f>
        <v>197749.8</v>
      </c>
      <c r="J251" s="22">
        <f>202000+[10]ИЦ!$F$19</f>
        <v>196012.94</v>
      </c>
      <c r="K251" s="22">
        <f>[11]Лист1!$E$13</f>
        <v>162000</v>
      </c>
      <c r="L251" s="22">
        <v>162000</v>
      </c>
      <c r="M251" s="22">
        <v>162000</v>
      </c>
      <c r="N251" s="156"/>
    </row>
    <row r="252" spans="1:14" ht="21.75" customHeight="1">
      <c r="A252" s="109"/>
      <c r="B252" s="112"/>
      <c r="C252" s="115"/>
      <c r="D252" s="118"/>
      <c r="E252" s="115"/>
      <c r="F252" s="12" t="s">
        <v>16</v>
      </c>
      <c r="G252" s="22">
        <f>H252+I252+J252+K252+M252</f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156"/>
    </row>
    <row r="253" spans="1:14" ht="21.75" customHeight="1">
      <c r="A253" s="110"/>
      <c r="B253" s="113"/>
      <c r="C253" s="115"/>
      <c r="D253" s="119"/>
      <c r="E253" s="116"/>
      <c r="F253" s="12" t="s">
        <v>17</v>
      </c>
      <c r="G253" s="22">
        <f>H253+I253+J253+K253+M253</f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156"/>
    </row>
    <row r="254" spans="1:14" ht="21.75" customHeight="1">
      <c r="A254" s="114" t="s">
        <v>25</v>
      </c>
      <c r="B254" s="111" t="s">
        <v>105</v>
      </c>
      <c r="C254" s="114" t="s">
        <v>11</v>
      </c>
      <c r="D254" s="117" t="s">
        <v>42</v>
      </c>
      <c r="E254" s="114" t="s">
        <v>153</v>
      </c>
      <c r="F254" s="12" t="s">
        <v>14</v>
      </c>
      <c r="G254" s="22">
        <f t="shared" ref="G254:M254" si="77">G255+G256+G257</f>
        <v>538828.81000000006</v>
      </c>
      <c r="H254" s="22">
        <f t="shared" si="77"/>
        <v>125000</v>
      </c>
      <c r="I254" s="22">
        <f t="shared" si="77"/>
        <v>109250.2</v>
      </c>
      <c r="J254" s="22">
        <f t="shared" si="77"/>
        <v>104578.61</v>
      </c>
      <c r="K254" s="22">
        <f t="shared" si="77"/>
        <v>100000</v>
      </c>
      <c r="L254" s="22">
        <f>L255+L256+L257</f>
        <v>100000</v>
      </c>
      <c r="M254" s="22">
        <f t="shared" si="77"/>
        <v>100000</v>
      </c>
      <c r="N254" s="156"/>
    </row>
    <row r="255" spans="1:14" ht="21.75" customHeight="1">
      <c r="A255" s="115"/>
      <c r="B255" s="112"/>
      <c r="C255" s="115"/>
      <c r="D255" s="118"/>
      <c r="E255" s="115"/>
      <c r="F255" s="12" t="s">
        <v>133</v>
      </c>
      <c r="G255" s="22">
        <f>H255+I255+J255+K255+M255</f>
        <v>538828.81000000006</v>
      </c>
      <c r="H255" s="22">
        <v>125000</v>
      </c>
      <c r="I255" s="22">
        <f>105000+4250.2</f>
        <v>109250.2</v>
      </c>
      <c r="J255" s="22">
        <f>105000-421.39</f>
        <v>104578.61</v>
      </c>
      <c r="K255" s="22">
        <f>[11]Лист1!$E$11</f>
        <v>100000</v>
      </c>
      <c r="L255" s="22">
        <v>100000</v>
      </c>
      <c r="M255" s="22">
        <v>100000</v>
      </c>
      <c r="N255" s="156"/>
    </row>
    <row r="256" spans="1:14" ht="21.75" customHeight="1">
      <c r="A256" s="115"/>
      <c r="B256" s="112"/>
      <c r="C256" s="115"/>
      <c r="D256" s="118"/>
      <c r="E256" s="115"/>
      <c r="F256" s="12" t="s">
        <v>16</v>
      </c>
      <c r="G256" s="22">
        <f>H256+I256+J256+K256+M256</f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156"/>
    </row>
    <row r="257" spans="1:14" ht="21.75" customHeight="1">
      <c r="A257" s="116"/>
      <c r="B257" s="113"/>
      <c r="C257" s="115"/>
      <c r="D257" s="119"/>
      <c r="E257" s="116"/>
      <c r="F257" s="12" t="s">
        <v>17</v>
      </c>
      <c r="G257" s="22">
        <f>H257+I257+J257+K257+M257</f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156"/>
    </row>
    <row r="258" spans="1:14" ht="21.75" customHeight="1">
      <c r="A258" s="108" t="s">
        <v>44</v>
      </c>
      <c r="B258" s="111" t="s">
        <v>107</v>
      </c>
      <c r="C258" s="114" t="s">
        <v>11</v>
      </c>
      <c r="D258" s="117" t="s">
        <v>42</v>
      </c>
      <c r="E258" s="114" t="s">
        <v>153</v>
      </c>
      <c r="F258" s="12" t="s">
        <v>14</v>
      </c>
      <c r="G258" s="22">
        <f t="shared" ref="G258:M258" si="78">G259+G260+G261</f>
        <v>260000</v>
      </c>
      <c r="H258" s="22">
        <f t="shared" si="78"/>
        <v>40000</v>
      </c>
      <c r="I258" s="22">
        <f t="shared" si="78"/>
        <v>50000</v>
      </c>
      <c r="J258" s="22">
        <f t="shared" si="78"/>
        <v>50000</v>
      </c>
      <c r="K258" s="22">
        <f t="shared" si="78"/>
        <v>60000</v>
      </c>
      <c r="L258" s="22">
        <f>L259+L260+L261</f>
        <v>60000</v>
      </c>
      <c r="M258" s="22">
        <f t="shared" si="78"/>
        <v>60000</v>
      </c>
      <c r="N258" s="156"/>
    </row>
    <row r="259" spans="1:14" ht="21.75" customHeight="1">
      <c r="A259" s="109"/>
      <c r="B259" s="112"/>
      <c r="C259" s="115"/>
      <c r="D259" s="118"/>
      <c r="E259" s="115"/>
      <c r="F259" s="12" t="s">
        <v>133</v>
      </c>
      <c r="G259" s="22">
        <f>H259+I259+J259+K259+M259</f>
        <v>260000</v>
      </c>
      <c r="H259" s="22">
        <v>40000</v>
      </c>
      <c r="I259" s="22">
        <v>50000</v>
      </c>
      <c r="J259" s="22">
        <v>50000</v>
      </c>
      <c r="K259" s="22">
        <f>[11]Лист1!$F$9</f>
        <v>60000</v>
      </c>
      <c r="L259" s="22">
        <v>60000</v>
      </c>
      <c r="M259" s="22">
        <v>60000</v>
      </c>
      <c r="N259" s="156"/>
    </row>
    <row r="260" spans="1:14" ht="21.75" customHeight="1">
      <c r="A260" s="109"/>
      <c r="B260" s="112"/>
      <c r="C260" s="115"/>
      <c r="D260" s="118"/>
      <c r="E260" s="115"/>
      <c r="F260" s="12" t="s">
        <v>16</v>
      </c>
      <c r="G260" s="22">
        <f>H260+I260+J260+K260+M260</f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156"/>
    </row>
    <row r="261" spans="1:14" ht="21.75" customHeight="1">
      <c r="A261" s="110"/>
      <c r="B261" s="113"/>
      <c r="C261" s="115"/>
      <c r="D261" s="119"/>
      <c r="E261" s="116"/>
      <c r="F261" s="12" t="s">
        <v>17</v>
      </c>
      <c r="G261" s="22">
        <f>H261+I261+J261+K261+M261</f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156"/>
    </row>
    <row r="262" spans="1:14" ht="21.75" customHeight="1">
      <c r="A262" s="114" t="s">
        <v>78</v>
      </c>
      <c r="B262" s="111" t="s">
        <v>132</v>
      </c>
      <c r="C262" s="114" t="s">
        <v>11</v>
      </c>
      <c r="D262" s="120" t="s">
        <v>37</v>
      </c>
      <c r="E262" s="114" t="s">
        <v>153</v>
      </c>
      <c r="F262" s="12" t="s">
        <v>14</v>
      </c>
      <c r="G262" s="22">
        <f t="shared" ref="G262:M262" si="79">G263+G264+G265</f>
        <v>2000000</v>
      </c>
      <c r="H262" s="22">
        <f t="shared" si="79"/>
        <v>200000</v>
      </c>
      <c r="I262" s="22">
        <f t="shared" si="79"/>
        <v>200000</v>
      </c>
      <c r="J262" s="22">
        <f t="shared" si="79"/>
        <v>200000</v>
      </c>
      <c r="K262" s="22">
        <f t="shared" si="79"/>
        <v>700000</v>
      </c>
      <c r="L262" s="22">
        <f t="shared" si="79"/>
        <v>700000</v>
      </c>
      <c r="M262" s="22">
        <f t="shared" si="79"/>
        <v>700000</v>
      </c>
      <c r="N262" s="156"/>
    </row>
    <row r="263" spans="1:14" ht="21.75" customHeight="1">
      <c r="A263" s="115"/>
      <c r="B263" s="112"/>
      <c r="C263" s="115"/>
      <c r="D263" s="121"/>
      <c r="E263" s="115"/>
      <c r="F263" s="12" t="s">
        <v>133</v>
      </c>
      <c r="G263" s="22">
        <f>H263+I263+J263+K263+M263</f>
        <v>2000000</v>
      </c>
      <c r="H263" s="22">
        <v>200000</v>
      </c>
      <c r="I263" s="22">
        <v>200000</v>
      </c>
      <c r="J263" s="22">
        <v>200000</v>
      </c>
      <c r="K263" s="22">
        <f>[11]Лист1!$C$26+[11]Лист1!$E$11+[11]Лист1!$F$24</f>
        <v>700000</v>
      </c>
      <c r="L263" s="22">
        <v>700000</v>
      </c>
      <c r="M263" s="22">
        <v>700000</v>
      </c>
      <c r="N263" s="156"/>
    </row>
    <row r="264" spans="1:14" ht="21.75" customHeight="1">
      <c r="A264" s="115"/>
      <c r="B264" s="112"/>
      <c r="C264" s="115"/>
      <c r="D264" s="121"/>
      <c r="E264" s="115"/>
      <c r="F264" s="12" t="s">
        <v>16</v>
      </c>
      <c r="G264" s="22">
        <f>H264+I264+J264+K264+M264</f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156"/>
    </row>
    <row r="265" spans="1:14" ht="21.75" customHeight="1">
      <c r="A265" s="116"/>
      <c r="B265" s="113"/>
      <c r="C265" s="115"/>
      <c r="D265" s="122"/>
      <c r="E265" s="116"/>
      <c r="F265" s="12" t="s">
        <v>17</v>
      </c>
      <c r="G265" s="22">
        <f>H265+I265+J265+K265+M265</f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156"/>
    </row>
    <row r="266" spans="1:14" ht="21.75" customHeight="1">
      <c r="A266" s="158" t="s">
        <v>94</v>
      </c>
      <c r="B266" s="111" t="s">
        <v>41</v>
      </c>
      <c r="C266" s="114" t="s">
        <v>11</v>
      </c>
      <c r="D266" s="117" t="s">
        <v>42</v>
      </c>
      <c r="E266" s="114" t="s">
        <v>153</v>
      </c>
      <c r="F266" s="12" t="s">
        <v>14</v>
      </c>
      <c r="G266" s="22">
        <f t="shared" ref="G266:M266" si="80">G267+G268+G269</f>
        <v>889404.2</v>
      </c>
      <c r="H266" s="22">
        <f t="shared" si="80"/>
        <v>0</v>
      </c>
      <c r="I266" s="22">
        <f t="shared" si="80"/>
        <v>0</v>
      </c>
      <c r="J266" s="22">
        <f t="shared" si="80"/>
        <v>0</v>
      </c>
      <c r="K266" s="22">
        <f t="shared" si="80"/>
        <v>444702.1</v>
      </c>
      <c r="L266" s="22">
        <f t="shared" si="80"/>
        <v>444702.1</v>
      </c>
      <c r="M266" s="22">
        <f t="shared" si="80"/>
        <v>444702.1</v>
      </c>
      <c r="N266" s="156"/>
    </row>
    <row r="267" spans="1:14" ht="21.75" customHeight="1">
      <c r="A267" s="159"/>
      <c r="B267" s="112"/>
      <c r="C267" s="115"/>
      <c r="D267" s="118"/>
      <c r="E267" s="115"/>
      <c r="F267" s="12" t="s">
        <v>133</v>
      </c>
      <c r="G267" s="22">
        <f>H267+I267+J267+K267+M267</f>
        <v>889404.2</v>
      </c>
      <c r="H267" s="22"/>
      <c r="I267" s="22"/>
      <c r="J267" s="22">
        <v>0</v>
      </c>
      <c r="K267" s="22">
        <f>'[1]Бюджет 2023-2025 местн'!$J$46</f>
        <v>444702.1</v>
      </c>
      <c r="L267" s="22">
        <v>444702.1</v>
      </c>
      <c r="M267" s="22">
        <v>444702.1</v>
      </c>
      <c r="N267" s="156"/>
    </row>
    <row r="268" spans="1:14" ht="21.75" customHeight="1">
      <c r="A268" s="159"/>
      <c r="B268" s="112"/>
      <c r="C268" s="115"/>
      <c r="D268" s="118"/>
      <c r="E268" s="115"/>
      <c r="F268" s="12" t="s">
        <v>16</v>
      </c>
      <c r="G268" s="22">
        <f>H268+I268+J268+K268+M268</f>
        <v>0</v>
      </c>
      <c r="H268" s="22"/>
      <c r="I268" s="22"/>
      <c r="J268" s="22">
        <v>0</v>
      </c>
      <c r="K268" s="22">
        <v>0</v>
      </c>
      <c r="L268" s="22">
        <v>0</v>
      </c>
      <c r="M268" s="22">
        <v>0</v>
      </c>
      <c r="N268" s="156"/>
    </row>
    <row r="269" spans="1:14" ht="21.75" customHeight="1">
      <c r="A269" s="160"/>
      <c r="B269" s="113"/>
      <c r="C269" s="115"/>
      <c r="D269" s="119"/>
      <c r="E269" s="116"/>
      <c r="F269" s="12" t="s">
        <v>17</v>
      </c>
      <c r="G269" s="22">
        <f>H269+I269+J269+K269+M269</f>
        <v>0</v>
      </c>
      <c r="H269" s="22"/>
      <c r="I269" s="22"/>
      <c r="J269" s="22">
        <v>0</v>
      </c>
      <c r="K269" s="22">
        <v>0</v>
      </c>
      <c r="L269" s="22">
        <v>0</v>
      </c>
      <c r="M269" s="22">
        <v>0</v>
      </c>
      <c r="N269" s="156"/>
    </row>
    <row r="270" spans="1:14" ht="21.75" hidden="1" customHeight="1" outlineLevel="1">
      <c r="A270" s="108" t="s">
        <v>106</v>
      </c>
      <c r="B270" s="111" t="s">
        <v>103</v>
      </c>
      <c r="C270" s="114" t="s">
        <v>11</v>
      </c>
      <c r="D270" s="114"/>
      <c r="E270" s="114" t="s">
        <v>153</v>
      </c>
      <c r="F270" s="12" t="s">
        <v>14</v>
      </c>
      <c r="G270" s="22">
        <f t="shared" ref="G270:M270" si="81">G271+G272+G273</f>
        <v>0</v>
      </c>
      <c r="H270" s="22">
        <f t="shared" si="81"/>
        <v>0</v>
      </c>
      <c r="I270" s="22">
        <f t="shared" si="81"/>
        <v>0</v>
      </c>
      <c r="J270" s="22">
        <f t="shared" si="81"/>
        <v>0</v>
      </c>
      <c r="K270" s="22">
        <f t="shared" si="81"/>
        <v>0</v>
      </c>
      <c r="L270" s="22">
        <f>L271+L272+L273</f>
        <v>0</v>
      </c>
      <c r="M270" s="22">
        <f t="shared" si="81"/>
        <v>0</v>
      </c>
      <c r="N270" s="156"/>
    </row>
    <row r="271" spans="1:14" ht="21.75" hidden="1" customHeight="1" outlineLevel="1">
      <c r="A271" s="109"/>
      <c r="B271" s="112"/>
      <c r="C271" s="115"/>
      <c r="D271" s="115"/>
      <c r="E271" s="115"/>
      <c r="F271" s="12" t="s">
        <v>15</v>
      </c>
      <c r="G271" s="22">
        <f>H271+I271+J271+K271+M271</f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156"/>
    </row>
    <row r="272" spans="1:14" ht="21.75" hidden="1" customHeight="1" outlineLevel="1">
      <c r="A272" s="109"/>
      <c r="B272" s="112"/>
      <c r="C272" s="115"/>
      <c r="D272" s="115"/>
      <c r="E272" s="115"/>
      <c r="F272" s="12" t="s">
        <v>16</v>
      </c>
      <c r="G272" s="22">
        <f>H272+I272+J272+K272+M272</f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156"/>
    </row>
    <row r="273" spans="1:14" ht="21.75" hidden="1" customHeight="1" outlineLevel="1">
      <c r="A273" s="110"/>
      <c r="B273" s="113"/>
      <c r="C273" s="115"/>
      <c r="D273" s="116"/>
      <c r="E273" s="116"/>
      <c r="F273" s="12" t="s">
        <v>17</v>
      </c>
      <c r="G273" s="22">
        <f>H273+I273+J273+K273+M273</f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156"/>
    </row>
    <row r="274" spans="1:14" ht="21.75" hidden="1" customHeight="1" outlineLevel="1">
      <c r="A274" s="108" t="s">
        <v>108</v>
      </c>
      <c r="B274" s="111" t="s">
        <v>109</v>
      </c>
      <c r="C274" s="114" t="s">
        <v>11</v>
      </c>
      <c r="D274" s="114"/>
      <c r="E274" s="114" t="s">
        <v>153</v>
      </c>
      <c r="F274" s="12" t="s">
        <v>14</v>
      </c>
      <c r="G274" s="22">
        <f t="shared" ref="G274:M274" si="82">G275+G276+G277</f>
        <v>0</v>
      </c>
      <c r="H274" s="22">
        <f t="shared" si="82"/>
        <v>0</v>
      </c>
      <c r="I274" s="22">
        <f t="shared" si="82"/>
        <v>0</v>
      </c>
      <c r="J274" s="22">
        <f t="shared" si="82"/>
        <v>0</v>
      </c>
      <c r="K274" s="22">
        <f t="shared" si="82"/>
        <v>0</v>
      </c>
      <c r="L274" s="22">
        <f>L275+L276+L277</f>
        <v>0</v>
      </c>
      <c r="M274" s="22">
        <f t="shared" si="82"/>
        <v>0</v>
      </c>
      <c r="N274" s="156"/>
    </row>
    <row r="275" spans="1:14" ht="21.75" hidden="1" customHeight="1" outlineLevel="1">
      <c r="A275" s="109"/>
      <c r="B275" s="112"/>
      <c r="C275" s="115"/>
      <c r="D275" s="115"/>
      <c r="E275" s="115"/>
      <c r="F275" s="12" t="s">
        <v>15</v>
      </c>
      <c r="G275" s="22">
        <f>H275+I275+J275+K275+M275</f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156"/>
    </row>
    <row r="276" spans="1:14" ht="21.75" hidden="1" customHeight="1" outlineLevel="1">
      <c r="A276" s="109"/>
      <c r="B276" s="112"/>
      <c r="C276" s="115"/>
      <c r="D276" s="115"/>
      <c r="E276" s="115"/>
      <c r="F276" s="12" t="s">
        <v>16</v>
      </c>
      <c r="G276" s="22">
        <f>H276+I276+J276+K276+M276</f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156"/>
    </row>
    <row r="277" spans="1:14" ht="21.75" hidden="1" customHeight="1" outlineLevel="1">
      <c r="A277" s="110"/>
      <c r="B277" s="113"/>
      <c r="C277" s="115"/>
      <c r="D277" s="116"/>
      <c r="E277" s="116"/>
      <c r="F277" s="12" t="s">
        <v>17</v>
      </c>
      <c r="G277" s="22">
        <f>H277+I277+J277+K277+M277</f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156"/>
    </row>
    <row r="278" spans="1:14" ht="21.75" hidden="1" customHeight="1" outlineLevel="1">
      <c r="A278" s="51"/>
      <c r="B278" s="111" t="s">
        <v>110</v>
      </c>
      <c r="C278" s="114" t="s">
        <v>11</v>
      </c>
      <c r="D278" s="114"/>
      <c r="E278" s="114" t="s">
        <v>153</v>
      </c>
      <c r="F278" s="12" t="s">
        <v>14</v>
      </c>
      <c r="G278" s="22">
        <f t="shared" ref="G278:M278" si="83">G279+G280+G281</f>
        <v>0</v>
      </c>
      <c r="H278" s="22">
        <f t="shared" si="83"/>
        <v>0</v>
      </c>
      <c r="I278" s="22">
        <f t="shared" si="83"/>
        <v>0</v>
      </c>
      <c r="J278" s="22">
        <f t="shared" si="83"/>
        <v>0</v>
      </c>
      <c r="K278" s="22">
        <f t="shared" si="83"/>
        <v>0</v>
      </c>
      <c r="L278" s="22">
        <f>L279+L280+L281</f>
        <v>0</v>
      </c>
      <c r="M278" s="22">
        <f t="shared" si="83"/>
        <v>0</v>
      </c>
      <c r="N278" s="156"/>
    </row>
    <row r="279" spans="1:14" ht="21.75" hidden="1" customHeight="1" outlineLevel="1">
      <c r="A279" s="51" t="s">
        <v>111</v>
      </c>
      <c r="B279" s="112"/>
      <c r="C279" s="115"/>
      <c r="D279" s="115"/>
      <c r="E279" s="115"/>
      <c r="F279" s="12" t="s">
        <v>15</v>
      </c>
      <c r="G279" s="23">
        <f>H279+I279+J279+K279+M279</f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156"/>
    </row>
    <row r="280" spans="1:14" ht="21.75" hidden="1" customHeight="1" outlineLevel="1">
      <c r="A280" s="51"/>
      <c r="B280" s="112"/>
      <c r="C280" s="115"/>
      <c r="D280" s="115"/>
      <c r="E280" s="115"/>
      <c r="F280" s="12" t="s">
        <v>16</v>
      </c>
      <c r="G280" s="23">
        <f>H280+I280+J280+K280+M280</f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156"/>
    </row>
    <row r="281" spans="1:14" ht="21.75" hidden="1" customHeight="1" outlineLevel="1">
      <c r="A281" s="51"/>
      <c r="B281" s="113"/>
      <c r="C281" s="115"/>
      <c r="D281" s="116"/>
      <c r="E281" s="116"/>
      <c r="F281" s="12" t="s">
        <v>17</v>
      </c>
      <c r="G281" s="23">
        <f>H281+I281+J281+K281+M281</f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157"/>
    </row>
    <row r="282" spans="1:14" ht="21.75" customHeight="1" collapsed="1">
      <c r="A282" s="126">
        <v>5</v>
      </c>
      <c r="B282" s="129" t="s">
        <v>139</v>
      </c>
      <c r="C282" s="132" t="s">
        <v>11</v>
      </c>
      <c r="D282" s="40"/>
      <c r="E282" s="132" t="s">
        <v>153</v>
      </c>
      <c r="F282" s="34" t="s">
        <v>14</v>
      </c>
      <c r="G282" s="35">
        <f>G283+G284+G285</f>
        <v>81305857.289999992</v>
      </c>
      <c r="H282" s="35">
        <f t="shared" ref="H282:M282" si="84">H283+H284+H285</f>
        <v>13370422.130000001</v>
      </c>
      <c r="I282" s="35">
        <f t="shared" si="84"/>
        <v>13699325.029999999</v>
      </c>
      <c r="J282" s="35">
        <f t="shared" si="84"/>
        <v>14738271</v>
      </c>
      <c r="K282" s="35">
        <f t="shared" si="84"/>
        <v>19001218.359999999</v>
      </c>
      <c r="L282" s="35">
        <f>L283+L284+L285</f>
        <v>19734258.760000002</v>
      </c>
      <c r="M282" s="35">
        <f t="shared" si="84"/>
        <v>20496620.77</v>
      </c>
      <c r="N282" s="52"/>
    </row>
    <row r="283" spans="1:14" ht="21.75" customHeight="1">
      <c r="A283" s="127"/>
      <c r="B283" s="130"/>
      <c r="C283" s="133"/>
      <c r="D283" s="41"/>
      <c r="E283" s="133"/>
      <c r="F283" s="34" t="s">
        <v>133</v>
      </c>
      <c r="G283" s="35">
        <f>H283+I283+J283+K283+M283</f>
        <v>81305857.289999992</v>
      </c>
      <c r="H283" s="35">
        <f t="shared" ref="H283:M285" si="85">H287</f>
        <v>13370422.130000001</v>
      </c>
      <c r="I283" s="35">
        <f t="shared" si="85"/>
        <v>13699325.029999999</v>
      </c>
      <c r="J283" s="35">
        <f t="shared" si="85"/>
        <v>14738271</v>
      </c>
      <c r="K283" s="35">
        <f t="shared" si="85"/>
        <v>19001218.359999999</v>
      </c>
      <c r="L283" s="35">
        <f t="shared" si="85"/>
        <v>19734258.760000002</v>
      </c>
      <c r="M283" s="35">
        <f t="shared" si="85"/>
        <v>20496620.77</v>
      </c>
      <c r="N283" s="52"/>
    </row>
    <row r="284" spans="1:14" ht="21.75" customHeight="1">
      <c r="A284" s="127"/>
      <c r="B284" s="130"/>
      <c r="C284" s="133"/>
      <c r="D284" s="41"/>
      <c r="E284" s="133"/>
      <c r="F284" s="34" t="s">
        <v>16</v>
      </c>
      <c r="G284" s="35">
        <f>H284+I284+J284+K284+M284</f>
        <v>0</v>
      </c>
      <c r="H284" s="35">
        <f t="shared" si="85"/>
        <v>0</v>
      </c>
      <c r="I284" s="35">
        <f t="shared" si="85"/>
        <v>0</v>
      </c>
      <c r="J284" s="35">
        <f t="shared" si="85"/>
        <v>0</v>
      </c>
      <c r="K284" s="35">
        <f t="shared" si="85"/>
        <v>0</v>
      </c>
      <c r="L284" s="35">
        <f>L288</f>
        <v>0</v>
      </c>
      <c r="M284" s="35">
        <f t="shared" si="85"/>
        <v>0</v>
      </c>
      <c r="N284" s="52"/>
    </row>
    <row r="285" spans="1:14" ht="21.75" customHeight="1">
      <c r="A285" s="128"/>
      <c r="B285" s="131"/>
      <c r="C285" s="134"/>
      <c r="D285" s="42"/>
      <c r="E285" s="134"/>
      <c r="F285" s="34" t="s">
        <v>17</v>
      </c>
      <c r="G285" s="35">
        <f>H285+I285+J285+K285+M285</f>
        <v>0</v>
      </c>
      <c r="H285" s="35">
        <f t="shared" si="85"/>
        <v>0</v>
      </c>
      <c r="I285" s="35">
        <f t="shared" si="85"/>
        <v>0</v>
      </c>
      <c r="J285" s="35">
        <f t="shared" si="85"/>
        <v>0</v>
      </c>
      <c r="K285" s="35">
        <f t="shared" si="85"/>
        <v>0</v>
      </c>
      <c r="L285" s="35">
        <f>L289</f>
        <v>0</v>
      </c>
      <c r="M285" s="35">
        <f t="shared" si="85"/>
        <v>0</v>
      </c>
      <c r="N285" s="52"/>
    </row>
    <row r="286" spans="1:14" ht="21.75" customHeight="1">
      <c r="A286" s="108" t="s">
        <v>18</v>
      </c>
      <c r="B286" s="111" t="s">
        <v>140</v>
      </c>
      <c r="C286" s="114" t="s">
        <v>11</v>
      </c>
      <c r="D286" s="114" t="s">
        <v>113</v>
      </c>
      <c r="E286" s="114" t="s">
        <v>153</v>
      </c>
      <c r="F286" s="12" t="s">
        <v>14</v>
      </c>
      <c r="G286" s="22">
        <f t="shared" ref="G286:M286" si="86">G287+G288+G289</f>
        <v>81305857.289999992</v>
      </c>
      <c r="H286" s="22">
        <f t="shared" si="86"/>
        <v>13370422.130000001</v>
      </c>
      <c r="I286" s="22">
        <f t="shared" si="86"/>
        <v>13699325.029999999</v>
      </c>
      <c r="J286" s="22">
        <f t="shared" si="86"/>
        <v>14738271</v>
      </c>
      <c r="K286" s="22">
        <f t="shared" si="86"/>
        <v>19001218.359999999</v>
      </c>
      <c r="L286" s="22">
        <f>L287+L288+L289</f>
        <v>19734258.760000002</v>
      </c>
      <c r="M286" s="22">
        <f t="shared" si="86"/>
        <v>20496620.77</v>
      </c>
      <c r="N286" s="106" t="s">
        <v>114</v>
      </c>
    </row>
    <row r="287" spans="1:14" ht="21.75" customHeight="1">
      <c r="A287" s="109"/>
      <c r="B287" s="112"/>
      <c r="C287" s="115"/>
      <c r="D287" s="115"/>
      <c r="E287" s="115"/>
      <c r="F287" s="12" t="s">
        <v>133</v>
      </c>
      <c r="G287" s="22">
        <f>H287+I287+J287+K287+M287</f>
        <v>81305857.289999992</v>
      </c>
      <c r="H287" s="22">
        <f>13390422.13-20000</f>
        <v>13370422.130000001</v>
      </c>
      <c r="I287" s="22">
        <v>13699325.029999999</v>
      </c>
      <c r="J287" s="48">
        <f>14153616+449044+135611</f>
        <v>14738271</v>
      </c>
      <c r="K287" s="22">
        <f>'[1]Бюджет 2023-2025 местн'!$J$69+'[1]Бюджет 2023-2025 местн'!$J$70+'[1]Бюджет 2023-2025 местн'!$J$71+'[1]Бюджет 2023-2025 местн'!$J$72</f>
        <v>19001218.359999999</v>
      </c>
      <c r="L287" s="22">
        <v>19734258.760000002</v>
      </c>
      <c r="M287" s="22">
        <v>20496620.77</v>
      </c>
      <c r="N287" s="107"/>
    </row>
    <row r="288" spans="1:14" ht="21.75" customHeight="1">
      <c r="A288" s="109"/>
      <c r="B288" s="112"/>
      <c r="C288" s="115"/>
      <c r="D288" s="115"/>
      <c r="E288" s="115"/>
      <c r="F288" s="12" t="s">
        <v>16</v>
      </c>
      <c r="G288" s="22">
        <f>H288+I288+J288+K288+M288</f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107"/>
    </row>
    <row r="289" spans="1:14" ht="21.75" customHeight="1">
      <c r="A289" s="110"/>
      <c r="B289" s="113"/>
      <c r="C289" s="116"/>
      <c r="D289" s="116"/>
      <c r="E289" s="116"/>
      <c r="F289" s="12" t="s">
        <v>17</v>
      </c>
      <c r="G289" s="22">
        <f>H289+I289+J289+K289+M289</f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107"/>
    </row>
    <row r="290" spans="1:14" ht="23.25" hidden="1" customHeight="1" outlineLevel="1">
      <c r="A290" s="126">
        <v>6</v>
      </c>
      <c r="B290" s="129" t="s">
        <v>123</v>
      </c>
      <c r="C290" s="132" t="s">
        <v>11</v>
      </c>
      <c r="D290" s="40"/>
      <c r="E290" s="132" t="s">
        <v>13</v>
      </c>
      <c r="F290" s="34" t="s">
        <v>14</v>
      </c>
      <c r="G290" s="35">
        <f t="shared" ref="G290:M290" si="87">G291+G292+G293</f>
        <v>0</v>
      </c>
      <c r="H290" s="35">
        <f t="shared" si="87"/>
        <v>0</v>
      </c>
      <c r="I290" s="35">
        <f t="shared" si="87"/>
        <v>0</v>
      </c>
      <c r="J290" s="35">
        <f t="shared" si="87"/>
        <v>0</v>
      </c>
      <c r="K290" s="35">
        <f t="shared" si="87"/>
        <v>0</v>
      </c>
      <c r="L290" s="35">
        <f>L291+L292+L293</f>
        <v>0</v>
      </c>
      <c r="M290" s="35">
        <f t="shared" si="87"/>
        <v>0</v>
      </c>
      <c r="N290" s="52"/>
    </row>
    <row r="291" spans="1:14" ht="23.25" hidden="1" customHeight="1" outlineLevel="1">
      <c r="A291" s="127"/>
      <c r="B291" s="154"/>
      <c r="C291" s="133"/>
      <c r="D291" s="41"/>
      <c r="E291" s="133"/>
      <c r="F291" s="34" t="s">
        <v>15</v>
      </c>
      <c r="G291" s="35">
        <f>H291+I291+J291+K291+M291</f>
        <v>0</v>
      </c>
      <c r="H291" s="35">
        <f t="shared" ref="H291:M293" si="88">H295</f>
        <v>0</v>
      </c>
      <c r="I291" s="35">
        <f t="shared" si="88"/>
        <v>0</v>
      </c>
      <c r="J291" s="35">
        <f t="shared" si="88"/>
        <v>0</v>
      </c>
      <c r="K291" s="35">
        <f t="shared" si="88"/>
        <v>0</v>
      </c>
      <c r="L291" s="35">
        <f>L295</f>
        <v>0</v>
      </c>
      <c r="M291" s="35">
        <f t="shared" si="88"/>
        <v>0</v>
      </c>
      <c r="N291" s="52"/>
    </row>
    <row r="292" spans="1:14" ht="23.25" hidden="1" customHeight="1" outlineLevel="1">
      <c r="A292" s="127"/>
      <c r="B292" s="154"/>
      <c r="C292" s="133"/>
      <c r="D292" s="41"/>
      <c r="E292" s="133"/>
      <c r="F292" s="34" t="s">
        <v>16</v>
      </c>
      <c r="G292" s="35">
        <f>H292+I292+J292+K292+M292</f>
        <v>0</v>
      </c>
      <c r="H292" s="35">
        <f t="shared" si="88"/>
        <v>0</v>
      </c>
      <c r="I292" s="35">
        <f t="shared" si="88"/>
        <v>0</v>
      </c>
      <c r="J292" s="35">
        <f t="shared" si="88"/>
        <v>0</v>
      </c>
      <c r="K292" s="35">
        <f t="shared" si="88"/>
        <v>0</v>
      </c>
      <c r="L292" s="35">
        <f>L296</f>
        <v>0</v>
      </c>
      <c r="M292" s="35">
        <f t="shared" si="88"/>
        <v>0</v>
      </c>
      <c r="N292" s="52"/>
    </row>
    <row r="293" spans="1:14" ht="27" hidden="1" customHeight="1" outlineLevel="1">
      <c r="A293" s="128"/>
      <c r="B293" s="155"/>
      <c r="C293" s="134"/>
      <c r="D293" s="42"/>
      <c r="E293" s="134"/>
      <c r="F293" s="34" t="s">
        <v>17</v>
      </c>
      <c r="G293" s="35">
        <f>H293+I293+J293+K293+M293</f>
        <v>0</v>
      </c>
      <c r="H293" s="35">
        <f t="shared" si="88"/>
        <v>0</v>
      </c>
      <c r="I293" s="35">
        <f t="shared" si="88"/>
        <v>0</v>
      </c>
      <c r="J293" s="35">
        <f t="shared" si="88"/>
        <v>0</v>
      </c>
      <c r="K293" s="35">
        <f t="shared" si="88"/>
        <v>0</v>
      </c>
      <c r="L293" s="35">
        <f>L297</f>
        <v>0</v>
      </c>
      <c r="M293" s="35">
        <f t="shared" si="88"/>
        <v>0</v>
      </c>
      <c r="N293" s="52"/>
    </row>
    <row r="294" spans="1:14" ht="21.75" hidden="1" customHeight="1" outlineLevel="1">
      <c r="A294" s="108" t="s">
        <v>124</v>
      </c>
      <c r="B294" s="111" t="s">
        <v>125</v>
      </c>
      <c r="C294" s="114" t="s">
        <v>11</v>
      </c>
      <c r="D294" s="114" t="s">
        <v>113</v>
      </c>
      <c r="E294" s="114" t="s">
        <v>13</v>
      </c>
      <c r="F294" s="12" t="s">
        <v>14</v>
      </c>
      <c r="G294" s="22">
        <f t="shared" ref="G294:M294" si="89">G295+G296+G297</f>
        <v>0</v>
      </c>
      <c r="H294" s="22">
        <f t="shared" si="89"/>
        <v>0</v>
      </c>
      <c r="I294" s="22">
        <f t="shared" si="89"/>
        <v>0</v>
      </c>
      <c r="J294" s="22">
        <f t="shared" si="89"/>
        <v>0</v>
      </c>
      <c r="K294" s="22">
        <f t="shared" si="89"/>
        <v>0</v>
      </c>
      <c r="L294" s="22">
        <f>L295+L296+L297</f>
        <v>0</v>
      </c>
      <c r="M294" s="22">
        <f t="shared" si="89"/>
        <v>0</v>
      </c>
      <c r="N294" s="152" t="s">
        <v>126</v>
      </c>
    </row>
    <row r="295" spans="1:14" ht="21.75" hidden="1" customHeight="1" outlineLevel="1">
      <c r="A295" s="109"/>
      <c r="B295" s="112"/>
      <c r="C295" s="115"/>
      <c r="D295" s="115"/>
      <c r="E295" s="115"/>
      <c r="F295" s="12" t="s">
        <v>15</v>
      </c>
      <c r="G295" s="22">
        <f>H295+I295+J295+K295+M295</f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153"/>
    </row>
    <row r="296" spans="1:14" ht="21.75" hidden="1" customHeight="1" outlineLevel="1">
      <c r="A296" s="109"/>
      <c r="B296" s="112"/>
      <c r="C296" s="115"/>
      <c r="D296" s="115"/>
      <c r="E296" s="115"/>
      <c r="F296" s="12" t="s">
        <v>16</v>
      </c>
      <c r="G296" s="22">
        <f>H296+I296+J296+K296+M296</f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153"/>
    </row>
    <row r="297" spans="1:14" ht="21.75" hidden="1" customHeight="1" outlineLevel="1">
      <c r="A297" s="110"/>
      <c r="B297" s="113"/>
      <c r="C297" s="116"/>
      <c r="D297" s="116"/>
      <c r="E297" s="116"/>
      <c r="F297" s="12" t="s">
        <v>17</v>
      </c>
      <c r="G297" s="22">
        <f>H297+I297+J297+K297+M297</f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153"/>
    </row>
    <row r="298" spans="1:14" ht="21.75" hidden="1" customHeight="1" outlineLevel="1">
      <c r="A298" s="126">
        <v>7</v>
      </c>
      <c r="B298" s="129" t="s">
        <v>127</v>
      </c>
      <c r="C298" s="132" t="s">
        <v>11</v>
      </c>
      <c r="D298" s="40"/>
      <c r="E298" s="132" t="s">
        <v>13</v>
      </c>
      <c r="F298" s="34" t="s">
        <v>14</v>
      </c>
      <c r="G298" s="35">
        <f t="shared" ref="G298:M298" si="90">G299+G300+G301</f>
        <v>0</v>
      </c>
      <c r="H298" s="35">
        <f t="shared" si="90"/>
        <v>0</v>
      </c>
      <c r="I298" s="35">
        <f t="shared" si="90"/>
        <v>0</v>
      </c>
      <c r="J298" s="35">
        <f t="shared" si="90"/>
        <v>0</v>
      </c>
      <c r="K298" s="35">
        <f t="shared" si="90"/>
        <v>0</v>
      </c>
      <c r="L298" s="35">
        <f>L299+L300+L301</f>
        <v>0</v>
      </c>
      <c r="M298" s="35">
        <f t="shared" si="90"/>
        <v>0</v>
      </c>
      <c r="N298" s="52"/>
    </row>
    <row r="299" spans="1:14" ht="21.75" hidden="1" customHeight="1" outlineLevel="1">
      <c r="A299" s="127"/>
      <c r="B299" s="130"/>
      <c r="C299" s="133"/>
      <c r="D299" s="41"/>
      <c r="E299" s="133"/>
      <c r="F299" s="34" t="s">
        <v>15</v>
      </c>
      <c r="G299" s="35">
        <f>H299+I299+J299+K299+M299</f>
        <v>0</v>
      </c>
      <c r="H299" s="35">
        <f t="shared" ref="H299:M301" si="91">H303</f>
        <v>0</v>
      </c>
      <c r="I299" s="35">
        <f t="shared" si="91"/>
        <v>0</v>
      </c>
      <c r="J299" s="35">
        <f t="shared" si="91"/>
        <v>0</v>
      </c>
      <c r="K299" s="35">
        <f t="shared" si="91"/>
        <v>0</v>
      </c>
      <c r="L299" s="35">
        <f>L303</f>
        <v>0</v>
      </c>
      <c r="M299" s="35">
        <f t="shared" si="91"/>
        <v>0</v>
      </c>
      <c r="N299" s="52"/>
    </row>
    <row r="300" spans="1:14" ht="21.75" hidden="1" customHeight="1" outlineLevel="1">
      <c r="A300" s="127"/>
      <c r="B300" s="130"/>
      <c r="C300" s="133"/>
      <c r="D300" s="41"/>
      <c r="E300" s="133"/>
      <c r="F300" s="34" t="s">
        <v>16</v>
      </c>
      <c r="G300" s="35">
        <f>H300+I300+J300+K300+M300</f>
        <v>0</v>
      </c>
      <c r="H300" s="35">
        <f t="shared" si="91"/>
        <v>0</v>
      </c>
      <c r="I300" s="35">
        <f t="shared" si="91"/>
        <v>0</v>
      </c>
      <c r="J300" s="35">
        <f t="shared" si="91"/>
        <v>0</v>
      </c>
      <c r="K300" s="35">
        <f t="shared" si="91"/>
        <v>0</v>
      </c>
      <c r="L300" s="35">
        <f>L304</f>
        <v>0</v>
      </c>
      <c r="M300" s="35">
        <f t="shared" si="91"/>
        <v>0</v>
      </c>
      <c r="N300" s="52"/>
    </row>
    <row r="301" spans="1:14" ht="21.75" hidden="1" customHeight="1" outlineLevel="1">
      <c r="A301" s="128"/>
      <c r="B301" s="131"/>
      <c r="C301" s="134"/>
      <c r="D301" s="42"/>
      <c r="E301" s="134"/>
      <c r="F301" s="34" t="s">
        <v>17</v>
      </c>
      <c r="G301" s="35">
        <f>H301+I301+J301+K301+M301</f>
        <v>0</v>
      </c>
      <c r="H301" s="35">
        <f t="shared" si="91"/>
        <v>0</v>
      </c>
      <c r="I301" s="35">
        <f t="shared" si="91"/>
        <v>0</v>
      </c>
      <c r="J301" s="35">
        <f t="shared" si="91"/>
        <v>0</v>
      </c>
      <c r="K301" s="35">
        <f t="shared" si="91"/>
        <v>0</v>
      </c>
      <c r="L301" s="35">
        <f>L305</f>
        <v>0</v>
      </c>
      <c r="M301" s="35">
        <f t="shared" si="91"/>
        <v>0</v>
      </c>
      <c r="N301" s="52"/>
    </row>
    <row r="302" spans="1:14" ht="30.75" hidden="1" customHeight="1" outlineLevel="1">
      <c r="A302" s="108" t="s">
        <v>128</v>
      </c>
      <c r="B302" s="111" t="s">
        <v>129</v>
      </c>
      <c r="C302" s="114" t="s">
        <v>11</v>
      </c>
      <c r="D302" s="114" t="s">
        <v>113</v>
      </c>
      <c r="E302" s="114" t="s">
        <v>13</v>
      </c>
      <c r="F302" s="12" t="s">
        <v>14</v>
      </c>
      <c r="G302" s="22">
        <f t="shared" ref="G302:M302" si="92">G303+G304+G305</f>
        <v>0</v>
      </c>
      <c r="H302" s="22">
        <f t="shared" si="92"/>
        <v>0</v>
      </c>
      <c r="I302" s="22">
        <f t="shared" si="92"/>
        <v>0</v>
      </c>
      <c r="J302" s="22">
        <f t="shared" si="92"/>
        <v>0</v>
      </c>
      <c r="K302" s="22">
        <f t="shared" si="92"/>
        <v>0</v>
      </c>
      <c r="L302" s="22">
        <f>L303+L304+L305</f>
        <v>0</v>
      </c>
      <c r="M302" s="22">
        <f t="shared" si="92"/>
        <v>0</v>
      </c>
      <c r="N302" s="138" t="s">
        <v>130</v>
      </c>
    </row>
    <row r="303" spans="1:14" ht="30.75" hidden="1" customHeight="1" outlineLevel="1">
      <c r="A303" s="109"/>
      <c r="B303" s="112"/>
      <c r="C303" s="115"/>
      <c r="D303" s="115"/>
      <c r="E303" s="115"/>
      <c r="F303" s="12" t="s">
        <v>15</v>
      </c>
      <c r="G303" s="22">
        <f>H303+I303+J303+K303+M303</f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139"/>
    </row>
    <row r="304" spans="1:14" ht="30.75" hidden="1" customHeight="1" outlineLevel="1">
      <c r="A304" s="109"/>
      <c r="B304" s="112"/>
      <c r="C304" s="115"/>
      <c r="D304" s="115"/>
      <c r="E304" s="115"/>
      <c r="F304" s="12" t="s">
        <v>16</v>
      </c>
      <c r="G304" s="22">
        <f>H304+I304+J304+K304+M304</f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139"/>
    </row>
    <row r="305" spans="1:41" ht="30.75" hidden="1" customHeight="1" outlineLevel="1">
      <c r="A305" s="110"/>
      <c r="B305" s="113"/>
      <c r="C305" s="116"/>
      <c r="D305" s="116"/>
      <c r="E305" s="116"/>
      <c r="F305" s="12" t="s">
        <v>17</v>
      </c>
      <c r="G305" s="22">
        <f>H305+I305+J305+K305+M305</f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139"/>
    </row>
    <row r="306" spans="1:41" ht="21.75" customHeight="1" collapsed="1">
      <c r="A306" s="140" t="s">
        <v>115</v>
      </c>
      <c r="B306" s="143" t="s">
        <v>116</v>
      </c>
      <c r="C306" s="144"/>
      <c r="D306" s="144"/>
      <c r="E306" s="145"/>
      <c r="F306" s="44" t="s">
        <v>14</v>
      </c>
      <c r="G306" s="45">
        <f t="shared" ref="G306:M306" si="93">G307+G308+G309</f>
        <v>5623825117.1973095</v>
      </c>
      <c r="H306" s="45">
        <f t="shared" si="93"/>
        <v>952111245</v>
      </c>
      <c r="I306" s="45">
        <f t="shared" si="93"/>
        <v>1061957868.36</v>
      </c>
      <c r="J306" s="45">
        <f t="shared" si="93"/>
        <v>1249365484.9299998</v>
      </c>
      <c r="K306" s="45">
        <f t="shared" si="93"/>
        <v>1169319019.97962</v>
      </c>
      <c r="L306" s="45">
        <f>L307+L308+L309</f>
        <v>1163152848.28124</v>
      </c>
      <c r="M306" s="45">
        <f t="shared" si="93"/>
        <v>1191071498.92769</v>
      </c>
      <c r="N306" s="52"/>
    </row>
    <row r="307" spans="1:41" ht="21.75" customHeight="1">
      <c r="A307" s="141"/>
      <c r="B307" s="146"/>
      <c r="C307" s="147"/>
      <c r="D307" s="147"/>
      <c r="E307" s="148"/>
      <c r="F307" s="44" t="s">
        <v>133</v>
      </c>
      <c r="G307" s="45">
        <f>H307+I307+J307+K307+M307</f>
        <v>1498448570.50492</v>
      </c>
      <c r="H307" s="45">
        <f t="shared" ref="H307:M309" si="94">H299+H247+H223+H159+H11+H283+H291</f>
        <v>257261460.34999999</v>
      </c>
      <c r="I307" s="45">
        <f t="shared" si="94"/>
        <v>274006749.57000005</v>
      </c>
      <c r="J307" s="45">
        <f t="shared" si="94"/>
        <v>305893043.46000004</v>
      </c>
      <c r="K307" s="45">
        <f t="shared" si="94"/>
        <v>336232866.72790998</v>
      </c>
      <c r="L307" s="45">
        <f t="shared" si="94"/>
        <v>321802747.78999996</v>
      </c>
      <c r="M307" s="45">
        <f t="shared" si="94"/>
        <v>325054450.39700991</v>
      </c>
      <c r="N307" s="52"/>
    </row>
    <row r="308" spans="1:41" ht="21.75" customHeight="1">
      <c r="A308" s="141"/>
      <c r="B308" s="146"/>
      <c r="C308" s="147"/>
      <c r="D308" s="147"/>
      <c r="E308" s="148"/>
      <c r="F308" s="44" t="s">
        <v>16</v>
      </c>
      <c r="G308" s="45">
        <f>H308+I308+J308+K308+M308</f>
        <v>3766144313.0804877</v>
      </c>
      <c r="H308" s="45">
        <f t="shared" si="94"/>
        <v>674427650.64999998</v>
      </c>
      <c r="I308" s="45">
        <f t="shared" si="94"/>
        <v>721973504.32999992</v>
      </c>
      <c r="J308" s="45">
        <f t="shared" si="94"/>
        <v>762876058.57999992</v>
      </c>
      <c r="K308" s="45">
        <f t="shared" si="94"/>
        <v>786598281.20980787</v>
      </c>
      <c r="L308" s="45">
        <f t="shared" si="94"/>
        <v>794994706.39124</v>
      </c>
      <c r="M308" s="45">
        <f t="shared" si="94"/>
        <v>820268818.31068003</v>
      </c>
      <c r="N308" s="52"/>
    </row>
    <row r="309" spans="1:41" ht="21.75" customHeight="1">
      <c r="A309" s="142"/>
      <c r="B309" s="149"/>
      <c r="C309" s="150"/>
      <c r="D309" s="150"/>
      <c r="E309" s="151"/>
      <c r="F309" s="44" t="s">
        <v>17</v>
      </c>
      <c r="G309" s="45">
        <f>H309+I309+J309+K309+M309</f>
        <v>359232233.61190212</v>
      </c>
      <c r="H309" s="45">
        <f t="shared" si="94"/>
        <v>20422134</v>
      </c>
      <c r="I309" s="45">
        <f t="shared" si="94"/>
        <v>65977614.459999993</v>
      </c>
      <c r="J309" s="45">
        <f t="shared" si="94"/>
        <v>180596382.88999999</v>
      </c>
      <c r="K309" s="45">
        <f t="shared" si="94"/>
        <v>46487872.041902095</v>
      </c>
      <c r="L309" s="45">
        <f t="shared" si="94"/>
        <v>46355394.100000001</v>
      </c>
      <c r="M309" s="45">
        <f t="shared" si="94"/>
        <v>45748230.219999999</v>
      </c>
      <c r="N309" s="52"/>
    </row>
    <row r="310" spans="1:41">
      <c r="I310" s="43">
        <f>'[12]остатки средств в ФК_9'!$R$101-1600000</f>
        <v>1061957868.36</v>
      </c>
      <c r="J310" s="43">
        <f>'[4]остатки средств в ФК_3'!$R$116</f>
        <v>1249365484.9300001</v>
      </c>
      <c r="K310" s="43">
        <f>'[13]Увед об измен (расх)'!Z78+'[13]Увед об измен (расх)'!Z79-'[13]Увед об измен (расх)'!Z74-'[13]Увед об измен (расх)'!Z20</f>
        <v>1169319019.98</v>
      </c>
      <c r="L310" s="43">
        <f>'[13]Увед об измен (расх)'!AA78+'[13]Увед об измен (расх)'!AA79-'[13]Увед об измен (расх)'!AA74-'[13]Увед об измен (расх)'!AA20</f>
        <v>1163152848.28</v>
      </c>
      <c r="M310" s="43">
        <f>'[13]Увед об измен (расх)'!AB78+'[13]Увед об измен (расх)'!AB79-'[13]Увед об измен (расх)'!AB74-'[13]Увед об измен (расх)'!AB20</f>
        <v>1191071498.9300001</v>
      </c>
    </row>
    <row r="311" spans="1:41">
      <c r="I311" s="43">
        <f>I306-I310</f>
        <v>0</v>
      </c>
      <c r="J311" s="43">
        <f>J306-J310</f>
        <v>0</v>
      </c>
      <c r="K311" s="43">
        <f>K306-K310</f>
        <v>-3.8003921508789063E-4</v>
      </c>
      <c r="L311" s="43">
        <f>L306-L310</f>
        <v>1.2400150299072266E-3</v>
      </c>
      <c r="M311" s="43">
        <f>M306-M310</f>
        <v>-2.3100376129150391E-3</v>
      </c>
    </row>
    <row r="312" spans="1:41">
      <c r="J312" s="30"/>
      <c r="L312" s="30"/>
      <c r="M312" s="30"/>
    </row>
    <row r="313" spans="1:41" s="17" customFormat="1">
      <c r="A313" s="2"/>
      <c r="B313" s="14"/>
      <c r="C313" s="13"/>
      <c r="D313" s="2"/>
      <c r="E313" s="2"/>
      <c r="F313" s="2"/>
      <c r="I313" s="30"/>
      <c r="N313" s="27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8" spans="1:41">
      <c r="J318" s="30"/>
      <c r="K318" s="30"/>
      <c r="L318" s="30"/>
      <c r="M318" s="30"/>
    </row>
  </sheetData>
  <mergeCells count="400">
    <mergeCell ref="A78:A81"/>
    <mergeCell ref="B78:B81"/>
    <mergeCell ref="C78:C81"/>
    <mergeCell ref="D78:D81"/>
    <mergeCell ref="E78:E81"/>
    <mergeCell ref="A106:A109"/>
    <mergeCell ref="B106:B109"/>
    <mergeCell ref="C106:C109"/>
    <mergeCell ref="D106:D109"/>
    <mergeCell ref="E106:E109"/>
    <mergeCell ref="A82:A85"/>
    <mergeCell ref="B82:B85"/>
    <mergeCell ref="C82:C85"/>
    <mergeCell ref="D82:D85"/>
    <mergeCell ref="E82:E85"/>
    <mergeCell ref="A86:A89"/>
    <mergeCell ref="B86:B89"/>
    <mergeCell ref="C86:C89"/>
    <mergeCell ref="D86:D89"/>
    <mergeCell ref="E86:E89"/>
    <mergeCell ref="A90:A93"/>
    <mergeCell ref="B90:B93"/>
    <mergeCell ref="C90:C93"/>
    <mergeCell ref="D90:D93"/>
    <mergeCell ref="A70:A73"/>
    <mergeCell ref="B70:B73"/>
    <mergeCell ref="C70:C73"/>
    <mergeCell ref="D70:D73"/>
    <mergeCell ref="E70:E73"/>
    <mergeCell ref="A74:A77"/>
    <mergeCell ref="B74:B77"/>
    <mergeCell ref="C74:C77"/>
    <mergeCell ref="D74:D77"/>
    <mergeCell ref="E74:E77"/>
    <mergeCell ref="A62:A65"/>
    <mergeCell ref="B62:B65"/>
    <mergeCell ref="C62:C65"/>
    <mergeCell ref="D62:D65"/>
    <mergeCell ref="E62:E65"/>
    <mergeCell ref="A66:A69"/>
    <mergeCell ref="B66:B69"/>
    <mergeCell ref="C66:C69"/>
    <mergeCell ref="D66:D69"/>
    <mergeCell ref="E66:E69"/>
    <mergeCell ref="A54:A57"/>
    <mergeCell ref="B54:B57"/>
    <mergeCell ref="C54:C57"/>
    <mergeCell ref="D54:D57"/>
    <mergeCell ref="E54:E57"/>
    <mergeCell ref="A58:A61"/>
    <mergeCell ref="B58:B61"/>
    <mergeCell ref="C58:C61"/>
    <mergeCell ref="D58:D61"/>
    <mergeCell ref="E58:E61"/>
    <mergeCell ref="K1:N1"/>
    <mergeCell ref="B2:K2"/>
    <mergeCell ref="B3:K3"/>
    <mergeCell ref="B4:K4"/>
    <mergeCell ref="A7:A8"/>
    <mergeCell ref="B7:B8"/>
    <mergeCell ref="C7:C8"/>
    <mergeCell ref="D7:D8"/>
    <mergeCell ref="E7:E8"/>
    <mergeCell ref="F7:F8"/>
    <mergeCell ref="N14:N33"/>
    <mergeCell ref="A18:A21"/>
    <mergeCell ref="B18:B21"/>
    <mergeCell ref="C18:C21"/>
    <mergeCell ref="D18:D21"/>
    <mergeCell ref="G7:M7"/>
    <mergeCell ref="N7:N8"/>
    <mergeCell ref="A10:A13"/>
    <mergeCell ref="B10:B13"/>
    <mergeCell ref="C10:C13"/>
    <mergeCell ref="D10:D13"/>
    <mergeCell ref="E10:E13"/>
    <mergeCell ref="N10:N13"/>
    <mergeCell ref="E18:E21"/>
    <mergeCell ref="A22:A25"/>
    <mergeCell ref="B22:B25"/>
    <mergeCell ref="C22:C25"/>
    <mergeCell ref="D22:D25"/>
    <mergeCell ref="E22:E25"/>
    <mergeCell ref="A14:A17"/>
    <mergeCell ref="B14:B17"/>
    <mergeCell ref="C14:C17"/>
    <mergeCell ref="D14:D17"/>
    <mergeCell ref="E14:E17"/>
    <mergeCell ref="A26:A29"/>
    <mergeCell ref="B26:B29"/>
    <mergeCell ref="C26:C29"/>
    <mergeCell ref="D26:D29"/>
    <mergeCell ref="E26:E29"/>
    <mergeCell ref="A30:A33"/>
    <mergeCell ref="B30:B33"/>
    <mergeCell ref="C30:C33"/>
    <mergeCell ref="D30:D33"/>
    <mergeCell ref="E30:E33"/>
    <mergeCell ref="E38:E41"/>
    <mergeCell ref="A42:A45"/>
    <mergeCell ref="B42:B45"/>
    <mergeCell ref="C42:C45"/>
    <mergeCell ref="D42:D45"/>
    <mergeCell ref="E42:E45"/>
    <mergeCell ref="A34:A37"/>
    <mergeCell ref="B34:B37"/>
    <mergeCell ref="C34:C37"/>
    <mergeCell ref="D34:D37"/>
    <mergeCell ref="E34:E37"/>
    <mergeCell ref="A38:A41"/>
    <mergeCell ref="B38:B41"/>
    <mergeCell ref="C38:C41"/>
    <mergeCell ref="D38:D41"/>
    <mergeCell ref="A46:A49"/>
    <mergeCell ref="B46:B49"/>
    <mergeCell ref="C46:C49"/>
    <mergeCell ref="D46:D49"/>
    <mergeCell ref="E46:E49"/>
    <mergeCell ref="A50:A53"/>
    <mergeCell ref="B50:B53"/>
    <mergeCell ref="C50:C53"/>
    <mergeCell ref="D50:D53"/>
    <mergeCell ref="E50:E53"/>
    <mergeCell ref="N94:N97"/>
    <mergeCell ref="A98:A101"/>
    <mergeCell ref="B98:B101"/>
    <mergeCell ref="C98:C101"/>
    <mergeCell ref="D98:D101"/>
    <mergeCell ref="E98:E101"/>
    <mergeCell ref="N98:N125"/>
    <mergeCell ref="A102:A105"/>
    <mergeCell ref="B102:B105"/>
    <mergeCell ref="C102:C105"/>
    <mergeCell ref="D102:D105"/>
    <mergeCell ref="A110:A113"/>
    <mergeCell ref="B110:B113"/>
    <mergeCell ref="C110:C113"/>
    <mergeCell ref="D110:D113"/>
    <mergeCell ref="E110:E113"/>
    <mergeCell ref="A114:A117"/>
    <mergeCell ref="B114:B117"/>
    <mergeCell ref="E102:E105"/>
    <mergeCell ref="A118:A121"/>
    <mergeCell ref="B118:B121"/>
    <mergeCell ref="C118:C121"/>
    <mergeCell ref="D118:D121"/>
    <mergeCell ref="E118:E121"/>
    <mergeCell ref="E90:E93"/>
    <mergeCell ref="A94:A97"/>
    <mergeCell ref="B94:B97"/>
    <mergeCell ref="C94:C97"/>
    <mergeCell ref="D94:D97"/>
    <mergeCell ref="E94:E97"/>
    <mergeCell ref="E126:E129"/>
    <mergeCell ref="A134:A137"/>
    <mergeCell ref="B134:B137"/>
    <mergeCell ref="C134:C137"/>
    <mergeCell ref="D134:D137"/>
    <mergeCell ref="E134:E137"/>
    <mergeCell ref="C114:C117"/>
    <mergeCell ref="D114:D117"/>
    <mergeCell ref="E114:E117"/>
    <mergeCell ref="A122:A125"/>
    <mergeCell ref="B122:B125"/>
    <mergeCell ref="C122:C125"/>
    <mergeCell ref="D122:D125"/>
    <mergeCell ref="E122:E125"/>
    <mergeCell ref="N134:N137"/>
    <mergeCell ref="N126:N129"/>
    <mergeCell ref="A130:A133"/>
    <mergeCell ref="B130:B133"/>
    <mergeCell ref="C130:C133"/>
    <mergeCell ref="D130:D133"/>
    <mergeCell ref="E130:E133"/>
    <mergeCell ref="N130:N133"/>
    <mergeCell ref="A142:A145"/>
    <mergeCell ref="B142:B145"/>
    <mergeCell ref="C142:C145"/>
    <mergeCell ref="D142:D145"/>
    <mergeCell ref="E142:E145"/>
    <mergeCell ref="N142:N145"/>
    <mergeCell ref="A138:A141"/>
    <mergeCell ref="B138:B141"/>
    <mergeCell ref="C138:C141"/>
    <mergeCell ref="D138:D141"/>
    <mergeCell ref="E138:E141"/>
    <mergeCell ref="N138:N141"/>
    <mergeCell ref="A126:A129"/>
    <mergeCell ref="B126:B129"/>
    <mergeCell ref="C126:C129"/>
    <mergeCell ref="D126:D129"/>
    <mergeCell ref="A150:A153"/>
    <mergeCell ref="B150:B153"/>
    <mergeCell ref="C150:C153"/>
    <mergeCell ref="D150:D153"/>
    <mergeCell ref="E150:E153"/>
    <mergeCell ref="N150:N153"/>
    <mergeCell ref="A146:A149"/>
    <mergeCell ref="B146:B149"/>
    <mergeCell ref="C146:C149"/>
    <mergeCell ref="D146:D149"/>
    <mergeCell ref="E146:E149"/>
    <mergeCell ref="N146:N149"/>
    <mergeCell ref="A158:A161"/>
    <mergeCell ref="B158:B161"/>
    <mergeCell ref="C158:C161"/>
    <mergeCell ref="D158:D161"/>
    <mergeCell ref="E158:E161"/>
    <mergeCell ref="N158:N161"/>
    <mergeCell ref="A154:A157"/>
    <mergeCell ref="B154:B157"/>
    <mergeCell ref="C154:C157"/>
    <mergeCell ref="D154:D157"/>
    <mergeCell ref="E154:E157"/>
    <mergeCell ref="C162:C165"/>
    <mergeCell ref="D162:D165"/>
    <mergeCell ref="E162:E165"/>
    <mergeCell ref="N162:N221"/>
    <mergeCell ref="A166:A169"/>
    <mergeCell ref="B166:B169"/>
    <mergeCell ref="C166:C169"/>
    <mergeCell ref="D166:D169"/>
    <mergeCell ref="A170:A173"/>
    <mergeCell ref="B170:B173"/>
    <mergeCell ref="C170:C173"/>
    <mergeCell ref="D170:D173"/>
    <mergeCell ref="E170:E173"/>
    <mergeCell ref="A174:A177"/>
    <mergeCell ref="B174:B177"/>
    <mergeCell ref="C174:C177"/>
    <mergeCell ref="D174:D177"/>
    <mergeCell ref="E174:E177"/>
    <mergeCell ref="B182:B185"/>
    <mergeCell ref="C182:C185"/>
    <mergeCell ref="D182:D185"/>
    <mergeCell ref="A206:A209"/>
    <mergeCell ref="B206:B209"/>
    <mergeCell ref="C206:C209"/>
    <mergeCell ref="D206:D209"/>
    <mergeCell ref="E206:E209"/>
    <mergeCell ref="A190:A193"/>
    <mergeCell ref="B190:B193"/>
    <mergeCell ref="C190:C193"/>
    <mergeCell ref="D190:D193"/>
    <mergeCell ref="E190:E193"/>
    <mergeCell ref="A202:A205"/>
    <mergeCell ref="B202:B205"/>
    <mergeCell ref="C202:C205"/>
    <mergeCell ref="D202:D205"/>
    <mergeCell ref="E202:E205"/>
    <mergeCell ref="A194:A197"/>
    <mergeCell ref="B194:B197"/>
    <mergeCell ref="C194:C197"/>
    <mergeCell ref="B210:B213"/>
    <mergeCell ref="C210:C213"/>
    <mergeCell ref="D210:D213"/>
    <mergeCell ref="E210:E213"/>
    <mergeCell ref="A214:A217"/>
    <mergeCell ref="B214:B217"/>
    <mergeCell ref="C214:C217"/>
    <mergeCell ref="D214:D217"/>
    <mergeCell ref="E214:E217"/>
    <mergeCell ref="B218:B221"/>
    <mergeCell ref="C218:C221"/>
    <mergeCell ref="D218:D221"/>
    <mergeCell ref="E218:E221"/>
    <mergeCell ref="A222:A225"/>
    <mergeCell ref="B222:B225"/>
    <mergeCell ref="C222:C225"/>
    <mergeCell ref="D222:D225"/>
    <mergeCell ref="E222:E225"/>
    <mergeCell ref="C234:C237"/>
    <mergeCell ref="D234:D237"/>
    <mergeCell ref="E234:E237"/>
    <mergeCell ref="N222:N225"/>
    <mergeCell ref="A226:A229"/>
    <mergeCell ref="B226:B229"/>
    <mergeCell ref="C226:C229"/>
    <mergeCell ref="D226:D229"/>
    <mergeCell ref="E226:E229"/>
    <mergeCell ref="N226:N245"/>
    <mergeCell ref="A230:A233"/>
    <mergeCell ref="B230:B233"/>
    <mergeCell ref="C230:C233"/>
    <mergeCell ref="D230:D233"/>
    <mergeCell ref="E230:E233"/>
    <mergeCell ref="A234:A237"/>
    <mergeCell ref="B234:B237"/>
    <mergeCell ref="N246:N249"/>
    <mergeCell ref="B238:B241"/>
    <mergeCell ref="C238:C241"/>
    <mergeCell ref="D238:D241"/>
    <mergeCell ref="E238:E241"/>
    <mergeCell ref="A242:A245"/>
    <mergeCell ref="B242:B245"/>
    <mergeCell ref="C242:C245"/>
    <mergeCell ref="D242:D245"/>
    <mergeCell ref="E242:E245"/>
    <mergeCell ref="A238:A241"/>
    <mergeCell ref="E270:E273"/>
    <mergeCell ref="A274:A277"/>
    <mergeCell ref="B274:B277"/>
    <mergeCell ref="C274:C277"/>
    <mergeCell ref="D274:D277"/>
    <mergeCell ref="E274:E277"/>
    <mergeCell ref="A266:A269"/>
    <mergeCell ref="B266:B269"/>
    <mergeCell ref="C266:C269"/>
    <mergeCell ref="D266:D269"/>
    <mergeCell ref="E266:E269"/>
    <mergeCell ref="E286:E289"/>
    <mergeCell ref="A290:A293"/>
    <mergeCell ref="B290:B293"/>
    <mergeCell ref="C290:C293"/>
    <mergeCell ref="E290:E293"/>
    <mergeCell ref="N286:N289"/>
    <mergeCell ref="B278:B281"/>
    <mergeCell ref="C278:C281"/>
    <mergeCell ref="D278:D281"/>
    <mergeCell ref="E278:E281"/>
    <mergeCell ref="A282:A285"/>
    <mergeCell ref="B282:B285"/>
    <mergeCell ref="C282:C285"/>
    <mergeCell ref="E282:E285"/>
    <mergeCell ref="N250:N281"/>
    <mergeCell ref="A262:A265"/>
    <mergeCell ref="B262:B265"/>
    <mergeCell ref="C262:C265"/>
    <mergeCell ref="D262:D265"/>
    <mergeCell ref="E262:E265"/>
    <mergeCell ref="A270:A273"/>
    <mergeCell ref="B270:B273"/>
    <mergeCell ref="C270:C273"/>
    <mergeCell ref="D270:D273"/>
    <mergeCell ref="N302:N305"/>
    <mergeCell ref="A306:A309"/>
    <mergeCell ref="B306:E309"/>
    <mergeCell ref="N294:N297"/>
    <mergeCell ref="A298:A301"/>
    <mergeCell ref="B298:B301"/>
    <mergeCell ref="C298:C301"/>
    <mergeCell ref="E298:E301"/>
    <mergeCell ref="A302:A305"/>
    <mergeCell ref="B302:B305"/>
    <mergeCell ref="C302:C305"/>
    <mergeCell ref="D302:D305"/>
    <mergeCell ref="E302:E305"/>
    <mergeCell ref="A294:A297"/>
    <mergeCell ref="B294:B297"/>
    <mergeCell ref="C294:C297"/>
    <mergeCell ref="D294:D297"/>
    <mergeCell ref="E294:E297"/>
    <mergeCell ref="A286:A289"/>
    <mergeCell ref="B286:B289"/>
    <mergeCell ref="A258:A261"/>
    <mergeCell ref="B258:B261"/>
    <mergeCell ref="C258:C261"/>
    <mergeCell ref="D258:D261"/>
    <mergeCell ref="E258:E261"/>
    <mergeCell ref="A246:A249"/>
    <mergeCell ref="B246:B249"/>
    <mergeCell ref="C246:C249"/>
    <mergeCell ref="D246:D249"/>
    <mergeCell ref="E246:E249"/>
    <mergeCell ref="E254:E257"/>
    <mergeCell ref="A250:A253"/>
    <mergeCell ref="B250:B253"/>
    <mergeCell ref="C250:C253"/>
    <mergeCell ref="D250:D253"/>
    <mergeCell ref="E250:E253"/>
    <mergeCell ref="A254:A257"/>
    <mergeCell ref="B254:B257"/>
    <mergeCell ref="C254:C257"/>
    <mergeCell ref="D254:D257"/>
    <mergeCell ref="C286:C289"/>
    <mergeCell ref="D286:D289"/>
    <mergeCell ref="N34:N93"/>
    <mergeCell ref="A198:A201"/>
    <mergeCell ref="B198:B201"/>
    <mergeCell ref="C198:C201"/>
    <mergeCell ref="D198:D201"/>
    <mergeCell ref="E198:E201"/>
    <mergeCell ref="A178:A181"/>
    <mergeCell ref="B178:B181"/>
    <mergeCell ref="C178:C181"/>
    <mergeCell ref="D178:D181"/>
    <mergeCell ref="E178:E181"/>
    <mergeCell ref="N154:N157"/>
    <mergeCell ref="A182:A185"/>
    <mergeCell ref="D194:D197"/>
    <mergeCell ref="E194:E197"/>
    <mergeCell ref="E182:E185"/>
    <mergeCell ref="A186:A189"/>
    <mergeCell ref="B186:B189"/>
    <mergeCell ref="C186:C189"/>
    <mergeCell ref="D186:D189"/>
    <mergeCell ref="E186:E189"/>
    <mergeCell ref="E166:E169"/>
    <mergeCell ref="A162:A165"/>
    <mergeCell ref="B162:B165"/>
  </mergeCells>
  <pageMargins left="0.70866141732283472" right="0.31496062992125984" top="0.35433070866141736" bottom="0.35433070866141736" header="0.31496062992125984" footer="0.31496062992125984"/>
  <pageSetup paperSize="9" scale="41" fitToHeight="5" orientation="landscape" r:id="rId1"/>
  <rowBreaks count="3" manualBreakCount="3">
    <brk id="85" max="12" man="1"/>
    <brk id="125" max="12" man="1"/>
    <brk id="253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322"/>
  <sheetViews>
    <sheetView view="pageBreakPreview" zoomScale="80" zoomScaleNormal="100" zoomScaleSheetLayoutView="80" workbookViewId="0">
      <pane xSplit="7" ySplit="8" topLeftCell="H156" activePane="bottomRight" state="frozen"/>
      <selection pane="topRight" activeCell="G1" sqref="G1"/>
      <selection pane="bottomLeft" activeCell="A8" sqref="A8"/>
      <selection pane="bottomRight" activeCell="K168" sqref="K168"/>
    </sheetView>
  </sheetViews>
  <sheetFormatPr defaultRowHeight="16.5" outlineLevelRow="1" outlineLevelCol="1"/>
  <cols>
    <col min="1" max="1" width="8" style="59" customWidth="1"/>
    <col min="2" max="2" width="52.42578125" style="57" customWidth="1"/>
    <col min="3" max="3" width="14.28515625" style="58" customWidth="1" outlineLevel="1"/>
    <col min="4" max="4" width="18.7109375" style="59" customWidth="1" outlineLevel="1"/>
    <col min="5" max="5" width="10.85546875" style="59" customWidth="1" outlineLevel="1"/>
    <col min="6" max="6" width="26.85546875" style="59" customWidth="1"/>
    <col min="7" max="13" width="19.42578125" style="60" customWidth="1"/>
    <col min="14" max="14" width="65.7109375" style="105" customWidth="1" outlineLevel="1"/>
    <col min="15" max="15" width="20.7109375" style="59" customWidth="1"/>
    <col min="16" max="16" width="17.140625" style="59" hidden="1" customWidth="1"/>
    <col min="17" max="17" width="13" style="59" hidden="1" customWidth="1"/>
    <col min="18" max="18" width="11.7109375" style="59" hidden="1" customWidth="1"/>
    <col min="19" max="23" width="9.140625" style="59" hidden="1" customWidth="1"/>
    <col min="24" max="25" width="9.140625" style="59"/>
    <col min="26" max="26" width="11.7109375" style="59" bestFit="1" customWidth="1"/>
    <col min="27" max="16384" width="9.140625" style="59"/>
  </cols>
  <sheetData>
    <row r="1" spans="1:17">
      <c r="A1" s="56"/>
      <c r="K1" s="239" t="s">
        <v>131</v>
      </c>
      <c r="L1" s="239"/>
      <c r="M1" s="239"/>
      <c r="N1" s="239"/>
      <c r="O1" s="61"/>
      <c r="P1" s="61"/>
      <c r="Q1" s="61"/>
    </row>
    <row r="2" spans="1:17">
      <c r="A2" s="56"/>
      <c r="B2" s="240" t="s">
        <v>0</v>
      </c>
      <c r="C2" s="240"/>
      <c r="D2" s="240"/>
      <c r="E2" s="240"/>
      <c r="F2" s="240"/>
      <c r="G2" s="240"/>
      <c r="H2" s="240"/>
      <c r="I2" s="240"/>
      <c r="J2" s="240"/>
      <c r="K2" s="240"/>
      <c r="L2" s="62"/>
      <c r="M2" s="62"/>
      <c r="N2" s="63" t="s">
        <v>157</v>
      </c>
      <c r="O2" s="61"/>
    </row>
    <row r="3" spans="1:17">
      <c r="A3" s="56"/>
      <c r="B3" s="240" t="s">
        <v>1</v>
      </c>
      <c r="C3" s="240"/>
      <c r="D3" s="240"/>
      <c r="E3" s="240"/>
      <c r="F3" s="240"/>
      <c r="G3" s="240"/>
      <c r="H3" s="240"/>
      <c r="I3" s="240"/>
      <c r="J3" s="240"/>
      <c r="K3" s="240"/>
      <c r="L3" s="64"/>
      <c r="M3" s="64"/>
      <c r="N3" s="63" t="s">
        <v>135</v>
      </c>
    </row>
    <row r="4" spans="1:17" ht="15.75" customHeight="1">
      <c r="A4" s="56"/>
      <c r="B4" s="240" t="s">
        <v>134</v>
      </c>
      <c r="C4" s="240"/>
      <c r="D4" s="240"/>
      <c r="E4" s="240"/>
      <c r="F4" s="240"/>
      <c r="G4" s="240"/>
      <c r="H4" s="240"/>
      <c r="I4" s="240"/>
      <c r="J4" s="240"/>
      <c r="K4" s="240"/>
      <c r="L4" s="65"/>
      <c r="M4" s="65"/>
      <c r="N4" s="66"/>
    </row>
    <row r="5" spans="1:17">
      <c r="A5" s="56"/>
      <c r="H5" s="67"/>
      <c r="I5" s="68">
        <f t="shared" ref="I5:J5" si="0">I20+I40+I44+I48+I52+I96+I104+I116</f>
        <v>628554600</v>
      </c>
      <c r="J5" s="68">
        <f t="shared" si="0"/>
        <v>651853900</v>
      </c>
      <c r="K5" s="68">
        <f>K20+K40+K44+K48+K52+K96+K104+K116</f>
        <v>691154300.00000012</v>
      </c>
      <c r="L5" s="68">
        <f t="shared" ref="L5:M5" si="1">L20+L40+L44+L48+L52+L96+L104+L116</f>
        <v>715126400</v>
      </c>
      <c r="M5" s="68">
        <f t="shared" si="1"/>
        <v>730443300</v>
      </c>
      <c r="N5" s="69" t="s">
        <v>117</v>
      </c>
    </row>
    <row r="6" spans="1:17">
      <c r="A6" s="56"/>
      <c r="H6" s="67"/>
      <c r="I6" s="68"/>
      <c r="J6" s="70">
        <f>J28+J88+J124-2040.87</f>
        <v>66322571</v>
      </c>
      <c r="K6" s="70">
        <f>K28+K88+K124-1300.84</f>
        <v>52591117.160000004</v>
      </c>
      <c r="L6" s="70">
        <f>L28+L88+L124</f>
        <v>56830782.090000004</v>
      </c>
      <c r="M6" s="70">
        <f>M28+M88+M124</f>
        <v>66055405.350000001</v>
      </c>
      <c r="N6" s="69" t="s">
        <v>118</v>
      </c>
    </row>
    <row r="7" spans="1:17" s="71" customFormat="1" ht="21.75" customHeight="1">
      <c r="A7" s="222" t="s">
        <v>2</v>
      </c>
      <c r="B7" s="222" t="s">
        <v>3</v>
      </c>
      <c r="C7" s="222" t="s">
        <v>4</v>
      </c>
      <c r="D7" s="222" t="s">
        <v>5</v>
      </c>
      <c r="E7" s="222" t="s">
        <v>6</v>
      </c>
      <c r="F7" s="222" t="s">
        <v>7</v>
      </c>
      <c r="G7" s="219" t="s">
        <v>8</v>
      </c>
      <c r="H7" s="220"/>
      <c r="I7" s="220"/>
      <c r="J7" s="220"/>
      <c r="K7" s="220"/>
      <c r="L7" s="220"/>
      <c r="M7" s="221"/>
      <c r="N7" s="222" t="s">
        <v>9</v>
      </c>
    </row>
    <row r="8" spans="1:17" s="71" customFormat="1" ht="21.75" customHeight="1">
      <c r="A8" s="223"/>
      <c r="B8" s="223"/>
      <c r="C8" s="223"/>
      <c r="D8" s="223"/>
      <c r="E8" s="223"/>
      <c r="F8" s="223"/>
      <c r="G8" s="72" t="s">
        <v>10</v>
      </c>
      <c r="H8" s="73">
        <v>2020</v>
      </c>
      <c r="I8" s="74">
        <v>2021</v>
      </c>
      <c r="J8" s="73">
        <v>2022</v>
      </c>
      <c r="K8" s="73">
        <v>2023</v>
      </c>
      <c r="L8" s="73">
        <v>2024</v>
      </c>
      <c r="M8" s="73">
        <v>2025</v>
      </c>
      <c r="N8" s="223"/>
    </row>
    <row r="9" spans="1:17" s="58" customFormat="1" ht="21.75" customHeight="1">
      <c r="A9" s="75">
        <v>1</v>
      </c>
      <c r="B9" s="76">
        <v>2</v>
      </c>
      <c r="C9" s="76">
        <v>3</v>
      </c>
      <c r="D9" s="76"/>
      <c r="E9" s="76">
        <v>4</v>
      </c>
      <c r="F9" s="76">
        <v>5</v>
      </c>
      <c r="G9" s="77">
        <v>6</v>
      </c>
      <c r="H9" s="77">
        <v>9</v>
      </c>
      <c r="I9" s="77">
        <v>10</v>
      </c>
      <c r="J9" s="77">
        <v>10</v>
      </c>
      <c r="K9" s="77">
        <v>9</v>
      </c>
      <c r="L9" s="77">
        <v>10</v>
      </c>
      <c r="M9" s="77">
        <v>10</v>
      </c>
      <c r="N9" s="78">
        <v>11</v>
      </c>
    </row>
    <row r="10" spans="1:17" ht="30.75" customHeight="1">
      <c r="A10" s="224"/>
      <c r="B10" s="227" t="s">
        <v>146</v>
      </c>
      <c r="C10" s="230" t="s">
        <v>11</v>
      </c>
      <c r="D10" s="233" t="s">
        <v>12</v>
      </c>
      <c r="E10" s="230" t="s">
        <v>153</v>
      </c>
      <c r="F10" s="79" t="s">
        <v>14</v>
      </c>
      <c r="G10" s="80">
        <f t="shared" ref="G10:M10" si="2">G11+G12+G13</f>
        <v>5206525487.1199999</v>
      </c>
      <c r="H10" s="80">
        <f t="shared" si="2"/>
        <v>902432622.35000002</v>
      </c>
      <c r="I10" s="80">
        <f t="shared" si="2"/>
        <v>991516352.55999994</v>
      </c>
      <c r="J10" s="80">
        <f t="shared" si="2"/>
        <v>1053096145.1899999</v>
      </c>
      <c r="K10" s="80">
        <f t="shared" si="2"/>
        <v>1105766911.8699999</v>
      </c>
      <c r="L10" s="80">
        <f>L11+L12+L13</f>
        <v>1126127747.6700001</v>
      </c>
      <c r="M10" s="80">
        <f t="shared" si="2"/>
        <v>1153713455.1500001</v>
      </c>
      <c r="N10" s="236"/>
      <c r="O10" s="61"/>
    </row>
    <row r="11" spans="1:17" ht="30.75" customHeight="1">
      <c r="A11" s="225"/>
      <c r="B11" s="228"/>
      <c r="C11" s="231"/>
      <c r="D11" s="234"/>
      <c r="E11" s="231"/>
      <c r="F11" s="79" t="s">
        <v>133</v>
      </c>
      <c r="G11" s="80">
        <f>H11+I11+J11+K11+M11</f>
        <v>1348361248.3299999</v>
      </c>
      <c r="H11" s="81">
        <f t="shared" ref="H11:M13" si="3">H15+H35+H99+H127</f>
        <v>230451855.84</v>
      </c>
      <c r="I11" s="81">
        <f t="shared" si="3"/>
        <v>245028859.64000005</v>
      </c>
      <c r="J11" s="81">
        <f t="shared" si="3"/>
        <v>273217094.64000005</v>
      </c>
      <c r="K11" s="81">
        <f t="shared" si="3"/>
        <v>302209634.28999996</v>
      </c>
      <c r="L11" s="81">
        <f t="shared" si="3"/>
        <v>295069013.06999999</v>
      </c>
      <c r="M11" s="81">
        <f t="shared" si="3"/>
        <v>297453803.91999996</v>
      </c>
      <c r="N11" s="237"/>
      <c r="O11" s="61"/>
    </row>
    <row r="12" spans="1:17" ht="30.75" customHeight="1">
      <c r="A12" s="225"/>
      <c r="B12" s="228"/>
      <c r="C12" s="231"/>
      <c r="D12" s="234"/>
      <c r="E12" s="231"/>
      <c r="F12" s="79" t="s">
        <v>16</v>
      </c>
      <c r="G12" s="80">
        <f>H12+I12+J12+K12+M12</f>
        <v>3655651187.8999996</v>
      </c>
      <c r="H12" s="81">
        <f t="shared" si="3"/>
        <v>655000266.50999999</v>
      </c>
      <c r="I12" s="81">
        <f t="shared" si="3"/>
        <v>701159642.91999996</v>
      </c>
      <c r="J12" s="81">
        <f t="shared" si="3"/>
        <v>733922349.65999997</v>
      </c>
      <c r="K12" s="81">
        <f t="shared" si="3"/>
        <v>755962367.58000004</v>
      </c>
      <c r="L12" s="81">
        <f t="shared" si="3"/>
        <v>783630644.60000002</v>
      </c>
      <c r="M12" s="81">
        <f t="shared" si="3"/>
        <v>809606561.23000002</v>
      </c>
      <c r="N12" s="237"/>
      <c r="O12" s="61"/>
    </row>
    <row r="13" spans="1:17" ht="30.75" customHeight="1">
      <c r="A13" s="226"/>
      <c r="B13" s="229"/>
      <c r="C13" s="232"/>
      <c r="D13" s="235"/>
      <c r="E13" s="232"/>
      <c r="F13" s="79" t="s">
        <v>17</v>
      </c>
      <c r="G13" s="80">
        <f>H13+I13+J13+K13+M13</f>
        <v>202513050.88999999</v>
      </c>
      <c r="H13" s="81">
        <f t="shared" si="3"/>
        <v>16980500</v>
      </c>
      <c r="I13" s="81">
        <f t="shared" si="3"/>
        <v>45327850</v>
      </c>
      <c r="J13" s="81">
        <f t="shared" si="3"/>
        <v>45956700.890000001</v>
      </c>
      <c r="K13" s="81">
        <f t="shared" si="3"/>
        <v>47594910</v>
      </c>
      <c r="L13" s="81">
        <f t="shared" si="3"/>
        <v>47428090</v>
      </c>
      <c r="M13" s="81">
        <f t="shared" si="3"/>
        <v>46653090</v>
      </c>
      <c r="N13" s="238"/>
      <c r="O13" s="61"/>
    </row>
    <row r="14" spans="1:17" ht="21.75" customHeight="1">
      <c r="A14" s="253"/>
      <c r="B14" s="255" t="s">
        <v>19</v>
      </c>
      <c r="C14" s="257" t="s">
        <v>11</v>
      </c>
      <c r="D14" s="259" t="s">
        <v>12</v>
      </c>
      <c r="E14" s="257" t="s">
        <v>153</v>
      </c>
      <c r="F14" s="82" t="s">
        <v>14</v>
      </c>
      <c r="G14" s="83">
        <f t="shared" ref="G14:M14" si="4">G15+G16+G17</f>
        <v>1672873193.77</v>
      </c>
      <c r="H14" s="83">
        <f t="shared" si="4"/>
        <v>300538053.05000001</v>
      </c>
      <c r="I14" s="83">
        <f t="shared" si="4"/>
        <v>317314159.79000002</v>
      </c>
      <c r="J14" s="83">
        <f t="shared" si="4"/>
        <v>337089422.34000003</v>
      </c>
      <c r="K14" s="83">
        <f t="shared" si="4"/>
        <v>350226781.54000002</v>
      </c>
      <c r="L14" s="83">
        <f>L15+L16+L17</f>
        <v>357816487.05000001</v>
      </c>
      <c r="M14" s="83">
        <f t="shared" si="4"/>
        <v>367704777.05000001</v>
      </c>
      <c r="N14" s="263" t="s">
        <v>20</v>
      </c>
      <c r="O14" s="61"/>
    </row>
    <row r="15" spans="1:17" ht="21.75" customHeight="1">
      <c r="A15" s="254"/>
      <c r="B15" s="256"/>
      <c r="C15" s="258"/>
      <c r="D15" s="260"/>
      <c r="E15" s="258"/>
      <c r="F15" s="82" t="s">
        <v>133</v>
      </c>
      <c r="G15" s="83">
        <f>H15+I15+J15+K15+M15</f>
        <v>536168214.35000002</v>
      </c>
      <c r="H15" s="84">
        <f t="shared" ref="H15:M17" si="5">H19+H23+H27+H31</f>
        <v>96147672.620000005</v>
      </c>
      <c r="I15" s="84">
        <f t="shared" si="5"/>
        <v>99727111.450000003</v>
      </c>
      <c r="J15" s="84">
        <f>J19+J23+J27+J31</f>
        <v>106478462.18000001</v>
      </c>
      <c r="K15" s="84">
        <f t="shared" si="5"/>
        <v>116907484.05</v>
      </c>
      <c r="L15" s="84">
        <f>L19+L23+L27+L31</f>
        <v>115907484.05</v>
      </c>
      <c r="M15" s="84">
        <f t="shared" si="5"/>
        <v>116907484.05</v>
      </c>
      <c r="N15" s="264"/>
      <c r="O15" s="61"/>
    </row>
    <row r="16" spans="1:17" ht="21.75" customHeight="1">
      <c r="A16" s="254"/>
      <c r="B16" s="256"/>
      <c r="C16" s="258"/>
      <c r="D16" s="260"/>
      <c r="E16" s="258"/>
      <c r="F16" s="82" t="s">
        <v>16</v>
      </c>
      <c r="G16" s="83">
        <f>H16+I16+J16+K16+M16</f>
        <v>1136704979.4200001</v>
      </c>
      <c r="H16" s="84">
        <f t="shared" si="5"/>
        <v>204390380.43000001</v>
      </c>
      <c r="I16" s="84">
        <f t="shared" si="5"/>
        <v>217587048.34</v>
      </c>
      <c r="J16" s="84">
        <f>J20+J24+J28+J32</f>
        <v>230610960.16</v>
      </c>
      <c r="K16" s="84">
        <f t="shared" si="5"/>
        <v>233319297.49000001</v>
      </c>
      <c r="L16" s="84">
        <f>L20+L24+L28+L32</f>
        <v>241909003</v>
      </c>
      <c r="M16" s="84">
        <f t="shared" si="5"/>
        <v>250797293</v>
      </c>
      <c r="N16" s="264"/>
      <c r="O16" s="61"/>
    </row>
    <row r="17" spans="1:18" ht="21.75" customHeight="1">
      <c r="A17" s="254"/>
      <c r="B17" s="256"/>
      <c r="C17" s="258"/>
      <c r="D17" s="261"/>
      <c r="E17" s="258"/>
      <c r="F17" s="82" t="s">
        <v>17</v>
      </c>
      <c r="G17" s="83">
        <f>H17+I17+J17+K17+M17</f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>
        <f>L21+L25+L29+L33</f>
        <v>0</v>
      </c>
      <c r="M17" s="84">
        <f t="shared" si="5"/>
        <v>0</v>
      </c>
      <c r="N17" s="264"/>
      <c r="O17" s="61"/>
    </row>
    <row r="18" spans="1:18" ht="21.75" customHeight="1">
      <c r="A18" s="262" t="s">
        <v>18</v>
      </c>
      <c r="B18" s="246" t="s">
        <v>21</v>
      </c>
      <c r="C18" s="241" t="s">
        <v>11</v>
      </c>
      <c r="D18" s="249" t="s">
        <v>12</v>
      </c>
      <c r="E18" s="241" t="s">
        <v>153</v>
      </c>
      <c r="F18" s="85" t="s">
        <v>14</v>
      </c>
      <c r="G18" s="86">
        <f t="shared" ref="G18:M18" si="6">G19+G20+G21</f>
        <v>1519822756.1000001</v>
      </c>
      <c r="H18" s="86">
        <f t="shared" si="6"/>
        <v>271519528.05000001</v>
      </c>
      <c r="I18" s="86">
        <f t="shared" si="6"/>
        <v>286861735.72000003</v>
      </c>
      <c r="J18" s="87">
        <f t="shared" si="6"/>
        <v>302324793.74000001</v>
      </c>
      <c r="K18" s="86">
        <f t="shared" si="6"/>
        <v>323580831.54000002</v>
      </c>
      <c r="L18" s="86">
        <f>L19+L20+L21</f>
        <v>329935057.05000001</v>
      </c>
      <c r="M18" s="86">
        <f t="shared" si="6"/>
        <v>335535867.05000001</v>
      </c>
      <c r="N18" s="264"/>
      <c r="O18" s="61"/>
    </row>
    <row r="19" spans="1:18" ht="21.75" customHeight="1">
      <c r="A19" s="244"/>
      <c r="B19" s="247"/>
      <c r="C19" s="242"/>
      <c r="D19" s="250"/>
      <c r="E19" s="242"/>
      <c r="F19" s="85" t="s">
        <v>133</v>
      </c>
      <c r="G19" s="86">
        <f>H19+I19+J19+K19+M19</f>
        <v>532256284.19000006</v>
      </c>
      <c r="H19" s="86">
        <v>95367218.620000005</v>
      </c>
      <c r="I19" s="86">
        <f>98500729.44+251771.78</f>
        <v>98752501.219999999</v>
      </c>
      <c r="J19" s="87">
        <v>105878296.25</v>
      </c>
      <c r="K19" s="86">
        <v>116129134.05</v>
      </c>
      <c r="L19" s="86">
        <v>115129134.05</v>
      </c>
      <c r="M19" s="86">
        <v>116129134.05</v>
      </c>
      <c r="N19" s="264"/>
      <c r="O19" s="61"/>
    </row>
    <row r="20" spans="1:18" ht="21.75" customHeight="1">
      <c r="A20" s="244"/>
      <c r="B20" s="247"/>
      <c r="C20" s="242"/>
      <c r="D20" s="250"/>
      <c r="E20" s="242"/>
      <c r="F20" s="85" t="s">
        <v>16</v>
      </c>
      <c r="G20" s="86">
        <f>H20+I20+J20+K20+M20</f>
        <v>987566471.91000009</v>
      </c>
      <c r="H20" s="86">
        <f>176152309.43</f>
        <v>176152309.43000001</v>
      </c>
      <c r="I20" s="86">
        <f>188109234.5</f>
        <v>188109234.5</v>
      </c>
      <c r="J20" s="87">
        <f>193465907+2980590.49</f>
        <v>196446497.49000001</v>
      </c>
      <c r="K20" s="86">
        <v>207451697.49000001</v>
      </c>
      <c r="L20" s="86">
        <v>214805923</v>
      </c>
      <c r="M20" s="86">
        <v>219406733</v>
      </c>
      <c r="N20" s="264"/>
      <c r="O20" s="61"/>
    </row>
    <row r="21" spans="1:18" ht="21.75" customHeight="1">
      <c r="A21" s="244"/>
      <c r="B21" s="247"/>
      <c r="C21" s="242"/>
      <c r="D21" s="251"/>
      <c r="E21" s="242"/>
      <c r="F21" s="85" t="s">
        <v>17</v>
      </c>
      <c r="G21" s="86">
        <f>H21+I21+J21+K21+M21</f>
        <v>0</v>
      </c>
      <c r="H21" s="86">
        <v>0</v>
      </c>
      <c r="I21" s="86">
        <v>0</v>
      </c>
      <c r="J21" s="87">
        <v>0</v>
      </c>
      <c r="K21" s="86">
        <v>0</v>
      </c>
      <c r="L21" s="86">
        <v>0</v>
      </c>
      <c r="M21" s="86"/>
      <c r="N21" s="264"/>
      <c r="O21" s="61"/>
    </row>
    <row r="22" spans="1:18" ht="21.75" customHeight="1">
      <c r="A22" s="243" t="s">
        <v>128</v>
      </c>
      <c r="B22" s="246" t="s">
        <v>22</v>
      </c>
      <c r="C22" s="241" t="s">
        <v>11</v>
      </c>
      <c r="D22" s="249" t="s">
        <v>12</v>
      </c>
      <c r="E22" s="241" t="s">
        <v>153</v>
      </c>
      <c r="F22" s="85" t="s">
        <v>14</v>
      </c>
      <c r="G22" s="86">
        <f t="shared" ref="G22:M22" si="7">G23+G24+G25</f>
        <v>3911930.16</v>
      </c>
      <c r="H22" s="86">
        <f t="shared" si="7"/>
        <v>780454</v>
      </c>
      <c r="I22" s="86">
        <f t="shared" si="7"/>
        <v>974610.2300000001</v>
      </c>
      <c r="J22" s="87">
        <f t="shared" si="7"/>
        <v>600165.93000000005</v>
      </c>
      <c r="K22" s="86">
        <f t="shared" si="7"/>
        <v>778350</v>
      </c>
      <c r="L22" s="86">
        <f>L23+L24+L25</f>
        <v>778350</v>
      </c>
      <c r="M22" s="86">
        <f t="shared" si="7"/>
        <v>778350</v>
      </c>
      <c r="N22" s="264"/>
      <c r="O22" s="61"/>
    </row>
    <row r="23" spans="1:18" ht="21.75" customHeight="1">
      <c r="A23" s="244"/>
      <c r="B23" s="247"/>
      <c r="C23" s="242"/>
      <c r="D23" s="250"/>
      <c r="E23" s="242"/>
      <c r="F23" s="85" t="s">
        <v>133</v>
      </c>
      <c r="G23" s="86">
        <f>H23+I23+J23+K23+M23</f>
        <v>3911930.16</v>
      </c>
      <c r="H23" s="86">
        <v>780454</v>
      </c>
      <c r="I23" s="86">
        <f>858767.75+78575.57+37266.91</f>
        <v>974610.2300000001</v>
      </c>
      <c r="J23" s="87">
        <v>600165.93000000005</v>
      </c>
      <c r="K23" s="86">
        <v>778350</v>
      </c>
      <c r="L23" s="86">
        <v>778350</v>
      </c>
      <c r="M23" s="86">
        <v>778350</v>
      </c>
      <c r="N23" s="264"/>
      <c r="O23" s="61"/>
      <c r="R23" s="61"/>
    </row>
    <row r="24" spans="1:18" ht="21.75" customHeight="1">
      <c r="A24" s="244"/>
      <c r="B24" s="247"/>
      <c r="C24" s="242"/>
      <c r="D24" s="250"/>
      <c r="E24" s="242"/>
      <c r="F24" s="85" t="s">
        <v>16</v>
      </c>
      <c r="G24" s="86">
        <f>H24+I24+J24+K24+M24</f>
        <v>0</v>
      </c>
      <c r="H24" s="86">
        <v>0</v>
      </c>
      <c r="I24" s="86">
        <v>0</v>
      </c>
      <c r="J24" s="87">
        <v>0</v>
      </c>
      <c r="K24" s="86">
        <v>0</v>
      </c>
      <c r="L24" s="86">
        <v>0</v>
      </c>
      <c r="M24" s="86"/>
      <c r="N24" s="264"/>
      <c r="O24" s="61"/>
    </row>
    <row r="25" spans="1:18" ht="21.75" customHeight="1">
      <c r="A25" s="245"/>
      <c r="B25" s="248"/>
      <c r="C25" s="242"/>
      <c r="D25" s="251"/>
      <c r="E25" s="252"/>
      <c r="F25" s="85" t="s">
        <v>17</v>
      </c>
      <c r="G25" s="86">
        <f>H25+I25+J25+K25+M25</f>
        <v>0</v>
      </c>
      <c r="H25" s="86">
        <v>0</v>
      </c>
      <c r="I25" s="86">
        <v>0</v>
      </c>
      <c r="J25" s="87">
        <v>0</v>
      </c>
      <c r="K25" s="86">
        <v>0</v>
      </c>
      <c r="L25" s="86">
        <v>0</v>
      </c>
      <c r="M25" s="86"/>
      <c r="N25" s="264"/>
      <c r="O25" s="61"/>
    </row>
    <row r="26" spans="1:18" ht="21.75" customHeight="1">
      <c r="A26" s="243" t="s">
        <v>144</v>
      </c>
      <c r="B26" s="246" t="s">
        <v>23</v>
      </c>
      <c r="C26" s="241" t="s">
        <v>11</v>
      </c>
      <c r="D26" s="249" t="s">
        <v>12</v>
      </c>
      <c r="E26" s="241" t="s">
        <v>153</v>
      </c>
      <c r="F26" s="85" t="s">
        <v>14</v>
      </c>
      <c r="G26" s="86">
        <f t="shared" ref="G26:M26" si="8">G27+G28+G29</f>
        <v>98616493.590000004</v>
      </c>
      <c r="H26" s="86">
        <f t="shared" si="8"/>
        <v>18787671</v>
      </c>
      <c r="I26" s="86">
        <f t="shared" si="8"/>
        <v>19609249.84</v>
      </c>
      <c r="J26" s="87">
        <f t="shared" si="8"/>
        <v>21497572.75</v>
      </c>
      <c r="K26" s="86">
        <f t="shared" si="8"/>
        <v>17322000</v>
      </c>
      <c r="L26" s="86">
        <f>L27+L28+L29</f>
        <v>18450000</v>
      </c>
      <c r="M26" s="86">
        <f t="shared" si="8"/>
        <v>21400000</v>
      </c>
      <c r="N26" s="264"/>
      <c r="O26" s="61"/>
    </row>
    <row r="27" spans="1:18" ht="21.75" customHeight="1">
      <c r="A27" s="244"/>
      <c r="B27" s="247"/>
      <c r="C27" s="242"/>
      <c r="D27" s="250"/>
      <c r="E27" s="242"/>
      <c r="F27" s="85" t="s">
        <v>133</v>
      </c>
      <c r="G27" s="86">
        <f>H27+I27+J27+K27+M27</f>
        <v>0</v>
      </c>
      <c r="H27" s="86">
        <v>0</v>
      </c>
      <c r="I27" s="86">
        <v>0</v>
      </c>
      <c r="J27" s="87">
        <v>0</v>
      </c>
      <c r="K27" s="86">
        <v>0</v>
      </c>
      <c r="L27" s="86">
        <v>0</v>
      </c>
      <c r="M27" s="86">
        <v>0</v>
      </c>
      <c r="N27" s="264"/>
      <c r="O27" s="61"/>
    </row>
    <row r="28" spans="1:18" ht="21.75" customHeight="1">
      <c r="A28" s="244"/>
      <c r="B28" s="247"/>
      <c r="C28" s="242"/>
      <c r="D28" s="250"/>
      <c r="E28" s="242"/>
      <c r="F28" s="85" t="s">
        <v>16</v>
      </c>
      <c r="G28" s="86">
        <f>H28+I28+J28+K28+M28</f>
        <v>98616493.590000004</v>
      </c>
      <c r="H28" s="86">
        <v>18787671</v>
      </c>
      <c r="I28" s="86">
        <v>19609249.84</v>
      </c>
      <c r="J28" s="87">
        <f>'[2]остатки средств в ФК_8'!$R$19</f>
        <v>21497572.75</v>
      </c>
      <c r="K28" s="86">
        <v>17322000</v>
      </c>
      <c r="L28" s="86">
        <v>18450000</v>
      </c>
      <c r="M28" s="86">
        <v>21400000</v>
      </c>
      <c r="N28" s="264"/>
      <c r="O28" s="61"/>
    </row>
    <row r="29" spans="1:18" ht="21.75" customHeight="1">
      <c r="A29" s="245"/>
      <c r="B29" s="248"/>
      <c r="C29" s="242"/>
      <c r="D29" s="251"/>
      <c r="E29" s="252"/>
      <c r="F29" s="85" t="s">
        <v>17</v>
      </c>
      <c r="G29" s="86">
        <f>H29+I29+J29+K29+M29</f>
        <v>0</v>
      </c>
      <c r="H29" s="86">
        <v>0</v>
      </c>
      <c r="I29" s="86">
        <v>0</v>
      </c>
      <c r="J29" s="87">
        <v>0</v>
      </c>
      <c r="K29" s="86">
        <v>0</v>
      </c>
      <c r="L29" s="86">
        <v>0</v>
      </c>
      <c r="M29" s="86">
        <v>0</v>
      </c>
      <c r="N29" s="264"/>
      <c r="P29" s="61"/>
    </row>
    <row r="30" spans="1:18" ht="21.75" customHeight="1">
      <c r="A30" s="243" t="s">
        <v>145</v>
      </c>
      <c r="B30" s="246" t="s">
        <v>24</v>
      </c>
      <c r="C30" s="241" t="s">
        <v>11</v>
      </c>
      <c r="D30" s="249" t="s">
        <v>12</v>
      </c>
      <c r="E30" s="241" t="s">
        <v>153</v>
      </c>
      <c r="F30" s="85" t="s">
        <v>14</v>
      </c>
      <c r="G30" s="86">
        <f t="shared" ref="G30:M30" si="9">G31+G32+G33</f>
        <v>50522013.920000002</v>
      </c>
      <c r="H30" s="86">
        <f t="shared" si="9"/>
        <v>9450400</v>
      </c>
      <c r="I30" s="86">
        <f t="shared" si="9"/>
        <v>9868564</v>
      </c>
      <c r="J30" s="87">
        <f t="shared" si="9"/>
        <v>12666889.92</v>
      </c>
      <c r="K30" s="86">
        <f t="shared" si="9"/>
        <v>8545600</v>
      </c>
      <c r="L30" s="86">
        <f>L31+L32+L33</f>
        <v>8653080</v>
      </c>
      <c r="M30" s="86">
        <f t="shared" si="9"/>
        <v>9990560</v>
      </c>
      <c r="N30" s="264"/>
      <c r="O30" s="61"/>
    </row>
    <row r="31" spans="1:18" ht="21.75" customHeight="1">
      <c r="A31" s="244"/>
      <c r="B31" s="247"/>
      <c r="C31" s="242"/>
      <c r="D31" s="250"/>
      <c r="E31" s="242"/>
      <c r="F31" s="85" t="s">
        <v>133</v>
      </c>
      <c r="G31" s="86">
        <f>H31+I31+J31+K31+M31</f>
        <v>0</v>
      </c>
      <c r="H31" s="86">
        <v>0</v>
      </c>
      <c r="I31" s="86">
        <v>0</v>
      </c>
      <c r="J31" s="87">
        <v>0</v>
      </c>
      <c r="K31" s="86">
        <v>0</v>
      </c>
      <c r="L31" s="86">
        <v>0</v>
      </c>
      <c r="M31" s="86">
        <v>0</v>
      </c>
      <c r="N31" s="264"/>
    </row>
    <row r="32" spans="1:18" ht="21.75" customHeight="1">
      <c r="A32" s="244"/>
      <c r="B32" s="247"/>
      <c r="C32" s="242"/>
      <c r="D32" s="250"/>
      <c r="E32" s="242"/>
      <c r="F32" s="85" t="s">
        <v>16</v>
      </c>
      <c r="G32" s="86">
        <f>H32+I32+J32+K32+M32</f>
        <v>50522013.920000002</v>
      </c>
      <c r="H32" s="86">
        <v>9450400</v>
      </c>
      <c r="I32" s="86">
        <v>9868564</v>
      </c>
      <c r="J32" s="87">
        <v>12666889.92</v>
      </c>
      <c r="K32" s="86">
        <v>8545600</v>
      </c>
      <c r="L32" s="86">
        <v>8653080</v>
      </c>
      <c r="M32" s="86">
        <v>9990560</v>
      </c>
      <c r="N32" s="264"/>
    </row>
    <row r="33" spans="1:41" ht="21.75" customHeight="1">
      <c r="A33" s="245"/>
      <c r="B33" s="248"/>
      <c r="C33" s="242"/>
      <c r="D33" s="251"/>
      <c r="E33" s="252"/>
      <c r="F33" s="85" t="s">
        <v>17</v>
      </c>
      <c r="G33" s="86">
        <f>H33+I33+J33+K33+M33</f>
        <v>0</v>
      </c>
      <c r="H33" s="86">
        <v>0</v>
      </c>
      <c r="I33" s="86">
        <v>0</v>
      </c>
      <c r="J33" s="87">
        <v>0</v>
      </c>
      <c r="K33" s="86">
        <v>0</v>
      </c>
      <c r="L33" s="86">
        <v>0</v>
      </c>
      <c r="M33" s="86">
        <v>0</v>
      </c>
      <c r="N33" s="268"/>
      <c r="P33" s="61"/>
    </row>
    <row r="34" spans="1:41" ht="21.75" customHeight="1">
      <c r="A34" s="269"/>
      <c r="B34" s="272" t="s">
        <v>26</v>
      </c>
      <c r="C34" s="257" t="s">
        <v>11</v>
      </c>
      <c r="D34" s="259" t="s">
        <v>27</v>
      </c>
      <c r="E34" s="257" t="s">
        <v>153</v>
      </c>
      <c r="F34" s="82" t="s">
        <v>14</v>
      </c>
      <c r="G34" s="83">
        <f t="shared" ref="G34:M34" si="10">G35+G36+G37</f>
        <v>2918154049.27</v>
      </c>
      <c r="H34" s="83">
        <f t="shared" si="10"/>
        <v>505658629.72000003</v>
      </c>
      <c r="I34" s="83">
        <f t="shared" si="10"/>
        <v>557839719.20000005</v>
      </c>
      <c r="J34" s="83">
        <f t="shared" si="10"/>
        <v>591237067.14999998</v>
      </c>
      <c r="K34" s="83">
        <f t="shared" si="10"/>
        <v>616206606.97000003</v>
      </c>
      <c r="L34" s="83">
        <f>L35+L36+L37</f>
        <v>631197752.25999999</v>
      </c>
      <c r="M34" s="83">
        <f t="shared" si="10"/>
        <v>647212026.23000002</v>
      </c>
      <c r="N34" s="263" t="s">
        <v>28</v>
      </c>
    </row>
    <row r="35" spans="1:41" ht="21.75" customHeight="1">
      <c r="A35" s="270"/>
      <c r="B35" s="273"/>
      <c r="C35" s="258"/>
      <c r="D35" s="260"/>
      <c r="E35" s="258"/>
      <c r="F35" s="82" t="s">
        <v>133</v>
      </c>
      <c r="G35" s="83">
        <f>H35+I35+J35+K35+M35</f>
        <v>684324284.77999997</v>
      </c>
      <c r="H35" s="83">
        <f t="shared" ref="H35:M37" si="11">H39+H43+H47+H51+H83+H87+H91+H71+H75+H79+H55+H59+H63+H67</f>
        <v>114137373.15000001</v>
      </c>
      <c r="I35" s="83">
        <f t="shared" si="11"/>
        <v>124208329.39000002</v>
      </c>
      <c r="J35" s="83">
        <f t="shared" si="11"/>
        <v>140136671.78</v>
      </c>
      <c r="K35" s="83">
        <f t="shared" si="11"/>
        <v>153202758.22999996</v>
      </c>
      <c r="L35" s="83">
        <f t="shared" si="11"/>
        <v>151153056.25999999</v>
      </c>
      <c r="M35" s="83">
        <f t="shared" si="11"/>
        <v>152639152.22999996</v>
      </c>
      <c r="N35" s="264"/>
      <c r="AO35" s="61">
        <f>SUM('на 01.03.'!$G$34:$AN$93)</f>
        <v>25878840171.199997</v>
      </c>
    </row>
    <row r="36" spans="1:41" ht="21.75" customHeight="1">
      <c r="A36" s="270"/>
      <c r="B36" s="273"/>
      <c r="C36" s="258"/>
      <c r="D36" s="260"/>
      <c r="E36" s="258"/>
      <c r="F36" s="82" t="s">
        <v>16</v>
      </c>
      <c r="G36" s="83">
        <f>H36+I36+J36+K36+M36</f>
        <v>2100169464.49</v>
      </c>
      <c r="H36" s="83">
        <f t="shared" si="11"/>
        <v>380939856.56999999</v>
      </c>
      <c r="I36" s="83">
        <f t="shared" si="11"/>
        <v>402852039.81</v>
      </c>
      <c r="J36" s="83">
        <f t="shared" si="11"/>
        <v>419990345.37</v>
      </c>
      <c r="K36" s="83">
        <f t="shared" si="11"/>
        <v>432598338.74000001</v>
      </c>
      <c r="L36" s="83">
        <f t="shared" si="11"/>
        <v>449260706</v>
      </c>
      <c r="M36" s="83">
        <f t="shared" si="11"/>
        <v>463788884</v>
      </c>
      <c r="N36" s="264"/>
      <c r="AO36" s="61">
        <f>SUM('на 01.03.'!$G$34:$AN$93)</f>
        <v>25878840171.199997</v>
      </c>
    </row>
    <row r="37" spans="1:41" ht="21.75" customHeight="1">
      <c r="A37" s="271"/>
      <c r="B37" s="274"/>
      <c r="C37" s="275"/>
      <c r="D37" s="261"/>
      <c r="E37" s="275"/>
      <c r="F37" s="82" t="s">
        <v>17</v>
      </c>
      <c r="G37" s="83">
        <f>H37+I37+J37+K37+M37</f>
        <v>133660300</v>
      </c>
      <c r="H37" s="83">
        <f t="shared" si="11"/>
        <v>10581400</v>
      </c>
      <c r="I37" s="83">
        <f t="shared" si="11"/>
        <v>30779350</v>
      </c>
      <c r="J37" s="83">
        <f t="shared" si="11"/>
        <v>31110050</v>
      </c>
      <c r="K37" s="83">
        <f t="shared" si="11"/>
        <v>30405510</v>
      </c>
      <c r="L37" s="83">
        <f t="shared" si="11"/>
        <v>30783990</v>
      </c>
      <c r="M37" s="83">
        <f t="shared" si="11"/>
        <v>30783990</v>
      </c>
      <c r="N37" s="264"/>
      <c r="AO37" s="61">
        <f>SUM('на 01.03.'!$G$34:$AN$93)</f>
        <v>25878840171.199997</v>
      </c>
    </row>
    <row r="38" spans="1:41" ht="21.75" hidden="1" customHeight="1" outlineLevel="1">
      <c r="A38" s="243" t="s">
        <v>29</v>
      </c>
      <c r="B38" s="265" t="s">
        <v>30</v>
      </c>
      <c r="C38" s="241" t="s">
        <v>11</v>
      </c>
      <c r="D38" s="249" t="s">
        <v>27</v>
      </c>
      <c r="E38" s="241" t="s">
        <v>153</v>
      </c>
      <c r="F38" s="85" t="s">
        <v>14</v>
      </c>
      <c r="G38" s="86">
        <f t="shared" ref="G38:M38" si="12">G39+G40+G41</f>
        <v>0</v>
      </c>
      <c r="H38" s="86">
        <f t="shared" si="12"/>
        <v>0</v>
      </c>
      <c r="I38" s="86">
        <f t="shared" si="12"/>
        <v>0</v>
      </c>
      <c r="J38" s="87">
        <f t="shared" si="12"/>
        <v>0</v>
      </c>
      <c r="K38" s="86">
        <f t="shared" si="12"/>
        <v>0</v>
      </c>
      <c r="L38" s="86">
        <f>L39+L40+L41</f>
        <v>0</v>
      </c>
      <c r="M38" s="86">
        <f t="shared" si="12"/>
        <v>0</v>
      </c>
      <c r="N38" s="264"/>
      <c r="AO38" s="61">
        <f>SUM('на 01.03.'!$G$34:$AN$93)</f>
        <v>25878840171.199997</v>
      </c>
    </row>
    <row r="39" spans="1:41" ht="21.75" hidden="1" customHeight="1" outlineLevel="1">
      <c r="A39" s="244"/>
      <c r="B39" s="266"/>
      <c r="C39" s="242"/>
      <c r="D39" s="250"/>
      <c r="E39" s="242"/>
      <c r="F39" s="85" t="s">
        <v>133</v>
      </c>
      <c r="G39" s="86">
        <f>H39+I39+J39+K39+M39</f>
        <v>0</v>
      </c>
      <c r="H39" s="86">
        <v>0</v>
      </c>
      <c r="I39" s="86">
        <v>0</v>
      </c>
      <c r="J39" s="87">
        <v>0</v>
      </c>
      <c r="K39" s="86">
        <v>0</v>
      </c>
      <c r="L39" s="86">
        <v>0</v>
      </c>
      <c r="M39" s="86">
        <v>0</v>
      </c>
      <c r="N39" s="264"/>
      <c r="AO39" s="61">
        <f>SUM(AO35:AO38)</f>
        <v>103515360684.79999</v>
      </c>
    </row>
    <row r="40" spans="1:41" ht="21.75" hidden="1" customHeight="1" outlineLevel="1">
      <c r="A40" s="244"/>
      <c r="B40" s="266"/>
      <c r="C40" s="242"/>
      <c r="D40" s="250"/>
      <c r="E40" s="242"/>
      <c r="F40" s="85" t="s">
        <v>16</v>
      </c>
      <c r="G40" s="86">
        <f>H40+I40+J40+K40+M40</f>
        <v>0</v>
      </c>
      <c r="H40" s="86"/>
      <c r="I40" s="86"/>
      <c r="J40" s="87"/>
      <c r="K40" s="86"/>
      <c r="L40" s="86"/>
      <c r="M40" s="86"/>
      <c r="N40" s="264"/>
    </row>
    <row r="41" spans="1:41" ht="21.75" hidden="1" customHeight="1" outlineLevel="1">
      <c r="A41" s="245"/>
      <c r="B41" s="267"/>
      <c r="C41" s="242"/>
      <c r="D41" s="251"/>
      <c r="E41" s="252"/>
      <c r="F41" s="85" t="s">
        <v>17</v>
      </c>
      <c r="G41" s="86">
        <f>H41+I41+J41+K41+M41</f>
        <v>0</v>
      </c>
      <c r="H41" s="86">
        <v>0</v>
      </c>
      <c r="I41" s="86">
        <v>0</v>
      </c>
      <c r="J41" s="87">
        <v>0</v>
      </c>
      <c r="K41" s="86">
        <v>0</v>
      </c>
      <c r="L41" s="86">
        <v>0</v>
      </c>
      <c r="M41" s="86">
        <v>0</v>
      </c>
      <c r="N41" s="264"/>
      <c r="O41" s="61"/>
    </row>
    <row r="42" spans="1:41" ht="21.75" hidden="1" customHeight="1" outlineLevel="1">
      <c r="A42" s="243" t="s">
        <v>31</v>
      </c>
      <c r="B42" s="265" t="s">
        <v>32</v>
      </c>
      <c r="C42" s="241" t="s">
        <v>11</v>
      </c>
      <c r="D42" s="249" t="s">
        <v>27</v>
      </c>
      <c r="E42" s="241" t="s">
        <v>153</v>
      </c>
      <c r="F42" s="85" t="s">
        <v>14</v>
      </c>
      <c r="G42" s="86">
        <f t="shared" ref="G42:M42" si="13">G43+G44+G45</f>
        <v>0</v>
      </c>
      <c r="H42" s="86">
        <f t="shared" si="13"/>
        <v>0</v>
      </c>
      <c r="I42" s="86">
        <f t="shared" si="13"/>
        <v>0</v>
      </c>
      <c r="J42" s="87">
        <f t="shared" si="13"/>
        <v>0</v>
      </c>
      <c r="K42" s="86">
        <f t="shared" si="13"/>
        <v>0</v>
      </c>
      <c r="L42" s="86">
        <f>L43+L44+L45</f>
        <v>0</v>
      </c>
      <c r="M42" s="86">
        <f t="shared" si="13"/>
        <v>0</v>
      </c>
      <c r="N42" s="264"/>
      <c r="P42" s="61"/>
    </row>
    <row r="43" spans="1:41" ht="21.75" hidden="1" customHeight="1" outlineLevel="1">
      <c r="A43" s="244"/>
      <c r="B43" s="266"/>
      <c r="C43" s="242"/>
      <c r="D43" s="250"/>
      <c r="E43" s="242"/>
      <c r="F43" s="85" t="s">
        <v>133</v>
      </c>
      <c r="G43" s="86">
        <f>H43+I43+J43+K43+M43</f>
        <v>0</v>
      </c>
      <c r="H43" s="86">
        <v>0</v>
      </c>
      <c r="I43" s="86">
        <v>0</v>
      </c>
      <c r="J43" s="87">
        <v>0</v>
      </c>
      <c r="K43" s="86">
        <v>0</v>
      </c>
      <c r="L43" s="86">
        <v>0</v>
      </c>
      <c r="M43" s="86">
        <v>0</v>
      </c>
      <c r="N43" s="264"/>
    </row>
    <row r="44" spans="1:41" ht="21.75" hidden="1" customHeight="1" outlineLevel="1">
      <c r="A44" s="244"/>
      <c r="B44" s="266"/>
      <c r="C44" s="242"/>
      <c r="D44" s="250"/>
      <c r="E44" s="242"/>
      <c r="F44" s="85" t="s">
        <v>16</v>
      </c>
      <c r="G44" s="86">
        <f>H44+I44+J44+K44+M44</f>
        <v>0</v>
      </c>
      <c r="H44" s="86"/>
      <c r="I44" s="86"/>
      <c r="J44" s="87"/>
      <c r="K44" s="86"/>
      <c r="L44" s="86"/>
      <c r="M44" s="86"/>
      <c r="N44" s="264"/>
      <c r="O44" s="88">
        <f>'[3]9 мес 2021'!$H$25-I44</f>
        <v>8816768</v>
      </c>
    </row>
    <row r="45" spans="1:41" ht="21.75" hidden="1" customHeight="1" outlineLevel="1">
      <c r="A45" s="245"/>
      <c r="B45" s="267"/>
      <c r="C45" s="242"/>
      <c r="D45" s="251"/>
      <c r="E45" s="252"/>
      <c r="F45" s="85" t="s">
        <v>17</v>
      </c>
      <c r="G45" s="86">
        <f>H45+I45+J45+K45+M45</f>
        <v>0</v>
      </c>
      <c r="H45" s="86">
        <v>0</v>
      </c>
      <c r="I45" s="86">
        <v>0</v>
      </c>
      <c r="J45" s="87">
        <v>0</v>
      </c>
      <c r="K45" s="86">
        <v>0</v>
      </c>
      <c r="L45" s="86">
        <v>0</v>
      </c>
      <c r="M45" s="86">
        <v>0</v>
      </c>
      <c r="N45" s="264"/>
      <c r="O45" s="89"/>
    </row>
    <row r="46" spans="1:41" ht="21.75" hidden="1" customHeight="1" outlineLevel="1">
      <c r="A46" s="243" t="s">
        <v>33</v>
      </c>
      <c r="B46" s="265" t="s">
        <v>34</v>
      </c>
      <c r="C46" s="241" t="s">
        <v>11</v>
      </c>
      <c r="D46" s="249" t="s">
        <v>27</v>
      </c>
      <c r="E46" s="241" t="s">
        <v>153</v>
      </c>
      <c r="F46" s="85" t="s">
        <v>14</v>
      </c>
      <c r="G46" s="86">
        <f t="shared" ref="G46:M46" si="14">G47+G48+G49</f>
        <v>0</v>
      </c>
      <c r="H46" s="86">
        <f t="shared" si="14"/>
        <v>0</v>
      </c>
      <c r="I46" s="86">
        <f t="shared" si="14"/>
        <v>0</v>
      </c>
      <c r="J46" s="87">
        <f t="shared" si="14"/>
        <v>0</v>
      </c>
      <c r="K46" s="86">
        <f t="shared" si="14"/>
        <v>0</v>
      </c>
      <c r="L46" s="86">
        <f>L47+L48+L49</f>
        <v>0</v>
      </c>
      <c r="M46" s="86">
        <f t="shared" si="14"/>
        <v>0</v>
      </c>
      <c r="N46" s="264"/>
      <c r="O46" s="89"/>
    </row>
    <row r="47" spans="1:41" ht="21.75" hidden="1" customHeight="1" outlineLevel="1">
      <c r="A47" s="244"/>
      <c r="B47" s="266"/>
      <c r="C47" s="242"/>
      <c r="D47" s="250"/>
      <c r="E47" s="242"/>
      <c r="F47" s="85" t="s">
        <v>133</v>
      </c>
      <c r="G47" s="86">
        <f>H47+I47+J47+K47+M47</f>
        <v>0</v>
      </c>
      <c r="H47" s="86">
        <v>0</v>
      </c>
      <c r="I47" s="86">
        <v>0</v>
      </c>
      <c r="J47" s="87">
        <v>0</v>
      </c>
      <c r="K47" s="86">
        <v>0</v>
      </c>
      <c r="L47" s="86">
        <v>0</v>
      </c>
      <c r="M47" s="86">
        <v>0</v>
      </c>
      <c r="N47" s="264"/>
      <c r="O47" s="89"/>
    </row>
    <row r="48" spans="1:41" ht="21.75" hidden="1" customHeight="1" outlineLevel="1">
      <c r="A48" s="244"/>
      <c r="B48" s="266"/>
      <c r="C48" s="242"/>
      <c r="D48" s="250"/>
      <c r="E48" s="242"/>
      <c r="F48" s="85" t="s">
        <v>16</v>
      </c>
      <c r="G48" s="86">
        <f>H48+I48+J48+K48+M48</f>
        <v>0</v>
      </c>
      <c r="H48" s="86"/>
      <c r="I48" s="86"/>
      <c r="J48" s="87"/>
      <c r="K48" s="86"/>
      <c r="L48" s="86"/>
      <c r="M48" s="86"/>
      <c r="N48" s="264"/>
      <c r="O48" s="88"/>
    </row>
    <row r="49" spans="1:16" ht="21.75" hidden="1" customHeight="1" outlineLevel="1">
      <c r="A49" s="245"/>
      <c r="B49" s="267"/>
      <c r="C49" s="242"/>
      <c r="D49" s="251"/>
      <c r="E49" s="252"/>
      <c r="F49" s="85" t="s">
        <v>17</v>
      </c>
      <c r="G49" s="86">
        <f>H49+I49+J49+K49+M49</f>
        <v>0</v>
      </c>
      <c r="H49" s="86">
        <v>0</v>
      </c>
      <c r="I49" s="86">
        <v>0</v>
      </c>
      <c r="J49" s="87">
        <v>0</v>
      </c>
      <c r="K49" s="86">
        <v>0</v>
      </c>
      <c r="L49" s="86">
        <v>0</v>
      </c>
      <c r="M49" s="86">
        <v>0</v>
      </c>
      <c r="N49" s="264"/>
    </row>
    <row r="50" spans="1:16" ht="21.75" customHeight="1" collapsed="1">
      <c r="A50" s="243" t="s">
        <v>18</v>
      </c>
      <c r="B50" s="246" t="s">
        <v>35</v>
      </c>
      <c r="C50" s="241" t="s">
        <v>11</v>
      </c>
      <c r="D50" s="249" t="s">
        <v>27</v>
      </c>
      <c r="E50" s="241" t="s">
        <v>153</v>
      </c>
      <c r="F50" s="85" t="s">
        <v>14</v>
      </c>
      <c r="G50" s="86">
        <f t="shared" ref="G50:M50" si="15">G51+G52+G53</f>
        <v>2601779064.29</v>
      </c>
      <c r="H50" s="86">
        <f t="shared" si="15"/>
        <v>470828018.72000003</v>
      </c>
      <c r="I50" s="86">
        <f t="shared" si="15"/>
        <v>487676039.38999999</v>
      </c>
      <c r="J50" s="87">
        <f t="shared" si="15"/>
        <v>517542710.49000001</v>
      </c>
      <c r="K50" s="86">
        <f t="shared" si="15"/>
        <v>551587039.0999999</v>
      </c>
      <c r="L50" s="86">
        <f>L51+L52+L53</f>
        <v>563780982.62</v>
      </c>
      <c r="M50" s="86">
        <f t="shared" si="15"/>
        <v>574145256.58999991</v>
      </c>
      <c r="N50" s="264"/>
      <c r="O50" s="61"/>
    </row>
    <row r="51" spans="1:16" ht="21.75" customHeight="1">
      <c r="A51" s="244"/>
      <c r="B51" s="247"/>
      <c r="C51" s="242"/>
      <c r="D51" s="250"/>
      <c r="E51" s="242"/>
      <c r="F51" s="85" t="s">
        <v>133</v>
      </c>
      <c r="G51" s="86">
        <f>H51+I51+J51+K51+M51</f>
        <v>670742244.19999993</v>
      </c>
      <c r="H51" s="86">
        <v>111005611.15000001</v>
      </c>
      <c r="I51" s="86">
        <f>112774045.47+5964026+1921557.81+130535.61</f>
        <v>120790164.89</v>
      </c>
      <c r="J51" s="87">
        <v>137433722.97999999</v>
      </c>
      <c r="K51" s="86">
        <v>150756372.58999997</v>
      </c>
      <c r="L51" s="86">
        <v>149270276.62</v>
      </c>
      <c r="M51" s="86">
        <v>150756372.58999997</v>
      </c>
      <c r="N51" s="264"/>
    </row>
    <row r="52" spans="1:16" ht="21.75" customHeight="1">
      <c r="A52" s="244"/>
      <c r="B52" s="247"/>
      <c r="C52" s="242"/>
      <c r="D52" s="250"/>
      <c r="E52" s="242"/>
      <c r="F52" s="85" t="s">
        <v>16</v>
      </c>
      <c r="G52" s="86">
        <f>H52+I52+J52+K52+M52</f>
        <v>1920455420.0899999</v>
      </c>
      <c r="H52" s="86">
        <f>349241007.57</f>
        <v>349241007.56999999</v>
      </c>
      <c r="I52" s="86">
        <f>366885874.5</f>
        <v>366885874.5</v>
      </c>
      <c r="J52" s="87">
        <f>347896678+12327200+2879809.51+12005300+5000000</f>
        <v>380108987.50999999</v>
      </c>
      <c r="K52" s="86">
        <v>400830666.50999999</v>
      </c>
      <c r="L52" s="86">
        <v>414510706</v>
      </c>
      <c r="M52" s="86">
        <v>423388884</v>
      </c>
      <c r="N52" s="264"/>
      <c r="O52" s="61"/>
    </row>
    <row r="53" spans="1:16" ht="21.75" customHeight="1">
      <c r="A53" s="245"/>
      <c r="B53" s="248"/>
      <c r="C53" s="242"/>
      <c r="D53" s="251"/>
      <c r="E53" s="252"/>
      <c r="F53" s="85" t="s">
        <v>17</v>
      </c>
      <c r="G53" s="86">
        <f>H53+I53+J53+K53+M53</f>
        <v>10581400</v>
      </c>
      <c r="H53" s="86">
        <v>10581400</v>
      </c>
      <c r="I53" s="86">
        <v>0</v>
      </c>
      <c r="J53" s="87">
        <v>0</v>
      </c>
      <c r="K53" s="86">
        <v>0</v>
      </c>
      <c r="L53" s="86">
        <v>0</v>
      </c>
      <c r="M53" s="86">
        <v>0</v>
      </c>
      <c r="N53" s="264"/>
      <c r="O53" s="89"/>
      <c r="P53" s="90"/>
    </row>
    <row r="54" spans="1:16" ht="21.75" customHeight="1" collapsed="1">
      <c r="A54" s="243" t="s">
        <v>25</v>
      </c>
      <c r="B54" s="246" t="s">
        <v>40</v>
      </c>
      <c r="C54" s="241" t="s">
        <v>11</v>
      </c>
      <c r="D54" s="249" t="s">
        <v>27</v>
      </c>
      <c r="E54" s="241" t="s">
        <v>153</v>
      </c>
      <c r="F54" s="85" t="s">
        <v>14</v>
      </c>
      <c r="G54" s="86">
        <f t="shared" ref="G54:M54" si="16">G55+G56+G57</f>
        <v>123078900</v>
      </c>
      <c r="H54" s="86">
        <f t="shared" si="16"/>
        <v>0</v>
      </c>
      <c r="I54" s="86">
        <f t="shared" si="16"/>
        <v>30779350</v>
      </c>
      <c r="J54" s="87">
        <f t="shared" si="16"/>
        <v>31110050</v>
      </c>
      <c r="K54" s="86">
        <f t="shared" si="16"/>
        <v>30405510</v>
      </c>
      <c r="L54" s="86">
        <f t="shared" si="16"/>
        <v>30783990</v>
      </c>
      <c r="M54" s="86">
        <f t="shared" si="16"/>
        <v>30783990</v>
      </c>
      <c r="N54" s="264"/>
    </row>
    <row r="55" spans="1:16" ht="21.75" customHeight="1">
      <c r="A55" s="244"/>
      <c r="B55" s="247"/>
      <c r="C55" s="242"/>
      <c r="D55" s="250"/>
      <c r="E55" s="242"/>
      <c r="F55" s="85" t="s">
        <v>133</v>
      </c>
      <c r="G55" s="86">
        <f>H55+I55+J55+K55+M55</f>
        <v>0</v>
      </c>
      <c r="H55" s="86">
        <v>0</v>
      </c>
      <c r="I55" s="86">
        <v>0</v>
      </c>
      <c r="J55" s="87">
        <v>0</v>
      </c>
      <c r="K55" s="86">
        <v>0</v>
      </c>
      <c r="L55" s="86">
        <v>0</v>
      </c>
      <c r="M55" s="86">
        <v>0</v>
      </c>
      <c r="N55" s="264"/>
    </row>
    <row r="56" spans="1:16" ht="21.75" customHeight="1">
      <c r="A56" s="244"/>
      <c r="B56" s="247"/>
      <c r="C56" s="242"/>
      <c r="D56" s="250"/>
      <c r="E56" s="242"/>
      <c r="F56" s="85" t="s">
        <v>16</v>
      </c>
      <c r="G56" s="86">
        <f>H56+I56+J56+K56+M56</f>
        <v>0</v>
      </c>
      <c r="H56" s="86">
        <v>0</v>
      </c>
      <c r="I56" s="86">
        <v>0</v>
      </c>
      <c r="J56" s="87">
        <v>0</v>
      </c>
      <c r="K56" s="86">
        <v>0</v>
      </c>
      <c r="L56" s="86">
        <v>0</v>
      </c>
      <c r="M56" s="86">
        <v>0</v>
      </c>
      <c r="N56" s="264"/>
    </row>
    <row r="57" spans="1:16" ht="21.75" customHeight="1">
      <c r="A57" s="245"/>
      <c r="B57" s="248"/>
      <c r="C57" s="242"/>
      <c r="D57" s="251"/>
      <c r="E57" s="252"/>
      <c r="F57" s="85" t="s">
        <v>17</v>
      </c>
      <c r="G57" s="86">
        <f>H57+I57+J57+K57+M57</f>
        <v>123078900</v>
      </c>
      <c r="H57" s="86">
        <v>0</v>
      </c>
      <c r="I57" s="86">
        <v>30779350</v>
      </c>
      <c r="J57" s="87">
        <v>31110050</v>
      </c>
      <c r="K57" s="86">
        <v>30405510</v>
      </c>
      <c r="L57" s="86">
        <v>30783990</v>
      </c>
      <c r="M57" s="86">
        <v>30783990</v>
      </c>
      <c r="N57" s="264"/>
    </row>
    <row r="58" spans="1:16" ht="21.75" customHeight="1">
      <c r="A58" s="276" t="s">
        <v>44</v>
      </c>
      <c r="B58" s="265" t="s">
        <v>43</v>
      </c>
      <c r="C58" s="241" t="s">
        <v>11</v>
      </c>
      <c r="D58" s="279" t="s">
        <v>37</v>
      </c>
      <c r="E58" s="241" t="s">
        <v>153</v>
      </c>
      <c r="F58" s="85" t="s">
        <v>14</v>
      </c>
      <c r="G58" s="86">
        <f t="shared" ref="G58:M58" si="17">G59+G60+G61</f>
        <v>300000</v>
      </c>
      <c r="H58" s="86">
        <f t="shared" si="17"/>
        <v>60000</v>
      </c>
      <c r="I58" s="86">
        <f t="shared" si="17"/>
        <v>60000</v>
      </c>
      <c r="J58" s="87">
        <f t="shared" si="17"/>
        <v>60000</v>
      </c>
      <c r="K58" s="86">
        <f t="shared" si="17"/>
        <v>60000</v>
      </c>
      <c r="L58" s="86">
        <f t="shared" si="17"/>
        <v>60000</v>
      </c>
      <c r="M58" s="86">
        <f t="shared" si="17"/>
        <v>60000</v>
      </c>
      <c r="N58" s="264"/>
    </row>
    <row r="59" spans="1:16" ht="21.75" customHeight="1">
      <c r="A59" s="277"/>
      <c r="B59" s="266"/>
      <c r="C59" s="242"/>
      <c r="D59" s="280"/>
      <c r="E59" s="242"/>
      <c r="F59" s="85" t="s">
        <v>133</v>
      </c>
      <c r="G59" s="86">
        <f>H59+I59+J59+K59+M59</f>
        <v>300000</v>
      </c>
      <c r="H59" s="86">
        <v>60000</v>
      </c>
      <c r="I59" s="86">
        <v>60000</v>
      </c>
      <c r="J59" s="87">
        <v>60000</v>
      </c>
      <c r="K59" s="86">
        <v>60000</v>
      </c>
      <c r="L59" s="86">
        <v>60000</v>
      </c>
      <c r="M59" s="86">
        <v>60000</v>
      </c>
      <c r="N59" s="264"/>
    </row>
    <row r="60" spans="1:16" ht="21.75" customHeight="1">
      <c r="A60" s="277"/>
      <c r="B60" s="266"/>
      <c r="C60" s="242"/>
      <c r="D60" s="280"/>
      <c r="E60" s="242"/>
      <c r="F60" s="85" t="s">
        <v>16</v>
      </c>
      <c r="G60" s="86">
        <f>H60+I60+J60+K60+M60</f>
        <v>0</v>
      </c>
      <c r="H60" s="86">
        <v>0</v>
      </c>
      <c r="I60" s="86">
        <v>0</v>
      </c>
      <c r="J60" s="87">
        <v>0</v>
      </c>
      <c r="K60" s="86">
        <v>0</v>
      </c>
      <c r="L60" s="86">
        <v>0</v>
      </c>
      <c r="M60" s="86">
        <v>0</v>
      </c>
      <c r="N60" s="264"/>
    </row>
    <row r="61" spans="1:16" ht="21" customHeight="1">
      <c r="A61" s="278"/>
      <c r="B61" s="267"/>
      <c r="C61" s="242"/>
      <c r="D61" s="281"/>
      <c r="E61" s="252"/>
      <c r="F61" s="85" t="s">
        <v>17</v>
      </c>
      <c r="G61" s="86">
        <f>H61+I61+J61+K61+M61</f>
        <v>0</v>
      </c>
      <c r="H61" s="86">
        <v>0</v>
      </c>
      <c r="I61" s="86">
        <v>0</v>
      </c>
      <c r="J61" s="87">
        <v>0</v>
      </c>
      <c r="K61" s="86">
        <v>0</v>
      </c>
      <c r="L61" s="86">
        <v>0</v>
      </c>
      <c r="M61" s="86">
        <v>0</v>
      </c>
      <c r="N61" s="264"/>
    </row>
    <row r="62" spans="1:16" ht="21.75" customHeight="1">
      <c r="A62" s="276" t="s">
        <v>48</v>
      </c>
      <c r="B62" s="246" t="s">
        <v>53</v>
      </c>
      <c r="C62" s="241" t="s">
        <v>11</v>
      </c>
      <c r="D62" s="279" t="s">
        <v>54</v>
      </c>
      <c r="E62" s="241" t="s">
        <v>153</v>
      </c>
      <c r="F62" s="85" t="s">
        <v>14</v>
      </c>
      <c r="G62" s="86">
        <f t="shared" ref="G62:M62" si="18">G63+G64+G65</f>
        <v>1887641.65</v>
      </c>
      <c r="H62" s="86">
        <f t="shared" si="18"/>
        <v>393480</v>
      </c>
      <c r="I62" s="86">
        <f t="shared" si="18"/>
        <v>1094161.6499999999</v>
      </c>
      <c r="J62" s="87">
        <f t="shared" si="18"/>
        <v>400000</v>
      </c>
      <c r="K62" s="86">
        <f t="shared" si="18"/>
        <v>0</v>
      </c>
      <c r="L62" s="86">
        <f t="shared" si="18"/>
        <v>0</v>
      </c>
      <c r="M62" s="86">
        <f t="shared" si="18"/>
        <v>0</v>
      </c>
      <c r="N62" s="264"/>
    </row>
    <row r="63" spans="1:16" ht="21.75" customHeight="1">
      <c r="A63" s="277"/>
      <c r="B63" s="247"/>
      <c r="C63" s="242"/>
      <c r="D63" s="280"/>
      <c r="E63" s="242"/>
      <c r="F63" s="85" t="s">
        <v>133</v>
      </c>
      <c r="G63" s="86">
        <f>H63+I63+J63+K63+M63</f>
        <v>1887641.65</v>
      </c>
      <c r="H63" s="86">
        <v>393480</v>
      </c>
      <c r="I63" s="86">
        <f>20000+1074161.65</f>
        <v>1094161.6499999999</v>
      </c>
      <c r="J63" s="87">
        <f>500000-100000</f>
        <v>400000</v>
      </c>
      <c r="K63" s="86">
        <v>0</v>
      </c>
      <c r="L63" s="86">
        <v>0</v>
      </c>
      <c r="M63" s="86">
        <v>0</v>
      </c>
      <c r="N63" s="264"/>
    </row>
    <row r="64" spans="1:16" ht="21.75" customHeight="1">
      <c r="A64" s="277"/>
      <c r="B64" s="247"/>
      <c r="C64" s="242"/>
      <c r="D64" s="280"/>
      <c r="E64" s="242"/>
      <c r="F64" s="85" t="s">
        <v>16</v>
      </c>
      <c r="G64" s="86">
        <f>H64+I64+J64+K64+M64</f>
        <v>0</v>
      </c>
      <c r="H64" s="86">
        <v>0</v>
      </c>
      <c r="I64" s="86">
        <v>0</v>
      </c>
      <c r="J64" s="87">
        <v>0</v>
      </c>
      <c r="K64" s="86">
        <v>0</v>
      </c>
      <c r="L64" s="86">
        <v>0</v>
      </c>
      <c r="M64" s="86">
        <v>0</v>
      </c>
      <c r="N64" s="264"/>
    </row>
    <row r="65" spans="1:14" ht="21.75" customHeight="1">
      <c r="A65" s="278"/>
      <c r="B65" s="248"/>
      <c r="C65" s="242"/>
      <c r="D65" s="281"/>
      <c r="E65" s="252"/>
      <c r="F65" s="85" t="s">
        <v>17</v>
      </c>
      <c r="G65" s="86">
        <f>H65+I65+J65+K65+M65</f>
        <v>0</v>
      </c>
      <c r="H65" s="86">
        <v>0</v>
      </c>
      <c r="I65" s="86">
        <v>0</v>
      </c>
      <c r="J65" s="87">
        <v>0</v>
      </c>
      <c r="K65" s="86">
        <v>0</v>
      </c>
      <c r="L65" s="86">
        <v>0</v>
      </c>
      <c r="M65" s="86">
        <v>0</v>
      </c>
      <c r="N65" s="264"/>
    </row>
    <row r="66" spans="1:14" ht="21.75" customHeight="1">
      <c r="A66" s="282" t="s">
        <v>56</v>
      </c>
      <c r="B66" s="285" t="s">
        <v>41</v>
      </c>
      <c r="C66" s="288" t="s">
        <v>11</v>
      </c>
      <c r="D66" s="290" t="s">
        <v>42</v>
      </c>
      <c r="E66" s="288" t="s">
        <v>153</v>
      </c>
      <c r="F66" s="91" t="s">
        <v>14</v>
      </c>
      <c r="G66" s="87">
        <f t="shared" ref="G66:M66" si="19">G67+G68+G69</f>
        <v>220242.99</v>
      </c>
      <c r="H66" s="87">
        <f t="shared" si="19"/>
        <v>0</v>
      </c>
      <c r="I66" s="87">
        <f t="shared" si="19"/>
        <v>0</v>
      </c>
      <c r="J66" s="87">
        <f t="shared" si="19"/>
        <v>220242.99</v>
      </c>
      <c r="K66" s="87">
        <f t="shared" si="19"/>
        <v>0</v>
      </c>
      <c r="L66" s="87">
        <f t="shared" si="19"/>
        <v>0</v>
      </c>
      <c r="M66" s="87">
        <f t="shared" si="19"/>
        <v>0</v>
      </c>
      <c r="N66" s="264"/>
    </row>
    <row r="67" spans="1:14" ht="21.75" customHeight="1">
      <c r="A67" s="283"/>
      <c r="B67" s="286"/>
      <c r="C67" s="289"/>
      <c r="D67" s="291"/>
      <c r="E67" s="289"/>
      <c r="F67" s="91" t="s">
        <v>15</v>
      </c>
      <c r="G67" s="87">
        <f>H67+I67+J67+K67+L67</f>
        <v>220242.99</v>
      </c>
      <c r="H67" s="87">
        <v>0</v>
      </c>
      <c r="I67" s="87">
        <v>0</v>
      </c>
      <c r="J67" s="87">
        <v>220242.99</v>
      </c>
      <c r="K67" s="87">
        <v>0</v>
      </c>
      <c r="L67" s="87">
        <v>0</v>
      </c>
      <c r="M67" s="87">
        <v>0</v>
      </c>
      <c r="N67" s="264"/>
    </row>
    <row r="68" spans="1:14" ht="21.75" customHeight="1">
      <c r="A68" s="283"/>
      <c r="B68" s="286"/>
      <c r="C68" s="289"/>
      <c r="D68" s="291"/>
      <c r="E68" s="289"/>
      <c r="F68" s="91" t="s">
        <v>16</v>
      </c>
      <c r="G68" s="87">
        <f>H68+I68+J68+K68+L68</f>
        <v>0</v>
      </c>
      <c r="H68" s="87">
        <v>0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264"/>
    </row>
    <row r="69" spans="1:14" ht="21.75" customHeight="1">
      <c r="A69" s="284"/>
      <c r="B69" s="287"/>
      <c r="C69" s="289"/>
      <c r="D69" s="292"/>
      <c r="E69" s="293"/>
      <c r="F69" s="91" t="s">
        <v>17</v>
      </c>
      <c r="G69" s="87">
        <f>H69+I69+J69+K69+L69</f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264"/>
    </row>
    <row r="70" spans="1:14" ht="21.75" customHeight="1" collapsed="1">
      <c r="A70" s="276" t="s">
        <v>94</v>
      </c>
      <c r="B70" s="265" t="s">
        <v>45</v>
      </c>
      <c r="C70" s="241" t="s">
        <v>11</v>
      </c>
      <c r="D70" s="249" t="s">
        <v>42</v>
      </c>
      <c r="E70" s="241" t="s">
        <v>153</v>
      </c>
      <c r="F70" s="85" t="s">
        <v>14</v>
      </c>
      <c r="G70" s="86">
        <f t="shared" ref="G70:M70" si="20">G71+G72+G73</f>
        <v>500000</v>
      </c>
      <c r="H70" s="86">
        <f t="shared" si="20"/>
        <v>90000</v>
      </c>
      <c r="I70" s="86">
        <f t="shared" si="20"/>
        <v>100000</v>
      </c>
      <c r="J70" s="86">
        <f t="shared" si="20"/>
        <v>100000</v>
      </c>
      <c r="K70" s="86">
        <f t="shared" si="20"/>
        <v>105000</v>
      </c>
      <c r="L70" s="86">
        <f t="shared" si="20"/>
        <v>105000</v>
      </c>
      <c r="M70" s="86">
        <f t="shared" si="20"/>
        <v>105000</v>
      </c>
      <c r="N70" s="264"/>
    </row>
    <row r="71" spans="1:14" ht="21.75" customHeight="1">
      <c r="A71" s="277"/>
      <c r="B71" s="266"/>
      <c r="C71" s="242"/>
      <c r="D71" s="250"/>
      <c r="E71" s="242"/>
      <c r="F71" s="85" t="s">
        <v>133</v>
      </c>
      <c r="G71" s="86">
        <f>H71+I71+J71+K71+M71</f>
        <v>500000</v>
      </c>
      <c r="H71" s="86">
        <v>90000</v>
      </c>
      <c r="I71" s="86">
        <f>100000</f>
        <v>100000</v>
      </c>
      <c r="J71" s="86">
        <v>100000</v>
      </c>
      <c r="K71" s="86">
        <v>105000</v>
      </c>
      <c r="L71" s="86">
        <v>105000</v>
      </c>
      <c r="M71" s="86">
        <v>105000</v>
      </c>
      <c r="N71" s="264"/>
    </row>
    <row r="72" spans="1:14" ht="21.75" customHeight="1">
      <c r="A72" s="277"/>
      <c r="B72" s="266"/>
      <c r="C72" s="242"/>
      <c r="D72" s="250"/>
      <c r="E72" s="242"/>
      <c r="F72" s="85" t="s">
        <v>16</v>
      </c>
      <c r="G72" s="86">
        <f>H72+I72+J72+K72+M72</f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264"/>
    </row>
    <row r="73" spans="1:14" ht="21.75" customHeight="1">
      <c r="A73" s="278"/>
      <c r="B73" s="267"/>
      <c r="C73" s="242"/>
      <c r="D73" s="251"/>
      <c r="E73" s="252"/>
      <c r="F73" s="85" t="s">
        <v>17</v>
      </c>
      <c r="G73" s="86">
        <f>H73+I73+J73+K73+M73</f>
        <v>0</v>
      </c>
      <c r="H73" s="86">
        <v>0</v>
      </c>
      <c r="I73" s="86">
        <v>0</v>
      </c>
      <c r="J73" s="86">
        <v>0</v>
      </c>
      <c r="K73" s="86">
        <v>0</v>
      </c>
      <c r="L73" s="86">
        <v>0</v>
      </c>
      <c r="M73" s="86">
        <v>0</v>
      </c>
      <c r="N73" s="264"/>
    </row>
    <row r="74" spans="1:14" ht="21.75" customHeight="1">
      <c r="A74" s="243" t="s">
        <v>102</v>
      </c>
      <c r="B74" s="265" t="s">
        <v>36</v>
      </c>
      <c r="C74" s="241" t="s">
        <v>11</v>
      </c>
      <c r="D74" s="279" t="s">
        <v>37</v>
      </c>
      <c r="E74" s="241" t="s">
        <v>153</v>
      </c>
      <c r="F74" s="85" t="s">
        <v>14</v>
      </c>
      <c r="G74" s="86">
        <f t="shared" ref="G74:M74" si="21">G75+G76+G77</f>
        <v>4661070.7300000004</v>
      </c>
      <c r="H74" s="86">
        <f t="shared" si="21"/>
        <v>1481975</v>
      </c>
      <c r="I74" s="86">
        <f t="shared" si="21"/>
        <v>653058.44999999995</v>
      </c>
      <c r="J74" s="87">
        <f t="shared" si="21"/>
        <v>888490</v>
      </c>
      <c r="K74" s="86">
        <f t="shared" si="21"/>
        <v>1068773.6400000001</v>
      </c>
      <c r="L74" s="86">
        <f t="shared" si="21"/>
        <v>568773.64</v>
      </c>
      <c r="M74" s="86">
        <f t="shared" si="21"/>
        <v>568773.64</v>
      </c>
      <c r="N74" s="264"/>
    </row>
    <row r="75" spans="1:14" ht="21.75" customHeight="1">
      <c r="A75" s="244"/>
      <c r="B75" s="266"/>
      <c r="C75" s="242"/>
      <c r="D75" s="280"/>
      <c r="E75" s="242"/>
      <c r="F75" s="85" t="s">
        <v>133</v>
      </c>
      <c r="G75" s="86">
        <f>H75+I75+J75+K75+M75</f>
        <v>4661070.7300000004</v>
      </c>
      <c r="H75" s="86">
        <v>1481975</v>
      </c>
      <c r="I75" s="86">
        <f>1481975-602271.91-226644.64</f>
        <v>653058.44999999995</v>
      </c>
      <c r="J75" s="87">
        <v>888490</v>
      </c>
      <c r="K75" s="86">
        <v>1068773.6400000001</v>
      </c>
      <c r="L75" s="86">
        <v>568773.64</v>
      </c>
      <c r="M75" s="86">
        <v>568773.64</v>
      </c>
      <c r="N75" s="264"/>
    </row>
    <row r="76" spans="1:14" ht="21.75" customHeight="1">
      <c r="A76" s="244"/>
      <c r="B76" s="266"/>
      <c r="C76" s="242"/>
      <c r="D76" s="280"/>
      <c r="E76" s="242"/>
      <c r="F76" s="85" t="s">
        <v>16</v>
      </c>
      <c r="G76" s="86">
        <f>H76+I76+J76+K76+M76</f>
        <v>0</v>
      </c>
      <c r="H76" s="86">
        <v>0</v>
      </c>
      <c r="I76" s="86">
        <v>0</v>
      </c>
      <c r="J76" s="87">
        <v>0</v>
      </c>
      <c r="K76" s="86">
        <v>0</v>
      </c>
      <c r="L76" s="86">
        <v>0</v>
      </c>
      <c r="M76" s="86">
        <v>0</v>
      </c>
      <c r="N76" s="264"/>
    </row>
    <row r="77" spans="1:14" ht="21.75" customHeight="1">
      <c r="A77" s="245"/>
      <c r="B77" s="267"/>
      <c r="C77" s="242"/>
      <c r="D77" s="281"/>
      <c r="E77" s="252"/>
      <c r="F77" s="85" t="s">
        <v>17</v>
      </c>
      <c r="G77" s="86">
        <f>H77+I77+J77+K77+M77</f>
        <v>0</v>
      </c>
      <c r="H77" s="86">
        <v>0</v>
      </c>
      <c r="I77" s="86">
        <v>0</v>
      </c>
      <c r="J77" s="87">
        <v>0</v>
      </c>
      <c r="K77" s="86">
        <v>0</v>
      </c>
      <c r="L77" s="86">
        <v>0</v>
      </c>
      <c r="M77" s="86">
        <v>0</v>
      </c>
      <c r="N77" s="264"/>
    </row>
    <row r="78" spans="1:14" ht="21.75" customHeight="1" collapsed="1">
      <c r="A78" s="243" t="s">
        <v>124</v>
      </c>
      <c r="B78" s="265" t="s">
        <v>125</v>
      </c>
      <c r="C78" s="241" t="s">
        <v>11</v>
      </c>
      <c r="D78" s="241" t="s">
        <v>113</v>
      </c>
      <c r="E78" s="241" t="s">
        <v>153</v>
      </c>
      <c r="F78" s="85" t="s">
        <v>14</v>
      </c>
      <c r="G78" s="86">
        <f t="shared" ref="G78:M78" si="22">G79+G80+G81</f>
        <v>245901.6</v>
      </c>
      <c r="H78" s="86">
        <f t="shared" si="22"/>
        <v>0</v>
      </c>
      <c r="I78" s="86">
        <f t="shared" si="22"/>
        <v>0</v>
      </c>
      <c r="J78" s="87">
        <f t="shared" si="22"/>
        <v>149349.60000000003</v>
      </c>
      <c r="K78" s="86">
        <f t="shared" si="22"/>
        <v>48276</v>
      </c>
      <c r="L78" s="86">
        <f t="shared" si="22"/>
        <v>48276</v>
      </c>
      <c r="M78" s="86">
        <f t="shared" si="22"/>
        <v>48276</v>
      </c>
      <c r="N78" s="264"/>
    </row>
    <row r="79" spans="1:14" ht="21.75" customHeight="1">
      <c r="A79" s="244"/>
      <c r="B79" s="266"/>
      <c r="C79" s="242"/>
      <c r="D79" s="242"/>
      <c r="E79" s="242"/>
      <c r="F79" s="85" t="s">
        <v>133</v>
      </c>
      <c r="G79" s="86">
        <f>H79+I79+J79+K79+M79</f>
        <v>149352</v>
      </c>
      <c r="H79" s="86">
        <v>0</v>
      </c>
      <c r="I79" s="86">
        <v>0</v>
      </c>
      <c r="J79" s="87">
        <f>'[4]остатки средств в ФК_3'!$AI$100+'[4]остатки средств в ФК_3'!$AI$98</f>
        <v>52800.000000000015</v>
      </c>
      <c r="K79" s="86">
        <v>48276</v>
      </c>
      <c r="L79" s="86">
        <v>48276</v>
      </c>
      <c r="M79" s="86">
        <v>48276</v>
      </c>
      <c r="N79" s="264"/>
    </row>
    <row r="80" spans="1:14" ht="21.75" customHeight="1">
      <c r="A80" s="244"/>
      <c r="B80" s="266"/>
      <c r="C80" s="242"/>
      <c r="D80" s="242"/>
      <c r="E80" s="242"/>
      <c r="F80" s="85" t="s">
        <v>16</v>
      </c>
      <c r="G80" s="86">
        <f>H80+I80+J80+K80+M80</f>
        <v>96549.6</v>
      </c>
      <c r="H80" s="86">
        <v>0</v>
      </c>
      <c r="I80" s="86">
        <v>0</v>
      </c>
      <c r="J80" s="87">
        <f>'[4]остатки средств в ФК_3'!$AH$100</f>
        <v>96549.6</v>
      </c>
      <c r="K80" s="87"/>
      <c r="L80" s="87"/>
      <c r="M80" s="87"/>
      <c r="N80" s="264"/>
    </row>
    <row r="81" spans="1:15" ht="21.75" customHeight="1">
      <c r="A81" s="245"/>
      <c r="B81" s="267"/>
      <c r="C81" s="252"/>
      <c r="D81" s="252"/>
      <c r="E81" s="252"/>
      <c r="F81" s="85" t="s">
        <v>17</v>
      </c>
      <c r="G81" s="86">
        <f>H81+I81+J81+K81+M81</f>
        <v>0</v>
      </c>
      <c r="H81" s="86">
        <v>0</v>
      </c>
      <c r="I81" s="86">
        <v>0</v>
      </c>
      <c r="J81" s="87">
        <v>0</v>
      </c>
      <c r="K81" s="86">
        <v>0</v>
      </c>
      <c r="L81" s="86">
        <v>0</v>
      </c>
      <c r="M81" s="86">
        <v>0</v>
      </c>
      <c r="N81" s="264"/>
    </row>
    <row r="82" spans="1:15" ht="21.75" customHeight="1">
      <c r="A82" s="243" t="s">
        <v>128</v>
      </c>
      <c r="B82" s="246" t="s">
        <v>22</v>
      </c>
      <c r="C82" s="241" t="s">
        <v>11</v>
      </c>
      <c r="D82" s="249" t="s">
        <v>27</v>
      </c>
      <c r="E82" s="241" t="s">
        <v>153</v>
      </c>
      <c r="F82" s="85" t="s">
        <v>14</v>
      </c>
      <c r="G82" s="86">
        <f t="shared" ref="G82:M82" si="23">G83+G84+G85</f>
        <v>5474764.5199999996</v>
      </c>
      <c r="H82" s="86">
        <f t="shared" si="23"/>
        <v>1006307</v>
      </c>
      <c r="I82" s="86">
        <f t="shared" si="23"/>
        <v>1385373.84</v>
      </c>
      <c r="J82" s="87">
        <f t="shared" si="23"/>
        <v>881623.68</v>
      </c>
      <c r="K82" s="86">
        <f t="shared" si="23"/>
        <v>1100730</v>
      </c>
      <c r="L82" s="86">
        <f>L83+L84+L85</f>
        <v>1100730</v>
      </c>
      <c r="M82" s="86">
        <f t="shared" si="23"/>
        <v>1100730</v>
      </c>
      <c r="N82" s="264"/>
    </row>
    <row r="83" spans="1:15" ht="21.75" customHeight="1">
      <c r="A83" s="244"/>
      <c r="B83" s="247"/>
      <c r="C83" s="242"/>
      <c r="D83" s="250"/>
      <c r="E83" s="242"/>
      <c r="F83" s="85" t="s">
        <v>133</v>
      </c>
      <c r="G83" s="86">
        <f>H83+I83+J83+K83+M83</f>
        <v>5474764.5199999996</v>
      </c>
      <c r="H83" s="86">
        <v>1006307</v>
      </c>
      <c r="I83" s="86">
        <f>1199420.42+157723.37+28230.05</f>
        <v>1385373.84</v>
      </c>
      <c r="J83" s="87">
        <f>965822.81-130616.86+22367.74+24049.99</f>
        <v>881623.68</v>
      </c>
      <c r="K83" s="86">
        <v>1100730</v>
      </c>
      <c r="L83" s="86">
        <v>1100730</v>
      </c>
      <c r="M83" s="86">
        <v>1100730</v>
      </c>
      <c r="N83" s="264"/>
    </row>
    <row r="84" spans="1:15" ht="21.75" customHeight="1">
      <c r="A84" s="244"/>
      <c r="B84" s="247"/>
      <c r="C84" s="242"/>
      <c r="D84" s="250"/>
      <c r="E84" s="242"/>
      <c r="F84" s="85" t="s">
        <v>16</v>
      </c>
      <c r="G84" s="86">
        <f>H84+I84+J84+K84+M84</f>
        <v>0</v>
      </c>
      <c r="H84" s="86">
        <v>0</v>
      </c>
      <c r="I84" s="86">
        <v>0</v>
      </c>
      <c r="J84" s="87">
        <v>0</v>
      </c>
      <c r="K84" s="86">
        <v>0</v>
      </c>
      <c r="L84" s="86">
        <v>0</v>
      </c>
      <c r="M84" s="86">
        <v>0</v>
      </c>
      <c r="N84" s="264"/>
    </row>
    <row r="85" spans="1:15" ht="21.75" customHeight="1">
      <c r="A85" s="245"/>
      <c r="B85" s="248"/>
      <c r="C85" s="242"/>
      <c r="D85" s="251"/>
      <c r="E85" s="252"/>
      <c r="F85" s="85" t="s">
        <v>17</v>
      </c>
      <c r="G85" s="86">
        <f>H85+I85+J85+K85+M85</f>
        <v>0</v>
      </c>
      <c r="H85" s="86">
        <v>0</v>
      </c>
      <c r="I85" s="86">
        <v>0</v>
      </c>
      <c r="J85" s="87">
        <v>0</v>
      </c>
      <c r="K85" s="86">
        <v>0</v>
      </c>
      <c r="L85" s="86">
        <v>0</v>
      </c>
      <c r="M85" s="86">
        <v>0</v>
      </c>
      <c r="N85" s="264"/>
    </row>
    <row r="86" spans="1:15" ht="21.75" customHeight="1">
      <c r="A86" s="243" t="s">
        <v>144</v>
      </c>
      <c r="B86" s="246" t="s">
        <v>23</v>
      </c>
      <c r="C86" s="241" t="s">
        <v>11</v>
      </c>
      <c r="D86" s="249" t="s">
        <v>27</v>
      </c>
      <c r="E86" s="241" t="s">
        <v>153</v>
      </c>
      <c r="F86" s="85" t="s">
        <v>14</v>
      </c>
      <c r="G86" s="86">
        <f t="shared" ref="G86:M86" si="24">G87+G88+G89</f>
        <v>180006463.48999998</v>
      </c>
      <c r="H86" s="86">
        <f t="shared" si="24"/>
        <v>31798849</v>
      </c>
      <c r="I86" s="86">
        <f t="shared" si="24"/>
        <v>36091735.869999997</v>
      </c>
      <c r="J86" s="87">
        <f t="shared" si="24"/>
        <v>39884600.390000001</v>
      </c>
      <c r="K86" s="86">
        <f t="shared" si="24"/>
        <v>31831278.23</v>
      </c>
      <c r="L86" s="86">
        <f>L87+L88+L89</f>
        <v>34750000</v>
      </c>
      <c r="M86" s="86">
        <f t="shared" si="24"/>
        <v>40400000</v>
      </c>
      <c r="N86" s="264"/>
    </row>
    <row r="87" spans="1:15" ht="21.75" customHeight="1">
      <c r="A87" s="244"/>
      <c r="B87" s="247"/>
      <c r="C87" s="242"/>
      <c r="D87" s="250"/>
      <c r="E87" s="242"/>
      <c r="F87" s="85" t="s">
        <v>133</v>
      </c>
      <c r="G87" s="86">
        <f>H87+I87+J87+K87+M87</f>
        <v>388968.69</v>
      </c>
      <c r="H87" s="86">
        <v>100000</v>
      </c>
      <c r="I87" s="86">
        <f>101833.11+23737.45</f>
        <v>125570.56</v>
      </c>
      <c r="J87" s="87">
        <v>99792.13</v>
      </c>
      <c r="K87" s="86">
        <v>63606</v>
      </c>
      <c r="L87" s="86">
        <v>0</v>
      </c>
      <c r="M87" s="86">
        <v>0</v>
      </c>
      <c r="N87" s="264"/>
    </row>
    <row r="88" spans="1:15" ht="21.75" customHeight="1">
      <c r="A88" s="244"/>
      <c r="B88" s="247"/>
      <c r="C88" s="242"/>
      <c r="D88" s="250"/>
      <c r="E88" s="242"/>
      <c r="F88" s="85" t="s">
        <v>16</v>
      </c>
      <c r="G88" s="86">
        <f>H88+I88+J88+K88+M88</f>
        <v>179617494.79999998</v>
      </c>
      <c r="H88" s="86">
        <v>31698849</v>
      </c>
      <c r="I88" s="86">
        <f>35963535.87+2629.44</f>
        <v>35966165.309999995</v>
      </c>
      <c r="J88" s="87">
        <f>'[2]остатки средств в ФК_8'!$R$34+2040.87</f>
        <v>39784808.259999998</v>
      </c>
      <c r="K88" s="86">
        <v>31767672.23</v>
      </c>
      <c r="L88" s="86">
        <v>34750000</v>
      </c>
      <c r="M88" s="86">
        <v>40400000</v>
      </c>
      <c r="N88" s="264"/>
    </row>
    <row r="89" spans="1:15" ht="21.75" customHeight="1">
      <c r="A89" s="245"/>
      <c r="B89" s="248"/>
      <c r="C89" s="242"/>
      <c r="D89" s="251"/>
      <c r="E89" s="252"/>
      <c r="F89" s="85" t="s">
        <v>17</v>
      </c>
      <c r="G89" s="86">
        <f>H89+I89+J89+K89+M89</f>
        <v>0</v>
      </c>
      <c r="H89" s="86">
        <v>0</v>
      </c>
      <c r="I89" s="86">
        <v>0</v>
      </c>
      <c r="J89" s="87">
        <v>0</v>
      </c>
      <c r="K89" s="86">
        <v>0</v>
      </c>
      <c r="L89" s="86">
        <v>0</v>
      </c>
      <c r="M89" s="86">
        <v>0</v>
      </c>
      <c r="N89" s="264"/>
    </row>
    <row r="90" spans="1:15" ht="21.75" hidden="1" customHeight="1" outlineLevel="1">
      <c r="A90" s="243" t="s">
        <v>38</v>
      </c>
      <c r="B90" s="265" t="s">
        <v>39</v>
      </c>
      <c r="C90" s="241" t="s">
        <v>11</v>
      </c>
      <c r="D90" s="249" t="s">
        <v>27</v>
      </c>
      <c r="E90" s="241" t="s">
        <v>153</v>
      </c>
      <c r="F90" s="85" t="s">
        <v>14</v>
      </c>
      <c r="G90" s="86">
        <f t="shared" ref="G90:M90" si="25">G91+G92+G93</f>
        <v>0</v>
      </c>
      <c r="H90" s="86">
        <f t="shared" si="25"/>
        <v>0</v>
      </c>
      <c r="I90" s="86">
        <f t="shared" si="25"/>
        <v>0</v>
      </c>
      <c r="J90" s="87">
        <f t="shared" si="25"/>
        <v>0</v>
      </c>
      <c r="K90" s="86">
        <f t="shared" si="25"/>
        <v>0</v>
      </c>
      <c r="L90" s="86">
        <f>L91+L92+L93</f>
        <v>0</v>
      </c>
      <c r="M90" s="86">
        <f t="shared" si="25"/>
        <v>0</v>
      </c>
      <c r="N90" s="264"/>
    </row>
    <row r="91" spans="1:15" ht="21.75" hidden="1" customHeight="1" outlineLevel="1">
      <c r="A91" s="244"/>
      <c r="B91" s="266"/>
      <c r="C91" s="242"/>
      <c r="D91" s="250"/>
      <c r="E91" s="242"/>
      <c r="F91" s="85" t="s">
        <v>133</v>
      </c>
      <c r="G91" s="86">
        <f>H91+I91+J91+K91+M91</f>
        <v>0</v>
      </c>
      <c r="H91" s="86">
        <v>0</v>
      </c>
      <c r="I91" s="86">
        <v>0</v>
      </c>
      <c r="J91" s="87">
        <v>0</v>
      </c>
      <c r="K91" s="86">
        <v>0</v>
      </c>
      <c r="L91" s="86">
        <v>0</v>
      </c>
      <c r="M91" s="86">
        <v>0</v>
      </c>
      <c r="N91" s="264"/>
    </row>
    <row r="92" spans="1:15" ht="21.75" hidden="1" customHeight="1" outlineLevel="1">
      <c r="A92" s="244"/>
      <c r="B92" s="266"/>
      <c r="C92" s="242"/>
      <c r="D92" s="250"/>
      <c r="E92" s="242"/>
      <c r="F92" s="85" t="s">
        <v>16</v>
      </c>
      <c r="G92" s="86">
        <f>H92+I92+J92+K92+M92</f>
        <v>0</v>
      </c>
      <c r="H92" s="86">
        <v>0</v>
      </c>
      <c r="I92" s="86">
        <v>0</v>
      </c>
      <c r="J92" s="87">
        <v>0</v>
      </c>
      <c r="K92" s="86">
        <v>0</v>
      </c>
      <c r="L92" s="86">
        <v>0</v>
      </c>
      <c r="M92" s="86">
        <v>0</v>
      </c>
      <c r="N92" s="264"/>
    </row>
    <row r="93" spans="1:15" ht="21.75" hidden="1" customHeight="1" outlineLevel="1">
      <c r="A93" s="245"/>
      <c r="B93" s="267"/>
      <c r="C93" s="242"/>
      <c r="D93" s="251"/>
      <c r="E93" s="252"/>
      <c r="F93" s="85" t="s">
        <v>17</v>
      </c>
      <c r="G93" s="86">
        <f>H93+I93+J93+K93+M93</f>
        <v>0</v>
      </c>
      <c r="H93" s="86">
        <v>0</v>
      </c>
      <c r="I93" s="86">
        <v>0</v>
      </c>
      <c r="J93" s="87">
        <v>0</v>
      </c>
      <c r="K93" s="86">
        <v>0</v>
      </c>
      <c r="L93" s="86">
        <v>0</v>
      </c>
      <c r="M93" s="86">
        <v>0</v>
      </c>
      <c r="N93" s="264"/>
    </row>
    <row r="94" spans="1:15" ht="21.75" hidden="1" customHeight="1" outlineLevel="1">
      <c r="A94" s="243" t="s">
        <v>46</v>
      </c>
      <c r="B94" s="265" t="s">
        <v>47</v>
      </c>
      <c r="C94" s="241" t="s">
        <v>11</v>
      </c>
      <c r="D94" s="249" t="s">
        <v>27</v>
      </c>
      <c r="E94" s="241" t="s">
        <v>153</v>
      </c>
      <c r="F94" s="85" t="s">
        <v>14</v>
      </c>
      <c r="G94" s="86">
        <f t="shared" ref="G94:M94" si="26">G95+G96+G97</f>
        <v>0</v>
      </c>
      <c r="H94" s="86">
        <f t="shared" si="26"/>
        <v>0</v>
      </c>
      <c r="I94" s="86">
        <f t="shared" si="26"/>
        <v>0</v>
      </c>
      <c r="J94" s="86">
        <f t="shared" si="26"/>
        <v>0</v>
      </c>
      <c r="K94" s="86">
        <f t="shared" si="26"/>
        <v>0</v>
      </c>
      <c r="L94" s="86">
        <f>L95+L96+L97</f>
        <v>0</v>
      </c>
      <c r="M94" s="86">
        <f t="shared" si="26"/>
        <v>0</v>
      </c>
      <c r="N94" s="264"/>
    </row>
    <row r="95" spans="1:15" ht="21.75" hidden="1" customHeight="1" outlineLevel="1">
      <c r="A95" s="244"/>
      <c r="B95" s="266"/>
      <c r="C95" s="242"/>
      <c r="D95" s="250"/>
      <c r="E95" s="242"/>
      <c r="F95" s="85" t="s">
        <v>133</v>
      </c>
      <c r="G95" s="86">
        <f>H95+I95+J95+K95+M95</f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264"/>
    </row>
    <row r="96" spans="1:15" ht="21.75" hidden="1" customHeight="1" outlineLevel="1">
      <c r="A96" s="244"/>
      <c r="B96" s="266"/>
      <c r="C96" s="242"/>
      <c r="D96" s="250"/>
      <c r="E96" s="242"/>
      <c r="F96" s="85" t="s">
        <v>16</v>
      </c>
      <c r="G96" s="86">
        <f>H96+I96+J96+K96+M96</f>
        <v>0</v>
      </c>
      <c r="H96" s="86"/>
      <c r="I96" s="86"/>
      <c r="J96" s="86"/>
      <c r="K96" s="86"/>
      <c r="L96" s="86"/>
      <c r="M96" s="86"/>
      <c r="N96" s="264"/>
      <c r="O96" s="92"/>
    </row>
    <row r="97" spans="1:16" ht="21.75" hidden="1" customHeight="1" outlineLevel="1">
      <c r="A97" s="245"/>
      <c r="B97" s="267"/>
      <c r="C97" s="242"/>
      <c r="D97" s="251"/>
      <c r="E97" s="252"/>
      <c r="F97" s="85" t="s">
        <v>17</v>
      </c>
      <c r="G97" s="86">
        <f>H97+I97+J97+K97+M97</f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268"/>
    </row>
    <row r="98" spans="1:16" ht="21.75" customHeight="1" collapsed="1">
      <c r="A98" s="269"/>
      <c r="B98" s="272" t="s">
        <v>49</v>
      </c>
      <c r="C98" s="257" t="s">
        <v>11</v>
      </c>
      <c r="D98" s="259" t="s">
        <v>50</v>
      </c>
      <c r="E98" s="257" t="s">
        <v>153</v>
      </c>
      <c r="F98" s="82" t="s">
        <v>14</v>
      </c>
      <c r="G98" s="83">
        <f t="shared" ref="G98:M98" si="27">G99+G100+G101</f>
        <v>508896029.38</v>
      </c>
      <c r="H98" s="83">
        <f>H99+H100+H101</f>
        <v>84734080.780000001</v>
      </c>
      <c r="I98" s="83">
        <f>I99+I100+I101</f>
        <v>96308847.780000001</v>
      </c>
      <c r="J98" s="83">
        <f>J99+J100+J101</f>
        <v>101161763.69</v>
      </c>
      <c r="K98" s="83">
        <f t="shared" si="27"/>
        <v>111369849.59</v>
      </c>
      <c r="L98" s="83">
        <f>L99+L100+L101</f>
        <v>112959582.03</v>
      </c>
      <c r="M98" s="83">
        <f t="shared" si="27"/>
        <v>115321487.53999999</v>
      </c>
      <c r="N98" s="294" t="s">
        <v>51</v>
      </c>
    </row>
    <row r="99" spans="1:16" ht="21.75" customHeight="1">
      <c r="A99" s="270"/>
      <c r="B99" s="273"/>
      <c r="C99" s="258"/>
      <c r="D99" s="260"/>
      <c r="E99" s="258"/>
      <c r="F99" s="82" t="s">
        <v>133</v>
      </c>
      <c r="G99" s="83">
        <f>H99+I99+J99+K99+M99</f>
        <v>107049906.11</v>
      </c>
      <c r="H99" s="83">
        <f t="shared" ref="H99:M101" si="28">H103+H119+H107+H111+H115+H123</f>
        <v>18875528.780000001</v>
      </c>
      <c r="I99" s="83">
        <f t="shared" si="28"/>
        <v>18939692.490000002</v>
      </c>
      <c r="J99" s="83">
        <f t="shared" si="28"/>
        <v>20821117.829999998</v>
      </c>
      <c r="K99" s="83">
        <f t="shared" si="28"/>
        <v>24995167.82</v>
      </c>
      <c r="L99" s="83">
        <f t="shared" si="28"/>
        <v>23519028.940000001</v>
      </c>
      <c r="M99" s="83">
        <f t="shared" si="28"/>
        <v>23418399.190000001</v>
      </c>
      <c r="N99" s="295"/>
    </row>
    <row r="100" spans="1:16" ht="21.75" customHeight="1">
      <c r="A100" s="270"/>
      <c r="B100" s="273"/>
      <c r="C100" s="258"/>
      <c r="D100" s="260"/>
      <c r="E100" s="258"/>
      <c r="F100" s="82" t="s">
        <v>16</v>
      </c>
      <c r="G100" s="83">
        <f>H100+I100+J100+K100+M100</f>
        <v>401846123.26999998</v>
      </c>
      <c r="H100" s="83">
        <f t="shared" si="28"/>
        <v>65858552</v>
      </c>
      <c r="I100" s="83">
        <f t="shared" si="28"/>
        <v>77369155.290000007</v>
      </c>
      <c r="J100" s="83">
        <f t="shared" si="28"/>
        <v>80340645.859999999</v>
      </c>
      <c r="K100" s="83">
        <f t="shared" si="28"/>
        <v>86374681.769999996</v>
      </c>
      <c r="L100" s="83">
        <f t="shared" si="28"/>
        <v>89440553.090000004</v>
      </c>
      <c r="M100" s="83">
        <f t="shared" si="28"/>
        <v>91903088.349999994</v>
      </c>
      <c r="N100" s="295"/>
    </row>
    <row r="101" spans="1:16" ht="21.75" customHeight="1">
      <c r="A101" s="271"/>
      <c r="B101" s="274"/>
      <c r="C101" s="275"/>
      <c r="D101" s="261"/>
      <c r="E101" s="275"/>
      <c r="F101" s="82" t="s">
        <v>17</v>
      </c>
      <c r="G101" s="83">
        <f>H101+I101+J101+K101+M101</f>
        <v>0</v>
      </c>
      <c r="H101" s="83">
        <f t="shared" si="28"/>
        <v>0</v>
      </c>
      <c r="I101" s="83">
        <f t="shared" si="28"/>
        <v>0</v>
      </c>
      <c r="J101" s="83">
        <f t="shared" si="28"/>
        <v>0</v>
      </c>
      <c r="K101" s="83">
        <f t="shared" si="28"/>
        <v>0</v>
      </c>
      <c r="L101" s="83">
        <f t="shared" si="28"/>
        <v>0</v>
      </c>
      <c r="M101" s="83">
        <f t="shared" si="28"/>
        <v>0</v>
      </c>
      <c r="N101" s="295"/>
    </row>
    <row r="102" spans="1:16" ht="21.75" customHeight="1">
      <c r="A102" s="243" t="s">
        <v>18</v>
      </c>
      <c r="B102" s="265" t="s">
        <v>52</v>
      </c>
      <c r="C102" s="241" t="s">
        <v>11</v>
      </c>
      <c r="D102" s="249" t="s">
        <v>42</v>
      </c>
      <c r="E102" s="241" t="s">
        <v>153</v>
      </c>
      <c r="F102" s="85" t="s">
        <v>14</v>
      </c>
      <c r="G102" s="86">
        <f t="shared" ref="G102:M102" si="29">G103+G104+G105</f>
        <v>425179351.14458436</v>
      </c>
      <c r="H102" s="86">
        <f t="shared" si="29"/>
        <v>75848880.460000008</v>
      </c>
      <c r="I102" s="86">
        <f t="shared" si="29"/>
        <v>78759959.739999995</v>
      </c>
      <c r="J102" s="87">
        <f t="shared" si="29"/>
        <v>81872994.930000007</v>
      </c>
      <c r="K102" s="86">
        <f t="shared" si="29"/>
        <v>92851833.820000008</v>
      </c>
      <c r="L102" s="86">
        <f>L103+L104+L105</f>
        <v>94216299.94458437</v>
      </c>
      <c r="M102" s="86">
        <f t="shared" si="29"/>
        <v>95845682.19458437</v>
      </c>
      <c r="N102" s="295"/>
    </row>
    <row r="103" spans="1:16" ht="21.75" customHeight="1">
      <c r="A103" s="244"/>
      <c r="B103" s="266"/>
      <c r="C103" s="242"/>
      <c r="D103" s="250"/>
      <c r="E103" s="242"/>
      <c r="F103" s="85" t="s">
        <v>133</v>
      </c>
      <c r="G103" s="86">
        <f>H103+I103+J103+K103+M103</f>
        <v>92434758.050000012</v>
      </c>
      <c r="H103" s="86">
        <v>17880557.460000001</v>
      </c>
      <c r="I103" s="86">
        <f>15484283.05-117000+1049417.39</f>
        <v>16416700.440000001</v>
      </c>
      <c r="J103" s="87">
        <f>17127247+366899</f>
        <v>17494146</v>
      </c>
      <c r="K103" s="86">
        <v>21113787.390000001</v>
      </c>
      <c r="L103" s="86">
        <v>19634116.510000002</v>
      </c>
      <c r="M103" s="86">
        <v>19529566.760000002</v>
      </c>
      <c r="N103" s="295"/>
      <c r="O103" s="93"/>
      <c r="P103" s="89"/>
    </row>
    <row r="104" spans="1:16" ht="21.75" customHeight="1">
      <c r="A104" s="244"/>
      <c r="B104" s="266"/>
      <c r="C104" s="242"/>
      <c r="D104" s="250"/>
      <c r="E104" s="242"/>
      <c r="F104" s="85" t="s">
        <v>16</v>
      </c>
      <c r="G104" s="86">
        <f>H104+I104+J104+K104+M104</f>
        <v>332744593.09458435</v>
      </c>
      <c r="H104" s="86">
        <f>57968323</f>
        <v>57968323</v>
      </c>
      <c r="I104" s="86">
        <f>62343259.3</f>
        <v>62343259.299999997</v>
      </c>
      <c r="J104" s="87">
        <f>64378848.93</f>
        <v>64378848.93</v>
      </c>
      <c r="K104" s="86">
        <v>71738046.430000007</v>
      </c>
      <c r="L104" s="86">
        <v>74582183.434584364</v>
      </c>
      <c r="M104" s="86">
        <v>76316115.434584364</v>
      </c>
      <c r="N104" s="295"/>
    </row>
    <row r="105" spans="1:16" ht="21.75" customHeight="1">
      <c r="A105" s="245"/>
      <c r="B105" s="267"/>
      <c r="C105" s="242"/>
      <c r="D105" s="251"/>
      <c r="E105" s="252"/>
      <c r="F105" s="85" t="s">
        <v>17</v>
      </c>
      <c r="G105" s="86">
        <f>H105+I105+J105+K105+M105</f>
        <v>0</v>
      </c>
      <c r="H105" s="86">
        <v>0</v>
      </c>
      <c r="I105" s="86">
        <v>0</v>
      </c>
      <c r="J105" s="87">
        <v>0</v>
      </c>
      <c r="K105" s="86">
        <v>0</v>
      </c>
      <c r="L105" s="86">
        <v>0</v>
      </c>
      <c r="M105" s="86">
        <v>0</v>
      </c>
      <c r="N105" s="295"/>
    </row>
    <row r="106" spans="1:16" ht="21.75" customHeight="1" outlineLevel="1">
      <c r="A106" s="243" t="s">
        <v>25</v>
      </c>
      <c r="B106" s="265" t="s">
        <v>109</v>
      </c>
      <c r="C106" s="241" t="s">
        <v>11</v>
      </c>
      <c r="D106" s="249" t="s">
        <v>42</v>
      </c>
      <c r="E106" s="241" t="s">
        <v>153</v>
      </c>
      <c r="F106" s="85" t="s">
        <v>14</v>
      </c>
      <c r="G106" s="86">
        <f t="shared" ref="G106:M106" si="30">G107+G108+G109</f>
        <v>0</v>
      </c>
      <c r="H106" s="86">
        <f t="shared" si="30"/>
        <v>0</v>
      </c>
      <c r="I106" s="86">
        <f t="shared" si="30"/>
        <v>0</v>
      </c>
      <c r="J106" s="86">
        <f t="shared" si="30"/>
        <v>0</v>
      </c>
      <c r="K106" s="86">
        <f t="shared" si="30"/>
        <v>0</v>
      </c>
      <c r="L106" s="86">
        <f t="shared" si="30"/>
        <v>0</v>
      </c>
      <c r="M106" s="86">
        <f t="shared" si="30"/>
        <v>0</v>
      </c>
      <c r="N106" s="295"/>
    </row>
    <row r="107" spans="1:16" ht="21.75" customHeight="1" outlineLevel="1">
      <c r="A107" s="244"/>
      <c r="B107" s="266"/>
      <c r="C107" s="242"/>
      <c r="D107" s="250"/>
      <c r="E107" s="242"/>
      <c r="F107" s="85" t="s">
        <v>15</v>
      </c>
      <c r="G107" s="86">
        <f>H107+I107+J107+K107+M107</f>
        <v>0</v>
      </c>
      <c r="H107" s="86">
        <v>0</v>
      </c>
      <c r="I107" s="86">
        <v>0</v>
      </c>
      <c r="J107" s="86">
        <v>0</v>
      </c>
      <c r="K107" s="86">
        <v>0</v>
      </c>
      <c r="L107" s="86">
        <v>0</v>
      </c>
      <c r="M107" s="86">
        <v>0</v>
      </c>
      <c r="N107" s="295"/>
    </row>
    <row r="108" spans="1:16" ht="21.75" customHeight="1" outlineLevel="1">
      <c r="A108" s="244"/>
      <c r="B108" s="266"/>
      <c r="C108" s="242"/>
      <c r="D108" s="250"/>
      <c r="E108" s="242"/>
      <c r="F108" s="85" t="s">
        <v>16</v>
      </c>
      <c r="G108" s="86">
        <f>H108+I108+J108+K108+M108</f>
        <v>0</v>
      </c>
      <c r="H108" s="86">
        <v>0</v>
      </c>
      <c r="I108" s="86">
        <v>0</v>
      </c>
      <c r="J108" s="86">
        <v>0</v>
      </c>
      <c r="K108" s="86">
        <v>0</v>
      </c>
      <c r="L108" s="86">
        <v>0</v>
      </c>
      <c r="M108" s="86">
        <v>0</v>
      </c>
      <c r="N108" s="295"/>
    </row>
    <row r="109" spans="1:16" ht="21.75" customHeight="1" outlineLevel="1">
      <c r="A109" s="245"/>
      <c r="B109" s="267"/>
      <c r="C109" s="242"/>
      <c r="D109" s="251"/>
      <c r="E109" s="252"/>
      <c r="F109" s="85" t="s">
        <v>17</v>
      </c>
      <c r="G109" s="86">
        <f>H109+I109+J109+K109+M109</f>
        <v>0</v>
      </c>
      <c r="H109" s="86">
        <v>0</v>
      </c>
      <c r="I109" s="86">
        <v>0</v>
      </c>
      <c r="J109" s="86">
        <v>0</v>
      </c>
      <c r="K109" s="86">
        <v>0</v>
      </c>
      <c r="L109" s="86">
        <v>0</v>
      </c>
      <c r="M109" s="86">
        <v>0</v>
      </c>
      <c r="N109" s="295"/>
    </row>
    <row r="110" spans="1:16" ht="21.75" customHeight="1" outlineLevel="1">
      <c r="A110" s="243" t="s">
        <v>44</v>
      </c>
      <c r="B110" s="265" t="s">
        <v>110</v>
      </c>
      <c r="C110" s="241" t="s">
        <v>11</v>
      </c>
      <c r="D110" s="249" t="s">
        <v>42</v>
      </c>
      <c r="E110" s="241" t="s">
        <v>153</v>
      </c>
      <c r="F110" s="85" t="s">
        <v>14</v>
      </c>
      <c r="G110" s="86">
        <f t="shared" ref="G110:M110" si="31">G111+G112+G113</f>
        <v>0</v>
      </c>
      <c r="H110" s="86">
        <f t="shared" si="31"/>
        <v>0</v>
      </c>
      <c r="I110" s="86">
        <f t="shared" si="31"/>
        <v>0</v>
      </c>
      <c r="J110" s="86">
        <f t="shared" si="31"/>
        <v>0</v>
      </c>
      <c r="K110" s="86">
        <f t="shared" si="31"/>
        <v>0</v>
      </c>
      <c r="L110" s="86">
        <f t="shared" si="31"/>
        <v>0</v>
      </c>
      <c r="M110" s="86">
        <f t="shared" si="31"/>
        <v>0</v>
      </c>
      <c r="N110" s="295"/>
    </row>
    <row r="111" spans="1:16" ht="21.75" customHeight="1" outlineLevel="1">
      <c r="A111" s="244"/>
      <c r="B111" s="266"/>
      <c r="C111" s="242"/>
      <c r="D111" s="250"/>
      <c r="E111" s="242"/>
      <c r="F111" s="85" t="s">
        <v>15</v>
      </c>
      <c r="G111" s="94">
        <f>H111+I111+J111+K111+M111</f>
        <v>0</v>
      </c>
      <c r="H111" s="86">
        <v>0</v>
      </c>
      <c r="I111" s="86">
        <v>0</v>
      </c>
      <c r="J111" s="86">
        <v>0</v>
      </c>
      <c r="K111" s="86">
        <v>0</v>
      </c>
      <c r="L111" s="86">
        <v>0</v>
      </c>
      <c r="M111" s="86">
        <v>0</v>
      </c>
      <c r="N111" s="295"/>
    </row>
    <row r="112" spans="1:16" ht="21.75" customHeight="1" outlineLevel="1">
      <c r="A112" s="244"/>
      <c r="B112" s="266"/>
      <c r="C112" s="242"/>
      <c r="D112" s="250"/>
      <c r="E112" s="242"/>
      <c r="F112" s="85" t="s">
        <v>16</v>
      </c>
      <c r="G112" s="94">
        <f>H112+I112+J112+K112+M112</f>
        <v>0</v>
      </c>
      <c r="H112" s="86">
        <v>0</v>
      </c>
      <c r="I112" s="86">
        <v>0</v>
      </c>
      <c r="J112" s="86">
        <v>0</v>
      </c>
      <c r="K112" s="86">
        <v>0</v>
      </c>
      <c r="L112" s="86">
        <v>0</v>
      </c>
      <c r="M112" s="86">
        <v>0</v>
      </c>
      <c r="N112" s="295"/>
    </row>
    <row r="113" spans="1:14" ht="21.75" customHeight="1" outlineLevel="1">
      <c r="A113" s="245"/>
      <c r="B113" s="267"/>
      <c r="C113" s="242"/>
      <c r="D113" s="251"/>
      <c r="E113" s="252"/>
      <c r="F113" s="85" t="s">
        <v>17</v>
      </c>
      <c r="G113" s="94">
        <f>H113+I113+J113+K113+M113</f>
        <v>0</v>
      </c>
      <c r="H113" s="86">
        <v>0</v>
      </c>
      <c r="I113" s="86">
        <v>0</v>
      </c>
      <c r="J113" s="86">
        <v>0</v>
      </c>
      <c r="K113" s="86">
        <v>0</v>
      </c>
      <c r="L113" s="86">
        <v>0</v>
      </c>
      <c r="M113" s="86">
        <v>0</v>
      </c>
      <c r="N113" s="295"/>
    </row>
    <row r="114" spans="1:14" ht="21.75" customHeight="1">
      <c r="A114" s="243" t="s">
        <v>112</v>
      </c>
      <c r="B114" s="246" t="s">
        <v>156</v>
      </c>
      <c r="C114" s="241" t="s">
        <v>11</v>
      </c>
      <c r="D114" s="249" t="s">
        <v>55</v>
      </c>
      <c r="E114" s="241" t="s">
        <v>153</v>
      </c>
      <c r="F114" s="85" t="s">
        <v>14</v>
      </c>
      <c r="G114" s="86">
        <f t="shared" ref="G114:M114" si="32">G115+G116+G117</f>
        <v>62842050.93541564</v>
      </c>
      <c r="H114" s="86">
        <f t="shared" si="32"/>
        <v>4920882.5</v>
      </c>
      <c r="I114" s="86">
        <f t="shared" si="32"/>
        <v>13636058.439999999</v>
      </c>
      <c r="J114" s="87">
        <f t="shared" si="32"/>
        <v>14165280</v>
      </c>
      <c r="K114" s="86">
        <f t="shared" si="32"/>
        <v>14957350</v>
      </c>
      <c r="L114" s="86">
        <f t="shared" si="32"/>
        <v>15054579.995415632</v>
      </c>
      <c r="M114" s="86">
        <f t="shared" si="32"/>
        <v>15162479.995415632</v>
      </c>
      <c r="N114" s="295"/>
    </row>
    <row r="115" spans="1:14" ht="21.75" customHeight="1">
      <c r="A115" s="244"/>
      <c r="B115" s="247"/>
      <c r="C115" s="242"/>
      <c r="D115" s="250"/>
      <c r="E115" s="242"/>
      <c r="F115" s="85" t="s">
        <v>15</v>
      </c>
      <c r="G115" s="86">
        <f>H115+I115+J115+K115+M115</f>
        <v>14266347.029999999</v>
      </c>
      <c r="H115" s="86">
        <f>845990.48+96482.96-233.44+4193.5</f>
        <v>946433.5</v>
      </c>
      <c r="I115" s="86">
        <f>2724868.3-76260.5*3-76260.06</f>
        <v>2419826.7399999998</v>
      </c>
      <c r="J115" s="87">
        <v>3245713.93</v>
      </c>
      <c r="K115" s="86">
        <v>3823460.43</v>
      </c>
      <c r="L115" s="86">
        <v>3826992.43</v>
      </c>
      <c r="M115" s="86">
        <v>3830912.43</v>
      </c>
      <c r="N115" s="295"/>
    </row>
    <row r="116" spans="1:14" ht="21.75" customHeight="1">
      <c r="A116" s="244"/>
      <c r="B116" s="247"/>
      <c r="C116" s="242"/>
      <c r="D116" s="250"/>
      <c r="E116" s="242"/>
      <c r="F116" s="85" t="s">
        <v>16</v>
      </c>
      <c r="G116" s="86">
        <f>H116+I116+J116+K116+M116</f>
        <v>48575703.905415639</v>
      </c>
      <c r="H116" s="86">
        <f>3768960+205489</f>
        <v>3974449</v>
      </c>
      <c r="I116" s="86">
        <v>11216231.699999999</v>
      </c>
      <c r="J116" s="87">
        <v>10919566.07</v>
      </c>
      <c r="K116" s="86">
        <v>11133889.57</v>
      </c>
      <c r="L116" s="86">
        <v>11227587.565415632</v>
      </c>
      <c r="M116" s="86">
        <v>11331567.565415632</v>
      </c>
      <c r="N116" s="295"/>
    </row>
    <row r="117" spans="1:14" ht="21.75" customHeight="1">
      <c r="A117" s="245"/>
      <c r="B117" s="248"/>
      <c r="C117" s="242"/>
      <c r="D117" s="251"/>
      <c r="E117" s="252"/>
      <c r="F117" s="85" t="s">
        <v>17</v>
      </c>
      <c r="G117" s="86">
        <f>H117+I117+J117+K117+M117</f>
        <v>0</v>
      </c>
      <c r="H117" s="86">
        <v>0</v>
      </c>
      <c r="I117" s="86">
        <v>0</v>
      </c>
      <c r="J117" s="87">
        <v>0</v>
      </c>
      <c r="K117" s="86">
        <v>0</v>
      </c>
      <c r="L117" s="86">
        <v>0</v>
      </c>
      <c r="M117" s="86">
        <v>0</v>
      </c>
      <c r="N117" s="295"/>
    </row>
    <row r="118" spans="1:14" ht="21.75" customHeight="1">
      <c r="A118" s="243" t="s">
        <v>128</v>
      </c>
      <c r="B118" s="246" t="s">
        <v>22</v>
      </c>
      <c r="C118" s="241" t="s">
        <v>11</v>
      </c>
      <c r="D118" s="249" t="s">
        <v>42</v>
      </c>
      <c r="E118" s="241" t="s">
        <v>153</v>
      </c>
      <c r="F118" s="85" t="s">
        <v>14</v>
      </c>
      <c r="G118" s="86">
        <f t="shared" ref="G118:M118" si="33">G119+G120+G121</f>
        <v>348801.03</v>
      </c>
      <c r="H118" s="86">
        <f t="shared" si="33"/>
        <v>48537.82</v>
      </c>
      <c r="I118" s="86">
        <f t="shared" si="33"/>
        <v>103165.31</v>
      </c>
      <c r="J118" s="87">
        <f t="shared" si="33"/>
        <v>81257.899999999994</v>
      </c>
      <c r="K118" s="86">
        <f t="shared" si="33"/>
        <v>57920</v>
      </c>
      <c r="L118" s="86">
        <f>L119+L120+L121</f>
        <v>57920</v>
      </c>
      <c r="M118" s="86">
        <f t="shared" si="33"/>
        <v>57920</v>
      </c>
      <c r="N118" s="295"/>
    </row>
    <row r="119" spans="1:14" ht="21.75" customHeight="1">
      <c r="A119" s="244"/>
      <c r="B119" s="247"/>
      <c r="C119" s="242"/>
      <c r="D119" s="250"/>
      <c r="E119" s="242"/>
      <c r="F119" s="85" t="s">
        <v>133</v>
      </c>
      <c r="G119" s="86">
        <f>H119+I119+J119+K119+M119</f>
        <v>348801.03</v>
      </c>
      <c r="H119" s="86">
        <f>48538-0.18</f>
        <v>48537.82</v>
      </c>
      <c r="I119" s="86">
        <f>94165.31+9000</f>
        <v>103165.31</v>
      </c>
      <c r="J119" s="87">
        <v>81257.899999999994</v>
      </c>
      <c r="K119" s="86">
        <v>57920</v>
      </c>
      <c r="L119" s="86">
        <v>57920</v>
      </c>
      <c r="M119" s="86">
        <v>57920</v>
      </c>
      <c r="N119" s="295"/>
    </row>
    <row r="120" spans="1:14" ht="21.75" customHeight="1">
      <c r="A120" s="244"/>
      <c r="B120" s="247"/>
      <c r="C120" s="242"/>
      <c r="D120" s="250"/>
      <c r="E120" s="242"/>
      <c r="F120" s="85" t="s">
        <v>16</v>
      </c>
      <c r="G120" s="86">
        <f>H120+I120+J120+K120+M120</f>
        <v>0</v>
      </c>
      <c r="H120" s="86">
        <v>0</v>
      </c>
      <c r="I120" s="86">
        <v>0</v>
      </c>
      <c r="J120" s="87">
        <v>0</v>
      </c>
      <c r="K120" s="86">
        <v>0</v>
      </c>
      <c r="L120" s="86">
        <v>0</v>
      </c>
      <c r="M120" s="86">
        <v>0</v>
      </c>
      <c r="N120" s="295"/>
    </row>
    <row r="121" spans="1:14" ht="21.75" customHeight="1">
      <c r="A121" s="245"/>
      <c r="B121" s="248"/>
      <c r="C121" s="242"/>
      <c r="D121" s="251"/>
      <c r="E121" s="252"/>
      <c r="F121" s="85" t="s">
        <v>17</v>
      </c>
      <c r="G121" s="86">
        <f>H121+I121+J121+K121+M121</f>
        <v>0</v>
      </c>
      <c r="H121" s="86">
        <v>0</v>
      </c>
      <c r="I121" s="86">
        <v>0</v>
      </c>
      <c r="J121" s="87">
        <v>0</v>
      </c>
      <c r="K121" s="86">
        <v>0</v>
      </c>
      <c r="L121" s="86">
        <v>0</v>
      </c>
      <c r="M121" s="86">
        <v>0</v>
      </c>
      <c r="N121" s="295"/>
    </row>
    <row r="122" spans="1:14" ht="21.75" customHeight="1">
      <c r="A122" s="243" t="s">
        <v>144</v>
      </c>
      <c r="B122" s="246" t="s">
        <v>23</v>
      </c>
      <c r="C122" s="241" t="s">
        <v>11</v>
      </c>
      <c r="D122" s="249" t="s">
        <v>147</v>
      </c>
      <c r="E122" s="241" t="s">
        <v>153</v>
      </c>
      <c r="F122" s="85" t="s">
        <v>14</v>
      </c>
      <c r="G122" s="86">
        <f t="shared" ref="G122:M122" si="34">G123+G124+G125</f>
        <v>20525826.269999996</v>
      </c>
      <c r="H122" s="86">
        <f t="shared" si="34"/>
        <v>3915780</v>
      </c>
      <c r="I122" s="86">
        <f t="shared" si="34"/>
        <v>3809664.29</v>
      </c>
      <c r="J122" s="87">
        <f t="shared" si="34"/>
        <v>5042230.8599999994</v>
      </c>
      <c r="K122" s="86">
        <f t="shared" si="34"/>
        <v>3502745.77</v>
      </c>
      <c r="L122" s="86">
        <f>L123+L124+L125</f>
        <v>3630782.09</v>
      </c>
      <c r="M122" s="86">
        <f t="shared" si="34"/>
        <v>4255405.3499999996</v>
      </c>
      <c r="N122" s="295"/>
    </row>
    <row r="123" spans="1:14" ht="21.75" customHeight="1">
      <c r="A123" s="244"/>
      <c r="B123" s="247"/>
      <c r="C123" s="242"/>
      <c r="D123" s="250"/>
      <c r="E123" s="242"/>
      <c r="F123" s="85" t="s">
        <v>133</v>
      </c>
      <c r="G123" s="86">
        <f>H123+I123+J123+K123+M123</f>
        <v>0</v>
      </c>
      <c r="H123" s="86">
        <v>0</v>
      </c>
      <c r="I123" s="86">
        <v>0</v>
      </c>
      <c r="J123" s="87">
        <v>0</v>
      </c>
      <c r="K123" s="86">
        <v>0</v>
      </c>
      <c r="L123" s="86">
        <v>0</v>
      </c>
      <c r="M123" s="86">
        <v>0</v>
      </c>
      <c r="N123" s="295"/>
    </row>
    <row r="124" spans="1:14" ht="21.75" customHeight="1">
      <c r="A124" s="244"/>
      <c r="B124" s="247"/>
      <c r="C124" s="242"/>
      <c r="D124" s="250"/>
      <c r="E124" s="242"/>
      <c r="F124" s="85" t="s">
        <v>16</v>
      </c>
      <c r="G124" s="86">
        <f>H124+I124+J124+K124+M124</f>
        <v>20525826.269999996</v>
      </c>
      <c r="H124" s="86">
        <f>1513280+2402500</f>
        <v>3915780</v>
      </c>
      <c r="I124" s="86">
        <f>1178210+2631454.29</f>
        <v>3809664.29</v>
      </c>
      <c r="J124" s="87">
        <f>'[2]остатки средств в ФК_8'!$R$74+'[2]остатки средств в ФК_8'!$R$16</f>
        <v>5042230.8599999994</v>
      </c>
      <c r="K124" s="86">
        <v>3502745.77</v>
      </c>
      <c r="L124" s="86">
        <v>3630782.09</v>
      </c>
      <c r="M124" s="86">
        <v>4255405.3499999996</v>
      </c>
      <c r="N124" s="295"/>
    </row>
    <row r="125" spans="1:14" ht="21.75" customHeight="1">
      <c r="A125" s="245"/>
      <c r="B125" s="248"/>
      <c r="C125" s="242"/>
      <c r="D125" s="251"/>
      <c r="E125" s="252"/>
      <c r="F125" s="85" t="s">
        <v>17</v>
      </c>
      <c r="G125" s="86">
        <f>H125+I125+J125+K125+M125</f>
        <v>0</v>
      </c>
      <c r="H125" s="86">
        <v>0</v>
      </c>
      <c r="I125" s="86">
        <v>0</v>
      </c>
      <c r="J125" s="87">
        <v>0</v>
      </c>
      <c r="K125" s="86">
        <v>0</v>
      </c>
      <c r="L125" s="86">
        <v>0</v>
      </c>
      <c r="M125" s="86">
        <v>0</v>
      </c>
      <c r="N125" s="295"/>
    </row>
    <row r="126" spans="1:14" ht="21.75" customHeight="1">
      <c r="A126" s="269"/>
      <c r="B126" s="272" t="s">
        <v>57</v>
      </c>
      <c r="C126" s="257" t="s">
        <v>11</v>
      </c>
      <c r="D126" s="259" t="s">
        <v>55</v>
      </c>
      <c r="E126" s="257" t="s">
        <v>153</v>
      </c>
      <c r="F126" s="82" t="s">
        <v>14</v>
      </c>
      <c r="G126" s="83">
        <f t="shared" ref="G126:M126" si="35">G127+G128+G129</f>
        <v>106602214.7</v>
      </c>
      <c r="H126" s="83">
        <f>H127+H128+H129</f>
        <v>11501858.800000001</v>
      </c>
      <c r="I126" s="83">
        <f>I127+I128+I129</f>
        <v>20053625.789999999</v>
      </c>
      <c r="J126" s="83">
        <f>J127+J128+J129</f>
        <v>23607892.009999998</v>
      </c>
      <c r="K126" s="83">
        <f t="shared" si="35"/>
        <v>27963673.77</v>
      </c>
      <c r="L126" s="83">
        <f>L127+L128+L129</f>
        <v>24153926.329999998</v>
      </c>
      <c r="M126" s="83">
        <f t="shared" si="35"/>
        <v>23475164.329999998</v>
      </c>
      <c r="N126" s="263"/>
    </row>
    <row r="127" spans="1:14" ht="21.75" customHeight="1">
      <c r="A127" s="270"/>
      <c r="B127" s="273"/>
      <c r="C127" s="258"/>
      <c r="D127" s="260"/>
      <c r="E127" s="258"/>
      <c r="F127" s="82" t="s">
        <v>133</v>
      </c>
      <c r="G127" s="83">
        <f>H127+I127+J127+K127+M127</f>
        <v>20818843.09</v>
      </c>
      <c r="H127" s="83">
        <f t="shared" ref="H127:I129" si="36">+H131+H135+H139+H143+H147+H151</f>
        <v>1291281.29</v>
      </c>
      <c r="I127" s="83">
        <f t="shared" si="36"/>
        <v>2153726.31</v>
      </c>
      <c r="J127" s="83">
        <f>+J131+J135+J139+J143+J147+J151+J155</f>
        <v>5780842.8499999996</v>
      </c>
      <c r="K127" s="83">
        <f>+K131+K135+K139+K143+K147+K151+K155</f>
        <v>7104224.1900000004</v>
      </c>
      <c r="L127" s="83">
        <f>+L131+L135+L139+L143+L147+L151+L155</f>
        <v>4489443.82</v>
      </c>
      <c r="M127" s="83">
        <f>+M131+M135+M139+M143+M147+M151+M155</f>
        <v>4488768.45</v>
      </c>
      <c r="N127" s="264"/>
    </row>
    <row r="128" spans="1:14" ht="21.75" customHeight="1">
      <c r="A128" s="270"/>
      <c r="B128" s="273"/>
      <c r="C128" s="258"/>
      <c r="D128" s="260"/>
      <c r="E128" s="258"/>
      <c r="F128" s="82" t="s">
        <v>16</v>
      </c>
      <c r="G128" s="83">
        <f>H128+I128+J128+K128+M128</f>
        <v>16930620.719999999</v>
      </c>
      <c r="H128" s="83">
        <f t="shared" si="36"/>
        <v>3811477.51</v>
      </c>
      <c r="I128" s="83">
        <f t="shared" si="36"/>
        <v>3351399.4800000004</v>
      </c>
      <c r="J128" s="83">
        <f t="shared" ref="J128:M129" si="37">+J132+J136+J140+J144+J148+J152+J156</f>
        <v>2980398.27</v>
      </c>
      <c r="K128" s="83">
        <f t="shared" si="37"/>
        <v>3670049.58</v>
      </c>
      <c r="L128" s="83">
        <f t="shared" si="37"/>
        <v>3020382.51</v>
      </c>
      <c r="M128" s="83">
        <f t="shared" si="37"/>
        <v>3117295.88</v>
      </c>
      <c r="N128" s="264"/>
    </row>
    <row r="129" spans="1:15" ht="21.75" customHeight="1">
      <c r="A129" s="271"/>
      <c r="B129" s="274"/>
      <c r="C129" s="275"/>
      <c r="D129" s="261"/>
      <c r="E129" s="275"/>
      <c r="F129" s="82" t="s">
        <v>17</v>
      </c>
      <c r="G129" s="83">
        <f>H129+I129+J129+K129+M129</f>
        <v>68852750.890000001</v>
      </c>
      <c r="H129" s="83">
        <f t="shared" si="36"/>
        <v>6399100</v>
      </c>
      <c r="I129" s="83">
        <f t="shared" si="36"/>
        <v>14548499.999999998</v>
      </c>
      <c r="J129" s="83">
        <f t="shared" si="37"/>
        <v>14846650.890000001</v>
      </c>
      <c r="K129" s="83">
        <f t="shared" si="37"/>
        <v>17189400</v>
      </c>
      <c r="L129" s="83">
        <f t="shared" si="37"/>
        <v>16644100</v>
      </c>
      <c r="M129" s="83">
        <f t="shared" si="37"/>
        <v>15869100</v>
      </c>
      <c r="N129" s="264"/>
    </row>
    <row r="130" spans="1:15" ht="21.75" customHeight="1">
      <c r="A130" s="243" t="s">
        <v>78</v>
      </c>
      <c r="B130" s="265" t="s">
        <v>64</v>
      </c>
      <c r="C130" s="241" t="s">
        <v>11</v>
      </c>
      <c r="D130" s="279" t="s">
        <v>65</v>
      </c>
      <c r="E130" s="241" t="s">
        <v>153</v>
      </c>
      <c r="F130" s="85" t="s">
        <v>14</v>
      </c>
      <c r="G130" s="86">
        <f t="shared" ref="G130:M130" si="38">G131+G132+G133</f>
        <v>3240284.2800000003</v>
      </c>
      <c r="H130" s="86">
        <f t="shared" si="38"/>
        <v>547300</v>
      </c>
      <c r="I130" s="86">
        <f t="shared" si="38"/>
        <v>708294.28</v>
      </c>
      <c r="J130" s="86">
        <f t="shared" si="38"/>
        <v>721420</v>
      </c>
      <c r="K130" s="86">
        <f t="shared" si="38"/>
        <v>639900</v>
      </c>
      <c r="L130" s="86">
        <f>L131+L132+L133</f>
        <v>638490</v>
      </c>
      <c r="M130" s="86">
        <f t="shared" si="38"/>
        <v>623370</v>
      </c>
      <c r="N130" s="263" t="s">
        <v>66</v>
      </c>
    </row>
    <row r="131" spans="1:15" ht="21.75" customHeight="1">
      <c r="A131" s="244"/>
      <c r="B131" s="266"/>
      <c r="C131" s="242"/>
      <c r="D131" s="280"/>
      <c r="E131" s="242"/>
      <c r="F131" s="85" t="s">
        <v>133</v>
      </c>
      <c r="G131" s="86">
        <f>H131+I131+J131+K131+M131</f>
        <v>2072394.28</v>
      </c>
      <c r="H131" s="86">
        <v>408000</v>
      </c>
      <c r="I131" s="86">
        <f>433440+44154.28</f>
        <v>477594.28</v>
      </c>
      <c r="J131" s="86">
        <f>526320-61920</f>
        <v>464400</v>
      </c>
      <c r="K131" s="86">
        <v>361200</v>
      </c>
      <c r="L131" s="86">
        <v>361200</v>
      </c>
      <c r="M131" s="86">
        <v>361200</v>
      </c>
      <c r="N131" s="264"/>
    </row>
    <row r="132" spans="1:15" ht="21.75" customHeight="1">
      <c r="A132" s="244"/>
      <c r="B132" s="266"/>
      <c r="C132" s="242"/>
      <c r="D132" s="280"/>
      <c r="E132" s="242"/>
      <c r="F132" s="85" t="s">
        <v>16</v>
      </c>
      <c r="G132" s="86">
        <f>H132+I132+J132+K132+M132</f>
        <v>1167890</v>
      </c>
      <c r="H132" s="86">
        <v>139300</v>
      </c>
      <c r="I132" s="86">
        <v>230700</v>
      </c>
      <c r="J132" s="86">
        <v>257020</v>
      </c>
      <c r="K132" s="86">
        <v>278700</v>
      </c>
      <c r="L132" s="86">
        <v>277290</v>
      </c>
      <c r="M132" s="86">
        <v>262170</v>
      </c>
      <c r="N132" s="264"/>
    </row>
    <row r="133" spans="1:15" ht="21.75" customHeight="1">
      <c r="A133" s="245"/>
      <c r="B133" s="267"/>
      <c r="C133" s="242"/>
      <c r="D133" s="281"/>
      <c r="E133" s="252"/>
      <c r="F133" s="85" t="s">
        <v>17</v>
      </c>
      <c r="G133" s="86">
        <f>H133+I133+J133+K133+M133</f>
        <v>0</v>
      </c>
      <c r="H133" s="86">
        <v>0</v>
      </c>
      <c r="I133" s="86">
        <v>0</v>
      </c>
      <c r="J133" s="86">
        <v>0</v>
      </c>
      <c r="K133" s="86">
        <v>0</v>
      </c>
      <c r="L133" s="86">
        <v>0</v>
      </c>
      <c r="M133" s="86">
        <v>0</v>
      </c>
      <c r="N133" s="268"/>
    </row>
    <row r="134" spans="1:15" ht="21.75" customHeight="1">
      <c r="A134" s="243" t="s">
        <v>81</v>
      </c>
      <c r="B134" s="265" t="s">
        <v>67</v>
      </c>
      <c r="C134" s="241" t="s">
        <v>11</v>
      </c>
      <c r="D134" s="249" t="s">
        <v>147</v>
      </c>
      <c r="E134" s="241" t="s">
        <v>153</v>
      </c>
      <c r="F134" s="85" t="s">
        <v>14</v>
      </c>
      <c r="G134" s="86">
        <f t="shared" ref="G134:M134" si="39">G135+G136+G137</f>
        <v>7492612.9000000004</v>
      </c>
      <c r="H134" s="86">
        <f t="shared" si="39"/>
        <v>104312.9</v>
      </c>
      <c r="I134" s="86">
        <f t="shared" si="39"/>
        <v>1803468</v>
      </c>
      <c r="J134" s="86">
        <f t="shared" si="39"/>
        <v>1803468</v>
      </c>
      <c r="K134" s="86">
        <f t="shared" si="39"/>
        <v>1993788</v>
      </c>
      <c r="L134" s="86">
        <f>L135+L136+L137</f>
        <v>1787576</v>
      </c>
      <c r="M134" s="86">
        <f t="shared" si="39"/>
        <v>1787576</v>
      </c>
      <c r="N134" s="263" t="s">
        <v>68</v>
      </c>
    </row>
    <row r="135" spans="1:15" ht="21.75" customHeight="1">
      <c r="A135" s="244"/>
      <c r="B135" s="266"/>
      <c r="C135" s="242"/>
      <c r="D135" s="250"/>
      <c r="E135" s="242"/>
      <c r="F135" s="85" t="s">
        <v>133</v>
      </c>
      <c r="G135" s="86">
        <f>H135+I135+J135+K135+M135</f>
        <v>3901568.9</v>
      </c>
      <c r="H135" s="86">
        <v>104312.9</v>
      </c>
      <c r="I135" s="86">
        <f>500000+401734</f>
        <v>901734</v>
      </c>
      <c r="J135" s="86">
        <v>901734</v>
      </c>
      <c r="K135" s="86">
        <v>1100000</v>
      </c>
      <c r="L135" s="86">
        <v>893788</v>
      </c>
      <c r="M135" s="86">
        <v>893788</v>
      </c>
      <c r="N135" s="264"/>
      <c r="O135" s="95"/>
    </row>
    <row r="136" spans="1:15" ht="21.75" customHeight="1">
      <c r="A136" s="244"/>
      <c r="B136" s="266"/>
      <c r="C136" s="242"/>
      <c r="D136" s="250"/>
      <c r="E136" s="242"/>
      <c r="F136" s="85" t="s">
        <v>16</v>
      </c>
      <c r="G136" s="86">
        <f>H136+I136+J136+K136+M136</f>
        <v>3591044</v>
      </c>
      <c r="H136" s="86"/>
      <c r="I136" s="86">
        <v>901734</v>
      </c>
      <c r="J136" s="86">
        <v>901734</v>
      </c>
      <c r="K136" s="86">
        <v>893788</v>
      </c>
      <c r="L136" s="86">
        <v>893788</v>
      </c>
      <c r="M136" s="86">
        <v>893788</v>
      </c>
      <c r="N136" s="264"/>
    </row>
    <row r="137" spans="1:15" ht="21.75" customHeight="1">
      <c r="A137" s="245"/>
      <c r="B137" s="267"/>
      <c r="C137" s="242"/>
      <c r="D137" s="251"/>
      <c r="E137" s="252"/>
      <c r="F137" s="85" t="s">
        <v>17</v>
      </c>
      <c r="G137" s="86">
        <f>H137+I137+J137+K137+M137</f>
        <v>0</v>
      </c>
      <c r="H137" s="86">
        <v>0</v>
      </c>
      <c r="I137" s="86">
        <v>0</v>
      </c>
      <c r="J137" s="86">
        <v>0</v>
      </c>
      <c r="K137" s="86">
        <v>0</v>
      </c>
      <c r="L137" s="86">
        <v>0</v>
      </c>
      <c r="M137" s="86">
        <v>0</v>
      </c>
      <c r="N137" s="268"/>
    </row>
    <row r="138" spans="1:15" ht="21.75" customHeight="1">
      <c r="A138" s="243" t="s">
        <v>83</v>
      </c>
      <c r="B138" s="265" t="s">
        <v>69</v>
      </c>
      <c r="C138" s="241" t="s">
        <v>11</v>
      </c>
      <c r="D138" s="249" t="s">
        <v>147</v>
      </c>
      <c r="E138" s="241" t="s">
        <v>153</v>
      </c>
      <c r="F138" s="85" t="s">
        <v>14</v>
      </c>
      <c r="G138" s="86">
        <f t="shared" ref="G138:M138" si="40">G139+G140+G141</f>
        <v>4037679.9699999997</v>
      </c>
      <c r="H138" s="86">
        <f t="shared" si="40"/>
        <v>2568957</v>
      </c>
      <c r="I138" s="86">
        <f t="shared" si="40"/>
        <v>1360722.97</v>
      </c>
      <c r="J138" s="86">
        <f t="shared" si="40"/>
        <v>0</v>
      </c>
      <c r="K138" s="86">
        <f t="shared" si="40"/>
        <v>108000</v>
      </c>
      <c r="L138" s="86">
        <f>L139+L140+L141</f>
        <v>0</v>
      </c>
      <c r="M138" s="86">
        <f t="shared" si="40"/>
        <v>0</v>
      </c>
      <c r="N138" s="263" t="s">
        <v>70</v>
      </c>
    </row>
    <row r="139" spans="1:15" ht="21.75" customHeight="1">
      <c r="A139" s="244"/>
      <c r="B139" s="266"/>
      <c r="C139" s="242"/>
      <c r="D139" s="250"/>
      <c r="E139" s="242"/>
      <c r="F139" s="85" t="s">
        <v>133</v>
      </c>
      <c r="G139" s="86">
        <f>H139+I139+J139+K139+M139</f>
        <v>1636903.99</v>
      </c>
      <c r="H139" s="86">
        <v>770687.1</v>
      </c>
      <c r="I139" s="86">
        <f>670000-411783.11+500000</f>
        <v>758216.89</v>
      </c>
      <c r="J139" s="86">
        <f>257165-257165</f>
        <v>0</v>
      </c>
      <c r="K139" s="86">
        <v>108000</v>
      </c>
      <c r="L139" s="86">
        <v>0</v>
      </c>
      <c r="M139" s="86">
        <v>0</v>
      </c>
      <c r="N139" s="264"/>
      <c r="O139" s="95"/>
    </row>
    <row r="140" spans="1:15" ht="21.75" customHeight="1">
      <c r="A140" s="244"/>
      <c r="B140" s="266"/>
      <c r="C140" s="242"/>
      <c r="D140" s="250"/>
      <c r="E140" s="242"/>
      <c r="F140" s="85" t="s">
        <v>16</v>
      </c>
      <c r="G140" s="86">
        <f>H140+I140+J140+K140+M140</f>
        <v>2400775.98</v>
      </c>
      <c r="H140" s="86">
        <v>1798269.9</v>
      </c>
      <c r="I140" s="86">
        <v>602506.07999999996</v>
      </c>
      <c r="J140" s="86">
        <f>600051-600051</f>
        <v>0</v>
      </c>
      <c r="K140" s="86">
        <v>0</v>
      </c>
      <c r="L140" s="86">
        <v>0</v>
      </c>
      <c r="M140" s="86">
        <v>0</v>
      </c>
      <c r="N140" s="264"/>
    </row>
    <row r="141" spans="1:15" ht="21.75" customHeight="1">
      <c r="A141" s="245"/>
      <c r="B141" s="267"/>
      <c r="C141" s="242"/>
      <c r="D141" s="251"/>
      <c r="E141" s="252"/>
      <c r="F141" s="85" t="s">
        <v>17</v>
      </c>
      <c r="G141" s="86">
        <f>H141+I141+J141+K141+M141</f>
        <v>0</v>
      </c>
      <c r="H141" s="86">
        <v>0</v>
      </c>
      <c r="I141" s="86">
        <v>0</v>
      </c>
      <c r="J141" s="86">
        <v>0</v>
      </c>
      <c r="K141" s="86">
        <v>0</v>
      </c>
      <c r="L141" s="86">
        <v>0</v>
      </c>
      <c r="M141" s="86">
        <v>0</v>
      </c>
      <c r="N141" s="268"/>
    </row>
    <row r="142" spans="1:15" ht="21.75" customHeight="1">
      <c r="A142" s="243" t="s">
        <v>120</v>
      </c>
      <c r="B142" s="265" t="s">
        <v>72</v>
      </c>
      <c r="C142" s="241" t="s">
        <v>11</v>
      </c>
      <c r="D142" s="249" t="s">
        <v>42</v>
      </c>
      <c r="E142" s="241" t="s">
        <v>153</v>
      </c>
      <c r="F142" s="85" t="s">
        <v>14</v>
      </c>
      <c r="G142" s="86">
        <f t="shared" ref="G142:M142" si="41">G143+G144+G145</f>
        <v>77943557.030000001</v>
      </c>
      <c r="H142" s="86">
        <f t="shared" si="41"/>
        <v>8281288.9000000004</v>
      </c>
      <c r="I142" s="86">
        <f t="shared" si="41"/>
        <v>16181140.539999999</v>
      </c>
      <c r="J142" s="86">
        <f t="shared" si="41"/>
        <v>16514372.370000001</v>
      </c>
      <c r="K142" s="86">
        <f t="shared" si="41"/>
        <v>19118469.050000001</v>
      </c>
      <c r="L142" s="86">
        <f>L143+L144+L145</f>
        <v>18511916.43</v>
      </c>
      <c r="M142" s="86">
        <f t="shared" si="41"/>
        <v>17848286.170000002</v>
      </c>
      <c r="N142" s="263" t="s">
        <v>73</v>
      </c>
    </row>
    <row r="143" spans="1:15" ht="21.75" customHeight="1">
      <c r="A143" s="244"/>
      <c r="B143" s="266"/>
      <c r="C143" s="242"/>
      <c r="D143" s="250"/>
      <c r="E143" s="242"/>
      <c r="F143" s="85" t="s">
        <v>133</v>
      </c>
      <c r="G143" s="86">
        <f>H143+I143+J143+K143+M143</f>
        <v>79511.399999999994</v>
      </c>
      <c r="H143" s="86">
        <v>8281.2900000000009</v>
      </c>
      <c r="I143" s="86">
        <v>16181.139999999996</v>
      </c>
      <c r="J143" s="87">
        <f>17660.82+421.39</f>
        <v>18082.21</v>
      </c>
      <c r="K143" s="87">
        <v>19118.47</v>
      </c>
      <c r="L143" s="87">
        <v>18511.919999999998</v>
      </c>
      <c r="M143" s="87">
        <v>17848.29</v>
      </c>
      <c r="N143" s="264"/>
    </row>
    <row r="144" spans="1:15" ht="21.75" customHeight="1">
      <c r="A144" s="244"/>
      <c r="B144" s="266"/>
      <c r="C144" s="242"/>
      <c r="D144" s="250"/>
      <c r="E144" s="242"/>
      <c r="F144" s="85" t="s">
        <v>16</v>
      </c>
      <c r="G144" s="86">
        <f>H144+I144+J144+K144+M144</f>
        <v>9011294.7400000002</v>
      </c>
      <c r="H144" s="86">
        <f>1873906.61+1</f>
        <v>1873907.61</v>
      </c>
      <c r="I144" s="86">
        <v>1616459.4000000001</v>
      </c>
      <c r="J144" s="87">
        <f>'[4]остатки средств в ФК_3'!$AH$112</f>
        <v>1649639.27</v>
      </c>
      <c r="K144" s="87">
        <v>1909950.58</v>
      </c>
      <c r="L144" s="87">
        <v>1849304.51</v>
      </c>
      <c r="M144" s="87">
        <v>1961337.88</v>
      </c>
      <c r="N144" s="264"/>
    </row>
    <row r="145" spans="1:14" ht="21.75" customHeight="1">
      <c r="A145" s="245"/>
      <c r="B145" s="267"/>
      <c r="C145" s="242"/>
      <c r="D145" s="251"/>
      <c r="E145" s="252"/>
      <c r="F145" s="85" t="s">
        <v>17</v>
      </c>
      <c r="G145" s="86">
        <f>H145+I145+J145+K145+M145</f>
        <v>68852750.890000001</v>
      </c>
      <c r="H145" s="86">
        <v>6399100</v>
      </c>
      <c r="I145" s="86">
        <v>14548499.999999998</v>
      </c>
      <c r="J145" s="87">
        <f>'[4]остатки средств в ФК_3'!$AG$112</f>
        <v>14846650.890000001</v>
      </c>
      <c r="K145" s="87">
        <v>17189400</v>
      </c>
      <c r="L145" s="87">
        <v>16644100</v>
      </c>
      <c r="M145" s="87">
        <v>15869100</v>
      </c>
      <c r="N145" s="268"/>
    </row>
    <row r="146" spans="1:14" ht="21.75" customHeight="1">
      <c r="A146" s="243" t="s">
        <v>86</v>
      </c>
      <c r="B146" s="265" t="s">
        <v>74</v>
      </c>
      <c r="C146" s="241" t="s">
        <v>11</v>
      </c>
      <c r="D146" s="249" t="s">
        <v>42</v>
      </c>
      <c r="E146" s="241" t="s">
        <v>153</v>
      </c>
      <c r="F146" s="85" t="s">
        <v>14</v>
      </c>
      <c r="G146" s="86">
        <f t="shared" ref="G146:M146" si="42">G147+G148+G149</f>
        <v>9021293.0300000012</v>
      </c>
      <c r="H146" s="86">
        <f t="shared" si="42"/>
        <v>0</v>
      </c>
      <c r="I146" s="86">
        <f t="shared" si="42"/>
        <v>0</v>
      </c>
      <c r="J146" s="86">
        <f t="shared" si="42"/>
        <v>2749897.15</v>
      </c>
      <c r="K146" s="86">
        <f t="shared" si="42"/>
        <v>3885684.72</v>
      </c>
      <c r="L146" s="86">
        <f>L147+L148+L149</f>
        <v>2385722.9</v>
      </c>
      <c r="M146" s="86">
        <f t="shared" si="42"/>
        <v>2385711.16</v>
      </c>
      <c r="N146" s="263" t="s">
        <v>75</v>
      </c>
    </row>
    <row r="147" spans="1:14" ht="21.75" customHeight="1">
      <c r="A147" s="244"/>
      <c r="B147" s="266"/>
      <c r="C147" s="242"/>
      <c r="D147" s="250"/>
      <c r="E147" s="242"/>
      <c r="F147" s="85" t="s">
        <v>133</v>
      </c>
      <c r="G147" s="86">
        <f>H147+I147+J147+K147+M147</f>
        <v>9021293.0300000012</v>
      </c>
      <c r="H147" s="86"/>
      <c r="I147" s="86"/>
      <c r="J147" s="86">
        <v>2749897.15</v>
      </c>
      <c r="K147" s="86">
        <v>3885684.72</v>
      </c>
      <c r="L147" s="86">
        <v>2385722.9</v>
      </c>
      <c r="M147" s="86">
        <v>2385711.16</v>
      </c>
      <c r="N147" s="264"/>
    </row>
    <row r="148" spans="1:14" ht="21.75" customHeight="1">
      <c r="A148" s="244"/>
      <c r="B148" s="266"/>
      <c r="C148" s="242"/>
      <c r="D148" s="250"/>
      <c r="E148" s="242"/>
      <c r="F148" s="85" t="s">
        <v>16</v>
      </c>
      <c r="G148" s="86">
        <f>H148+I148+J148+K148+M148</f>
        <v>0</v>
      </c>
      <c r="H148" s="86"/>
      <c r="I148" s="86"/>
      <c r="J148" s="86">
        <v>0</v>
      </c>
      <c r="K148" s="86">
        <v>0</v>
      </c>
      <c r="L148" s="86">
        <v>0</v>
      </c>
      <c r="M148" s="86">
        <v>0</v>
      </c>
      <c r="N148" s="264"/>
    </row>
    <row r="149" spans="1:14" ht="21.75" customHeight="1">
      <c r="A149" s="245"/>
      <c r="B149" s="267"/>
      <c r="C149" s="242"/>
      <c r="D149" s="251"/>
      <c r="E149" s="252"/>
      <c r="F149" s="85" t="s">
        <v>17</v>
      </c>
      <c r="G149" s="86">
        <f>H149+I149+J149+K149+M149</f>
        <v>0</v>
      </c>
      <c r="H149" s="86"/>
      <c r="I149" s="86"/>
      <c r="J149" s="86">
        <v>0</v>
      </c>
      <c r="K149" s="86">
        <v>0</v>
      </c>
      <c r="L149" s="86">
        <v>0</v>
      </c>
      <c r="M149" s="86">
        <v>0</v>
      </c>
      <c r="N149" s="268"/>
    </row>
    <row r="150" spans="1:14" ht="21.75" customHeight="1">
      <c r="A150" s="243" t="s">
        <v>121</v>
      </c>
      <c r="B150" s="265" t="s">
        <v>76</v>
      </c>
      <c r="C150" s="241" t="s">
        <v>11</v>
      </c>
      <c r="D150" s="249" t="s">
        <v>42</v>
      </c>
      <c r="E150" s="241" t="s">
        <v>153</v>
      </c>
      <c r="F150" s="85" t="s">
        <v>14</v>
      </c>
      <c r="G150" s="86">
        <f t="shared" ref="G150:M150" si="43">G151+G152+G153</f>
        <v>4107171.49</v>
      </c>
      <c r="H150" s="86">
        <f t="shared" si="43"/>
        <v>0</v>
      </c>
      <c r="I150" s="86">
        <f t="shared" si="43"/>
        <v>0</v>
      </c>
      <c r="J150" s="86">
        <f t="shared" si="43"/>
        <v>1646729.49</v>
      </c>
      <c r="K150" s="86">
        <f t="shared" si="43"/>
        <v>1630221</v>
      </c>
      <c r="L150" s="86">
        <f>L151+L152+L153</f>
        <v>830221</v>
      </c>
      <c r="M150" s="86">
        <f t="shared" si="43"/>
        <v>830221</v>
      </c>
      <c r="N150" s="263" t="s">
        <v>77</v>
      </c>
    </row>
    <row r="151" spans="1:14" ht="21.75" customHeight="1">
      <c r="A151" s="244"/>
      <c r="B151" s="266"/>
      <c r="C151" s="242"/>
      <c r="D151" s="250"/>
      <c r="E151" s="242"/>
      <c r="F151" s="85" t="s">
        <v>133</v>
      </c>
      <c r="G151" s="86">
        <f>H151+I151+J151+K151+M151</f>
        <v>4107171.49</v>
      </c>
      <c r="H151" s="86"/>
      <c r="I151" s="86"/>
      <c r="J151" s="86">
        <v>1646729.49</v>
      </c>
      <c r="K151" s="86">
        <v>1630221</v>
      </c>
      <c r="L151" s="86">
        <v>830221</v>
      </c>
      <c r="M151" s="86">
        <v>830221</v>
      </c>
      <c r="N151" s="264"/>
    </row>
    <row r="152" spans="1:14" ht="21.75" customHeight="1">
      <c r="A152" s="244"/>
      <c r="B152" s="266"/>
      <c r="C152" s="242"/>
      <c r="D152" s="250"/>
      <c r="E152" s="242"/>
      <c r="F152" s="85" t="s">
        <v>16</v>
      </c>
      <c r="G152" s="86">
        <f>H152+I152+J152+K152+M152</f>
        <v>0</v>
      </c>
      <c r="H152" s="86"/>
      <c r="I152" s="86"/>
      <c r="J152" s="86">
        <v>0</v>
      </c>
      <c r="K152" s="86">
        <v>0</v>
      </c>
      <c r="L152" s="86">
        <v>0</v>
      </c>
      <c r="M152" s="86">
        <v>0</v>
      </c>
      <c r="N152" s="264"/>
    </row>
    <row r="153" spans="1:14" ht="21.75" customHeight="1">
      <c r="A153" s="245"/>
      <c r="B153" s="267"/>
      <c r="C153" s="242"/>
      <c r="D153" s="251"/>
      <c r="E153" s="252"/>
      <c r="F153" s="85" t="s">
        <v>17</v>
      </c>
      <c r="G153" s="86">
        <f>H153+I153+J153+K153+M153</f>
        <v>0</v>
      </c>
      <c r="H153" s="86"/>
      <c r="I153" s="86"/>
      <c r="J153" s="86">
        <v>0</v>
      </c>
      <c r="K153" s="86">
        <v>0</v>
      </c>
      <c r="L153" s="86">
        <v>0</v>
      </c>
      <c r="M153" s="86">
        <v>0</v>
      </c>
      <c r="N153" s="268"/>
    </row>
    <row r="154" spans="1:14" ht="21.75" customHeight="1">
      <c r="A154" s="243" t="s">
        <v>89</v>
      </c>
      <c r="B154" s="285" t="s">
        <v>136</v>
      </c>
      <c r="C154" s="288" t="s">
        <v>11</v>
      </c>
      <c r="D154" s="290" t="s">
        <v>42</v>
      </c>
      <c r="E154" s="288" t="s">
        <v>153</v>
      </c>
      <c r="F154" s="91" t="s">
        <v>14</v>
      </c>
      <c r="G154" s="87">
        <f t="shared" ref="G154:M154" si="44">G155+G156+G157</f>
        <v>759616</v>
      </c>
      <c r="H154" s="87">
        <f t="shared" si="44"/>
        <v>0</v>
      </c>
      <c r="I154" s="87">
        <f t="shared" si="44"/>
        <v>0</v>
      </c>
      <c r="J154" s="87">
        <f t="shared" si="44"/>
        <v>172005</v>
      </c>
      <c r="K154" s="87">
        <f t="shared" si="44"/>
        <v>587611</v>
      </c>
      <c r="L154" s="87">
        <f t="shared" si="44"/>
        <v>0</v>
      </c>
      <c r="M154" s="87">
        <f t="shared" si="44"/>
        <v>0</v>
      </c>
      <c r="N154" s="296" t="s">
        <v>137</v>
      </c>
    </row>
    <row r="155" spans="1:14" ht="21.75" customHeight="1">
      <c r="A155" s="244"/>
      <c r="B155" s="286"/>
      <c r="C155" s="289"/>
      <c r="D155" s="291"/>
      <c r="E155" s="289"/>
      <c r="F155" s="91" t="s">
        <v>15</v>
      </c>
      <c r="G155" s="87">
        <f>H155+I155+J155+K155+L155</f>
        <v>0</v>
      </c>
      <c r="H155" s="87"/>
      <c r="I155" s="87"/>
      <c r="J155" s="87">
        <v>0</v>
      </c>
      <c r="K155" s="87">
        <v>0</v>
      </c>
      <c r="L155" s="87">
        <v>0</v>
      </c>
      <c r="M155" s="87">
        <v>0</v>
      </c>
      <c r="N155" s="297"/>
    </row>
    <row r="156" spans="1:14" ht="21.75" customHeight="1">
      <c r="A156" s="244"/>
      <c r="B156" s="286"/>
      <c r="C156" s="289"/>
      <c r="D156" s="291"/>
      <c r="E156" s="289"/>
      <c r="F156" s="91" t="s">
        <v>16</v>
      </c>
      <c r="G156" s="87">
        <f>H156+I156+J156+K156+L156</f>
        <v>759616</v>
      </c>
      <c r="H156" s="87"/>
      <c r="I156" s="87"/>
      <c r="J156" s="87">
        <v>172005</v>
      </c>
      <c r="K156" s="87">
        <v>587611</v>
      </c>
      <c r="L156" s="87">
        <v>0</v>
      </c>
      <c r="M156" s="87">
        <v>0</v>
      </c>
      <c r="N156" s="297"/>
    </row>
    <row r="157" spans="1:14" ht="21.75" customHeight="1">
      <c r="A157" s="245"/>
      <c r="B157" s="287"/>
      <c r="C157" s="289"/>
      <c r="D157" s="292"/>
      <c r="E157" s="293"/>
      <c r="F157" s="91" t="s">
        <v>17</v>
      </c>
      <c r="G157" s="87">
        <f>H157+I157+J157+K157+L157</f>
        <v>0</v>
      </c>
      <c r="H157" s="87"/>
      <c r="I157" s="87"/>
      <c r="J157" s="87">
        <v>0</v>
      </c>
      <c r="K157" s="87">
        <v>0</v>
      </c>
      <c r="L157" s="87">
        <v>0</v>
      </c>
      <c r="M157" s="87">
        <v>0</v>
      </c>
      <c r="N157" s="298"/>
    </row>
    <row r="158" spans="1:14" ht="22.5" customHeight="1">
      <c r="A158" s="224"/>
      <c r="B158" s="299" t="s">
        <v>143</v>
      </c>
      <c r="C158" s="230" t="s">
        <v>11</v>
      </c>
      <c r="D158" s="233" t="s">
        <v>12</v>
      </c>
      <c r="E158" s="230" t="s">
        <v>153</v>
      </c>
      <c r="F158" s="79" t="s">
        <v>14</v>
      </c>
      <c r="G158" s="80">
        <f t="shared" ref="G158:M158" si="45">G159+G160+G161</f>
        <v>352562010.94</v>
      </c>
      <c r="H158" s="80">
        <f>H159+H160+H161</f>
        <v>33765416.269999996</v>
      </c>
      <c r="I158" s="80">
        <f>I159+I160+I161</f>
        <v>51849700.129999995</v>
      </c>
      <c r="J158" s="80">
        <f>J159+J160+J161</f>
        <v>175908008.94999999</v>
      </c>
      <c r="K158" s="80">
        <f t="shared" si="45"/>
        <v>85901561.980000004</v>
      </c>
      <c r="L158" s="80">
        <f>L159+L160+L161</f>
        <v>5032773.8599999994</v>
      </c>
      <c r="M158" s="80">
        <f t="shared" si="45"/>
        <v>5137323.6099999994</v>
      </c>
      <c r="N158" s="302"/>
    </row>
    <row r="159" spans="1:14" ht="22.5" customHeight="1">
      <c r="A159" s="225"/>
      <c r="B159" s="300"/>
      <c r="C159" s="231"/>
      <c r="D159" s="234"/>
      <c r="E159" s="231"/>
      <c r="F159" s="79" t="s">
        <v>133</v>
      </c>
      <c r="G159" s="80">
        <f>H159+I159+J159+K159+M159</f>
        <v>60203099.280000001</v>
      </c>
      <c r="H159" s="80">
        <f>H163+H195+H207+H211+H199+H203+H219+H223+H215+H171+H183+H175+H179+H187+H191+H167</f>
        <v>11096398.129999999</v>
      </c>
      <c r="I159" s="80">
        <f t="shared" ref="I159:M159" si="46">I163+I195+I207+I211+I199+I203+I219+I223+I215+I171+I183+I175+I179+I187+I191+I167</f>
        <v>13999034.969999999</v>
      </c>
      <c r="J159" s="80">
        <f t="shared" si="46"/>
        <v>16915030.59</v>
      </c>
      <c r="K159" s="80">
        <f t="shared" si="46"/>
        <v>13055311.98</v>
      </c>
      <c r="L159" s="80">
        <f t="shared" si="46"/>
        <v>5032773.8599999994</v>
      </c>
      <c r="M159" s="80">
        <f t="shared" si="46"/>
        <v>5137323.6099999994</v>
      </c>
      <c r="N159" s="303"/>
    </row>
    <row r="160" spans="1:14" ht="22.5" customHeight="1">
      <c r="A160" s="225"/>
      <c r="B160" s="300"/>
      <c r="C160" s="231"/>
      <c r="D160" s="234"/>
      <c r="E160" s="231"/>
      <c r="F160" s="79" t="s">
        <v>16</v>
      </c>
      <c r="G160" s="80">
        <f>H160+I160+J160+K160+M160</f>
        <v>104224995.23</v>
      </c>
      <c r="H160" s="80">
        <f t="shared" ref="H160:M161" si="47">H164+H196+H208+H212+H200+H204+H220+H224+H216+H172+H184+H176+H180+H188+H192+H168</f>
        <v>19227384.140000001</v>
      </c>
      <c r="I160" s="80">
        <f t="shared" si="47"/>
        <v>17200900.700000003</v>
      </c>
      <c r="J160" s="80">
        <f t="shared" si="47"/>
        <v>24353296.359999999</v>
      </c>
      <c r="K160" s="80">
        <f t="shared" si="47"/>
        <v>43443414.030000001</v>
      </c>
      <c r="L160" s="80">
        <f t="shared" si="47"/>
        <v>0</v>
      </c>
      <c r="M160" s="80">
        <f t="shared" si="47"/>
        <v>0</v>
      </c>
      <c r="N160" s="303"/>
    </row>
    <row r="161" spans="1:26" ht="22.5" customHeight="1">
      <c r="A161" s="226"/>
      <c r="B161" s="301"/>
      <c r="C161" s="232"/>
      <c r="D161" s="235"/>
      <c r="E161" s="232"/>
      <c r="F161" s="79" t="s">
        <v>17</v>
      </c>
      <c r="G161" s="80">
        <f>H161+I161+J161+K161+M161</f>
        <v>188133916.43000001</v>
      </c>
      <c r="H161" s="80">
        <f t="shared" si="47"/>
        <v>3441634</v>
      </c>
      <c r="I161" s="80">
        <f t="shared" si="47"/>
        <v>20649764.459999997</v>
      </c>
      <c r="J161" s="80">
        <f t="shared" si="47"/>
        <v>134639682</v>
      </c>
      <c r="K161" s="80">
        <f t="shared" si="47"/>
        <v>29402835.969999999</v>
      </c>
      <c r="L161" s="80">
        <f t="shared" si="47"/>
        <v>0</v>
      </c>
      <c r="M161" s="80">
        <f t="shared" si="47"/>
        <v>0</v>
      </c>
      <c r="N161" s="304"/>
      <c r="Z161" s="61"/>
    </row>
    <row r="162" spans="1:26" ht="21.75" customHeight="1">
      <c r="A162" s="243" t="s">
        <v>18</v>
      </c>
      <c r="B162" s="265" t="s">
        <v>79</v>
      </c>
      <c r="C162" s="241" t="s">
        <v>11</v>
      </c>
      <c r="D162" s="249" t="s">
        <v>42</v>
      </c>
      <c r="E162" s="241" t="s">
        <v>153</v>
      </c>
      <c r="F162" s="85" t="s">
        <v>14</v>
      </c>
      <c r="G162" s="86">
        <f t="shared" ref="G162:M162" si="48">G163+G164+G165</f>
        <v>64368253.679999992</v>
      </c>
      <c r="H162" s="86">
        <f t="shared" si="48"/>
        <v>14048396.27</v>
      </c>
      <c r="I162" s="86">
        <f t="shared" si="48"/>
        <v>23290645.129999999</v>
      </c>
      <c r="J162" s="87">
        <f t="shared" si="48"/>
        <v>10367208.279999999</v>
      </c>
      <c r="K162" s="86">
        <f t="shared" si="48"/>
        <v>16352004</v>
      </c>
      <c r="L162" s="86">
        <f>L163+L164+L165</f>
        <v>310000</v>
      </c>
      <c r="M162" s="86">
        <f t="shared" si="48"/>
        <v>310000</v>
      </c>
      <c r="N162" s="263" t="s">
        <v>148</v>
      </c>
    </row>
    <row r="163" spans="1:26" ht="21.75" customHeight="1">
      <c r="A163" s="244"/>
      <c r="B163" s="266"/>
      <c r="C163" s="242"/>
      <c r="D163" s="250"/>
      <c r="E163" s="242"/>
      <c r="F163" s="85" t="s">
        <v>133</v>
      </c>
      <c r="G163" s="86">
        <f>H163+I163+J163+K163+M163</f>
        <v>25264870.379999995</v>
      </c>
      <c r="H163" s="86">
        <v>4977603.13</v>
      </c>
      <c r="I163" s="86">
        <f>7673601.18+600000+400000-13542.21+500000</f>
        <v>9160058.9699999988</v>
      </c>
      <c r="J163" s="87">
        <f>'[6]иные 22.12.2022'!$M$22+'[6]иные 22.12.2022'!$N$22+'[6]иные 22.12.2022'!$AM$22+'[6]иные 22.12.2022'!$AN$22+'[6]иные 22.12.2022'!$AW$22+'[6]иные 22.12.2022'!$AX$22+'[6]иные 22.12.2022'!$BC$22+'[6]иные 22.12.2022'!$BQ$22+'[6]иные 22.12.2022'!$BR$22+'[6]иные 22.12.2022'!$BV$22+'[6]иные 22.12.2022'!$BX$22</f>
        <v>10367208.279999999</v>
      </c>
      <c r="K163" s="86">
        <f>450000</f>
        <v>450000</v>
      </c>
      <c r="L163" s="86">
        <f>60000+250000</f>
        <v>310000</v>
      </c>
      <c r="M163" s="86">
        <v>310000</v>
      </c>
      <c r="N163" s="264"/>
      <c r="P163" s="61">
        <f>1759000+1400000+4507295+1195000</f>
        <v>8861295</v>
      </c>
      <c r="Q163" s="61">
        <f>P163-O163</f>
        <v>8861295</v>
      </c>
    </row>
    <row r="164" spans="1:26" ht="21.75" customHeight="1">
      <c r="A164" s="244"/>
      <c r="B164" s="266"/>
      <c r="C164" s="242"/>
      <c r="D164" s="250"/>
      <c r="E164" s="242"/>
      <c r="F164" s="85" t="s">
        <v>16</v>
      </c>
      <c r="G164" s="86">
        <f>H164+I164+J164+K164+M164</f>
        <v>39103383.299999997</v>
      </c>
      <c r="H164" s="86">
        <f>3714220.8+5356572.34</f>
        <v>9070793.1400000006</v>
      </c>
      <c r="I164" s="86">
        <v>14130586.16</v>
      </c>
      <c r="J164" s="87">
        <f>1500000-1500000</f>
        <v>0</v>
      </c>
      <c r="K164" s="86">
        <f>16686400+1076000-1370000-490396</f>
        <v>15902004</v>
      </c>
      <c r="L164" s="86">
        <v>0</v>
      </c>
      <c r="M164" s="86">
        <v>0</v>
      </c>
      <c r="N164" s="264"/>
      <c r="Q164" s="61"/>
    </row>
    <row r="165" spans="1:26" ht="21.75" customHeight="1">
      <c r="A165" s="245"/>
      <c r="B165" s="267"/>
      <c r="C165" s="252"/>
      <c r="D165" s="251"/>
      <c r="E165" s="252"/>
      <c r="F165" s="85" t="s">
        <v>17</v>
      </c>
      <c r="G165" s="86">
        <f>H165+I165+J165+K165+M165</f>
        <v>0</v>
      </c>
      <c r="H165" s="86">
        <v>0</v>
      </c>
      <c r="I165" s="86">
        <v>0</v>
      </c>
      <c r="J165" s="87">
        <v>0</v>
      </c>
      <c r="K165" s="86">
        <v>0</v>
      </c>
      <c r="L165" s="86">
        <v>0</v>
      </c>
      <c r="M165" s="86">
        <v>0</v>
      </c>
      <c r="N165" s="264"/>
      <c r="O165" s="61"/>
    </row>
    <row r="166" spans="1:26" ht="21.75" customHeight="1">
      <c r="A166" s="243" t="s">
        <v>25</v>
      </c>
      <c r="B166" s="265" t="s">
        <v>119</v>
      </c>
      <c r="C166" s="241" t="s">
        <v>11</v>
      </c>
      <c r="D166" s="249" t="s">
        <v>80</v>
      </c>
      <c r="E166" s="241" t="s">
        <v>153</v>
      </c>
      <c r="F166" s="85" t="s">
        <v>14</v>
      </c>
      <c r="G166" s="86">
        <f t="shared" ref="G166:K166" si="49">G167+G168+G169</f>
        <v>207594448.94</v>
      </c>
      <c r="H166" s="86">
        <f t="shared" si="49"/>
        <v>0</v>
      </c>
      <c r="I166" s="86">
        <f t="shared" si="49"/>
        <v>0</v>
      </c>
      <c r="J166" s="87">
        <f t="shared" si="49"/>
        <v>160296473.78</v>
      </c>
      <c r="K166" s="86">
        <f t="shared" si="49"/>
        <v>47297975.159999996</v>
      </c>
      <c r="L166" s="86">
        <f>L167+L168+L169</f>
        <v>0</v>
      </c>
      <c r="M166" s="86">
        <f t="shared" ref="M166" si="50">M167+M168+M169</f>
        <v>0</v>
      </c>
      <c r="N166" s="264"/>
    </row>
    <row r="167" spans="1:26" ht="21.75" customHeight="1">
      <c r="A167" s="244"/>
      <c r="B167" s="266"/>
      <c r="C167" s="242"/>
      <c r="D167" s="250"/>
      <c r="E167" s="242"/>
      <c r="F167" s="85" t="s">
        <v>133</v>
      </c>
      <c r="G167" s="86">
        <f>H167+I167+J167+K167+M167</f>
        <v>7162202.0599999996</v>
      </c>
      <c r="H167" s="86">
        <v>0</v>
      </c>
      <c r="I167" s="86">
        <v>0</v>
      </c>
      <c r="J167" s="87">
        <v>3291454.2199999997</v>
      </c>
      <c r="K167" s="86">
        <f>337451+3533296.84</f>
        <v>3870747.84</v>
      </c>
      <c r="L167" s="86">
        <v>0</v>
      </c>
      <c r="M167" s="86">
        <v>0</v>
      </c>
      <c r="N167" s="264"/>
      <c r="P167" s="61">
        <f>1759000+1400000+4507295+1195000</f>
        <v>8861295</v>
      </c>
      <c r="Q167" s="61">
        <f>P167-O167</f>
        <v>8861295</v>
      </c>
    </row>
    <row r="168" spans="1:26" ht="21.75" customHeight="1">
      <c r="A168" s="244"/>
      <c r="B168" s="266"/>
      <c r="C168" s="242"/>
      <c r="D168" s="250"/>
      <c r="E168" s="242"/>
      <c r="F168" s="85" t="s">
        <v>16</v>
      </c>
      <c r="G168" s="86">
        <f>H168+I168+J168+K168+M168</f>
        <v>37994164.879999995</v>
      </c>
      <c r="H168" s="86">
        <v>0</v>
      </c>
      <c r="I168" s="86">
        <v>0</v>
      </c>
      <c r="J168" s="87">
        <v>22365337.559999999</v>
      </c>
      <c r="K168" s="86">
        <v>15628827.32</v>
      </c>
      <c r="L168" s="86">
        <v>0</v>
      </c>
      <c r="M168" s="86">
        <v>0</v>
      </c>
      <c r="N168" s="264"/>
      <c r="Q168" s="61"/>
    </row>
    <row r="169" spans="1:26" ht="21.75" customHeight="1">
      <c r="A169" s="245"/>
      <c r="B169" s="267"/>
      <c r="C169" s="242"/>
      <c r="D169" s="251"/>
      <c r="E169" s="252"/>
      <c r="F169" s="85" t="s">
        <v>17</v>
      </c>
      <c r="G169" s="86">
        <f>H169+I169+J169+K169+M169</f>
        <v>162438082</v>
      </c>
      <c r="H169" s="86">
        <v>0</v>
      </c>
      <c r="I169" s="86">
        <v>0</v>
      </c>
      <c r="J169" s="87">
        <v>134639682</v>
      </c>
      <c r="K169" s="86">
        <v>27798400</v>
      </c>
      <c r="L169" s="86">
        <v>0</v>
      </c>
      <c r="M169" s="86">
        <v>0</v>
      </c>
      <c r="N169" s="264"/>
      <c r="O169" s="61"/>
    </row>
    <row r="170" spans="1:26" ht="21.75" customHeight="1">
      <c r="A170" s="243" t="s">
        <v>25</v>
      </c>
      <c r="B170" s="265" t="s">
        <v>155</v>
      </c>
      <c r="C170" s="241" t="s">
        <v>11</v>
      </c>
      <c r="D170" s="249" t="s">
        <v>80</v>
      </c>
      <c r="E170" s="241" t="s">
        <v>153</v>
      </c>
      <c r="F170" s="85" t="s">
        <v>14</v>
      </c>
      <c r="G170" s="86">
        <f t="shared" ref="G170:M170" si="51">G171+G172+G173</f>
        <v>1106622.68</v>
      </c>
      <c r="H170" s="86">
        <f t="shared" si="51"/>
        <v>0</v>
      </c>
      <c r="I170" s="86">
        <f t="shared" si="51"/>
        <v>0</v>
      </c>
      <c r="J170" s="87">
        <f t="shared" si="51"/>
        <v>0</v>
      </c>
      <c r="K170" s="86">
        <f t="shared" si="51"/>
        <v>1106622.68</v>
      </c>
      <c r="L170" s="86">
        <f>L171+L172+L173</f>
        <v>0</v>
      </c>
      <c r="M170" s="86">
        <f t="shared" si="51"/>
        <v>0</v>
      </c>
      <c r="N170" s="264"/>
    </row>
    <row r="171" spans="1:26" ht="21.75" customHeight="1">
      <c r="A171" s="244"/>
      <c r="B171" s="266"/>
      <c r="C171" s="242"/>
      <c r="D171" s="250"/>
      <c r="E171" s="242"/>
      <c r="F171" s="85" t="s">
        <v>133</v>
      </c>
      <c r="G171" s="86">
        <f>H171+I171+J171+K171+M171</f>
        <v>0</v>
      </c>
      <c r="H171" s="86">
        <v>0</v>
      </c>
      <c r="I171" s="86">
        <v>0</v>
      </c>
      <c r="J171" s="87">
        <v>0</v>
      </c>
      <c r="K171" s="86"/>
      <c r="L171" s="86">
        <v>0</v>
      </c>
      <c r="M171" s="86">
        <v>0</v>
      </c>
      <c r="N171" s="264"/>
      <c r="P171" s="61">
        <f>1759000+1400000+4507295+1195000</f>
        <v>8861295</v>
      </c>
      <c r="Q171" s="61">
        <f>P171-O171</f>
        <v>8861295</v>
      </c>
    </row>
    <row r="172" spans="1:26" ht="21.75" customHeight="1">
      <c r="A172" s="244"/>
      <c r="B172" s="266"/>
      <c r="C172" s="242"/>
      <c r="D172" s="250"/>
      <c r="E172" s="242"/>
      <c r="F172" s="85" t="s">
        <v>16</v>
      </c>
      <c r="G172" s="86">
        <f>H172+I172+J172+K172+M172</f>
        <v>1106622.68</v>
      </c>
      <c r="H172" s="86">
        <v>0</v>
      </c>
      <c r="I172" s="86">
        <v>0</v>
      </c>
      <c r="J172" s="87">
        <v>0</v>
      </c>
      <c r="K172" s="86">
        <v>1106622.68</v>
      </c>
      <c r="L172" s="86">
        <v>0</v>
      </c>
      <c r="M172" s="86">
        <v>0</v>
      </c>
      <c r="N172" s="264"/>
      <c r="Q172" s="61"/>
    </row>
    <row r="173" spans="1:26" ht="21.75" customHeight="1">
      <c r="A173" s="245"/>
      <c r="B173" s="267"/>
      <c r="C173" s="242"/>
      <c r="D173" s="251"/>
      <c r="E173" s="252"/>
      <c r="F173" s="85" t="s">
        <v>17</v>
      </c>
      <c r="G173" s="86">
        <f>H173+I173+J173+K173+M173</f>
        <v>0</v>
      </c>
      <c r="H173" s="86">
        <v>0</v>
      </c>
      <c r="I173" s="86">
        <v>0</v>
      </c>
      <c r="J173" s="87">
        <v>0</v>
      </c>
      <c r="K173" s="86"/>
      <c r="L173" s="86">
        <v>0</v>
      </c>
      <c r="M173" s="86">
        <v>0</v>
      </c>
      <c r="N173" s="264"/>
      <c r="O173" s="61"/>
    </row>
    <row r="174" spans="1:26" ht="21.75" customHeight="1">
      <c r="A174" s="243" t="s">
        <v>44</v>
      </c>
      <c r="B174" s="265" t="s">
        <v>59</v>
      </c>
      <c r="C174" s="241" t="s">
        <v>11</v>
      </c>
      <c r="D174" s="279" t="s">
        <v>60</v>
      </c>
      <c r="E174" s="241" t="s">
        <v>153</v>
      </c>
      <c r="F174" s="85" t="s">
        <v>14</v>
      </c>
      <c r="G174" s="86">
        <f t="shared" ref="G174:M174" si="52">G175+G176+G177</f>
        <v>22025521</v>
      </c>
      <c r="H174" s="86">
        <f t="shared" si="52"/>
        <v>12027171</v>
      </c>
      <c r="I174" s="86">
        <f t="shared" si="52"/>
        <v>2498350</v>
      </c>
      <c r="J174" s="86">
        <f t="shared" si="52"/>
        <v>0</v>
      </c>
      <c r="K174" s="86">
        <f t="shared" si="52"/>
        <v>7500000</v>
      </c>
      <c r="L174" s="86">
        <f t="shared" si="52"/>
        <v>0</v>
      </c>
      <c r="M174" s="86">
        <f t="shared" si="52"/>
        <v>0</v>
      </c>
      <c r="N174" s="264"/>
    </row>
    <row r="175" spans="1:26" ht="21.75" customHeight="1">
      <c r="A175" s="244"/>
      <c r="B175" s="266"/>
      <c r="C175" s="242"/>
      <c r="D175" s="280"/>
      <c r="E175" s="242"/>
      <c r="F175" s="85" t="s">
        <v>133</v>
      </c>
      <c r="G175" s="86">
        <f>H175+I175+J175+K175+M175</f>
        <v>2477901</v>
      </c>
      <c r="H175" s="86">
        <v>900000</v>
      </c>
      <c r="I175" s="86">
        <v>77901</v>
      </c>
      <c r="J175" s="86">
        <v>0</v>
      </c>
      <c r="K175" s="86">
        <v>1500000</v>
      </c>
      <c r="L175" s="86">
        <v>0</v>
      </c>
      <c r="M175" s="86">
        <v>0</v>
      </c>
      <c r="N175" s="264"/>
    </row>
    <row r="176" spans="1:26" ht="21.75" customHeight="1">
      <c r="A176" s="244"/>
      <c r="B176" s="266"/>
      <c r="C176" s="242"/>
      <c r="D176" s="280"/>
      <c r="E176" s="242"/>
      <c r="F176" s="85" t="s">
        <v>16</v>
      </c>
      <c r="G176" s="86">
        <f>H176+I176+J176+K176+M176</f>
        <v>13745422.969999999</v>
      </c>
      <c r="H176" s="86">
        <v>7685537</v>
      </c>
      <c r="I176" s="86">
        <f>464321.94+1200000</f>
        <v>1664321.94</v>
      </c>
      <c r="J176" s="86">
        <v>0</v>
      </c>
      <c r="K176" s="86">
        <v>4395564.03</v>
      </c>
      <c r="L176" s="86">
        <v>0</v>
      </c>
      <c r="M176" s="86">
        <v>0</v>
      </c>
      <c r="N176" s="264"/>
    </row>
    <row r="177" spans="1:17" ht="21.75" customHeight="1">
      <c r="A177" s="245"/>
      <c r="B177" s="267"/>
      <c r="C177" s="242"/>
      <c r="D177" s="281"/>
      <c r="E177" s="252"/>
      <c r="F177" s="85" t="s">
        <v>17</v>
      </c>
      <c r="G177" s="86">
        <f>H177+I177+J177+K177+M177</f>
        <v>5802197.0300000003</v>
      </c>
      <c r="H177" s="86">
        <v>3441634</v>
      </c>
      <c r="I177" s="86">
        <v>756127.06</v>
      </c>
      <c r="J177" s="86">
        <v>0</v>
      </c>
      <c r="K177" s="86">
        <v>1604435.97</v>
      </c>
      <c r="L177" s="86">
        <v>0</v>
      </c>
      <c r="M177" s="86">
        <v>0</v>
      </c>
      <c r="N177" s="264"/>
    </row>
    <row r="178" spans="1:17" s="31" customFormat="1" ht="21.75" customHeight="1">
      <c r="A178" s="243" t="s">
        <v>78</v>
      </c>
      <c r="B178" s="265" t="s">
        <v>61</v>
      </c>
      <c r="C178" s="241" t="s">
        <v>11</v>
      </c>
      <c r="D178" s="305" t="s">
        <v>62</v>
      </c>
      <c r="E178" s="241" t="s">
        <v>153</v>
      </c>
      <c r="F178" s="85" t="s">
        <v>14</v>
      </c>
      <c r="G178" s="86">
        <f t="shared" ref="G178:M178" si="53">G179+G180+G181</f>
        <v>21151290</v>
      </c>
      <c r="H178" s="86">
        <f t="shared" si="53"/>
        <v>0</v>
      </c>
      <c r="I178" s="86">
        <f t="shared" si="53"/>
        <v>21151290</v>
      </c>
      <c r="J178" s="86">
        <f t="shared" si="53"/>
        <v>0</v>
      </c>
      <c r="K178" s="86">
        <f t="shared" si="53"/>
        <v>0</v>
      </c>
      <c r="L178" s="86">
        <f t="shared" si="53"/>
        <v>0</v>
      </c>
      <c r="M178" s="86">
        <f t="shared" si="53"/>
        <v>0</v>
      </c>
      <c r="N178" s="264"/>
    </row>
    <row r="179" spans="1:17" s="31" customFormat="1" ht="21.75" customHeight="1">
      <c r="A179" s="244"/>
      <c r="B179" s="266"/>
      <c r="C179" s="242"/>
      <c r="D179" s="306"/>
      <c r="E179" s="242"/>
      <c r="F179" s="85" t="s">
        <v>133</v>
      </c>
      <c r="G179" s="86">
        <f>H179+I179+J179+K179+M179</f>
        <v>851660</v>
      </c>
      <c r="H179" s="86">
        <v>0</v>
      </c>
      <c r="I179" s="86">
        <f>20320+351340+480000</f>
        <v>851660</v>
      </c>
      <c r="J179" s="86">
        <v>0</v>
      </c>
      <c r="K179" s="86">
        <v>0</v>
      </c>
      <c r="L179" s="86">
        <v>0</v>
      </c>
      <c r="M179" s="86">
        <v>0</v>
      </c>
      <c r="N179" s="264"/>
      <c r="P179" s="32">
        <f>1759000+1400000+4507295+1195000</f>
        <v>8861295</v>
      </c>
      <c r="Q179" s="32">
        <f>P179-O179</f>
        <v>8861295</v>
      </c>
    </row>
    <row r="180" spans="1:17" s="31" customFormat="1" ht="21.75" customHeight="1">
      <c r="A180" s="244"/>
      <c r="B180" s="266"/>
      <c r="C180" s="242"/>
      <c r="D180" s="306"/>
      <c r="E180" s="242"/>
      <c r="F180" s="85" t="s">
        <v>16</v>
      </c>
      <c r="G180" s="86">
        <f>H180+I180+J180+K180+M180</f>
        <v>405992.6</v>
      </c>
      <c r="H180" s="86">
        <v>0</v>
      </c>
      <c r="I180" s="86">
        <v>405992.6</v>
      </c>
      <c r="J180" s="86">
        <v>0</v>
      </c>
      <c r="K180" s="86">
        <v>0</v>
      </c>
      <c r="L180" s="86">
        <v>0</v>
      </c>
      <c r="M180" s="86">
        <v>0</v>
      </c>
      <c r="N180" s="264"/>
      <c r="Q180" s="32"/>
    </row>
    <row r="181" spans="1:17" s="31" customFormat="1" ht="21.75" customHeight="1">
      <c r="A181" s="245"/>
      <c r="B181" s="267"/>
      <c r="C181" s="252"/>
      <c r="D181" s="307"/>
      <c r="E181" s="252"/>
      <c r="F181" s="85" t="s">
        <v>17</v>
      </c>
      <c r="G181" s="86">
        <f>H181+I181+J181+K181+M181</f>
        <v>19893637.399999999</v>
      </c>
      <c r="H181" s="86">
        <v>0</v>
      </c>
      <c r="I181" s="86">
        <v>19893637.399999999</v>
      </c>
      <c r="J181" s="86">
        <v>0</v>
      </c>
      <c r="K181" s="86">
        <v>0</v>
      </c>
      <c r="L181" s="86">
        <v>0</v>
      </c>
      <c r="M181" s="86">
        <v>0</v>
      </c>
      <c r="N181" s="264"/>
      <c r="O181" s="32"/>
    </row>
    <row r="182" spans="1:17" ht="21.75" customHeight="1">
      <c r="A182" s="243" t="s">
        <v>81</v>
      </c>
      <c r="B182" s="265" t="s">
        <v>58</v>
      </c>
      <c r="C182" s="241" t="s">
        <v>11</v>
      </c>
      <c r="D182" s="279" t="s">
        <v>37</v>
      </c>
      <c r="E182" s="241" t="s">
        <v>153</v>
      </c>
      <c r="F182" s="85" t="s">
        <v>14</v>
      </c>
      <c r="G182" s="86">
        <f t="shared" ref="G182:M182" si="54">G183+G184+G185</f>
        <v>58058</v>
      </c>
      <c r="H182" s="86">
        <f t="shared" si="54"/>
        <v>58058</v>
      </c>
      <c r="I182" s="86">
        <f t="shared" si="54"/>
        <v>0</v>
      </c>
      <c r="J182" s="86">
        <f t="shared" si="54"/>
        <v>0</v>
      </c>
      <c r="K182" s="86">
        <f t="shared" si="54"/>
        <v>0</v>
      </c>
      <c r="L182" s="86">
        <f t="shared" si="54"/>
        <v>0</v>
      </c>
      <c r="M182" s="86">
        <f t="shared" si="54"/>
        <v>0</v>
      </c>
      <c r="N182" s="264"/>
    </row>
    <row r="183" spans="1:17" ht="21.75" customHeight="1">
      <c r="A183" s="244"/>
      <c r="B183" s="266"/>
      <c r="C183" s="242"/>
      <c r="D183" s="280"/>
      <c r="E183" s="242"/>
      <c r="F183" s="85" t="s">
        <v>133</v>
      </c>
      <c r="G183" s="86">
        <f>H183+I183+J183+K183+M183</f>
        <v>58058</v>
      </c>
      <c r="H183" s="86">
        <v>58058</v>
      </c>
      <c r="I183" s="86">
        <v>0</v>
      </c>
      <c r="J183" s="86">
        <v>0</v>
      </c>
      <c r="K183" s="86">
        <v>0</v>
      </c>
      <c r="L183" s="86">
        <v>0</v>
      </c>
      <c r="M183" s="86">
        <v>0</v>
      </c>
      <c r="N183" s="264"/>
    </row>
    <row r="184" spans="1:17" ht="21.75" customHeight="1">
      <c r="A184" s="244"/>
      <c r="B184" s="266"/>
      <c r="C184" s="242"/>
      <c r="D184" s="280"/>
      <c r="E184" s="242"/>
      <c r="F184" s="85" t="s">
        <v>16</v>
      </c>
      <c r="G184" s="86">
        <f>H184+I184+J184+K184+M184</f>
        <v>0</v>
      </c>
      <c r="H184" s="86">
        <v>0</v>
      </c>
      <c r="I184" s="86">
        <v>0</v>
      </c>
      <c r="J184" s="86">
        <v>0</v>
      </c>
      <c r="K184" s="86">
        <v>0</v>
      </c>
      <c r="L184" s="86">
        <v>0</v>
      </c>
      <c r="M184" s="86">
        <v>0</v>
      </c>
      <c r="N184" s="264"/>
    </row>
    <row r="185" spans="1:17" ht="21.75" customHeight="1">
      <c r="A185" s="245"/>
      <c r="B185" s="267"/>
      <c r="C185" s="242"/>
      <c r="D185" s="281"/>
      <c r="E185" s="252"/>
      <c r="F185" s="85" t="s">
        <v>17</v>
      </c>
      <c r="G185" s="86">
        <f>H185+I185+J185+K185+M185</f>
        <v>0</v>
      </c>
      <c r="H185" s="86">
        <v>0</v>
      </c>
      <c r="I185" s="86">
        <v>0</v>
      </c>
      <c r="J185" s="86">
        <v>0</v>
      </c>
      <c r="K185" s="86">
        <v>0</v>
      </c>
      <c r="L185" s="86">
        <v>0</v>
      </c>
      <c r="M185" s="86">
        <v>0</v>
      </c>
      <c r="N185" s="264"/>
    </row>
    <row r="186" spans="1:17" ht="21.75" customHeight="1">
      <c r="A186" s="243" t="s">
        <v>83</v>
      </c>
      <c r="B186" s="265" t="s">
        <v>63</v>
      </c>
      <c r="C186" s="241" t="s">
        <v>11</v>
      </c>
      <c r="D186" s="279" t="s">
        <v>37</v>
      </c>
      <c r="E186" s="241" t="s">
        <v>153</v>
      </c>
      <c r="F186" s="85" t="s">
        <v>14</v>
      </c>
      <c r="G186" s="86">
        <f t="shared" ref="G186:M186" si="55">G187+G188+G189</f>
        <v>676415</v>
      </c>
      <c r="H186" s="86">
        <f t="shared" si="55"/>
        <v>0</v>
      </c>
      <c r="I186" s="86">
        <f t="shared" si="55"/>
        <v>676415</v>
      </c>
      <c r="J186" s="86">
        <f t="shared" si="55"/>
        <v>0</v>
      </c>
      <c r="K186" s="86">
        <f t="shared" si="55"/>
        <v>0</v>
      </c>
      <c r="L186" s="86">
        <f t="shared" si="55"/>
        <v>0</v>
      </c>
      <c r="M186" s="86">
        <f t="shared" si="55"/>
        <v>0</v>
      </c>
      <c r="N186" s="264"/>
    </row>
    <row r="187" spans="1:17" ht="21.75" customHeight="1">
      <c r="A187" s="244"/>
      <c r="B187" s="266"/>
      <c r="C187" s="242"/>
      <c r="D187" s="280"/>
      <c r="E187" s="242"/>
      <c r="F187" s="85" t="s">
        <v>133</v>
      </c>
      <c r="G187" s="86">
        <f>H187+I187+J187+K187+M187</f>
        <v>676415</v>
      </c>
      <c r="H187" s="86">
        <v>0</v>
      </c>
      <c r="I187" s="86">
        <v>676415</v>
      </c>
      <c r="J187" s="86">
        <v>0</v>
      </c>
      <c r="K187" s="86">
        <v>0</v>
      </c>
      <c r="L187" s="86">
        <v>0</v>
      </c>
      <c r="M187" s="86">
        <v>0</v>
      </c>
      <c r="N187" s="264"/>
    </row>
    <row r="188" spans="1:17" ht="21.75" customHeight="1">
      <c r="A188" s="244"/>
      <c r="B188" s="266"/>
      <c r="C188" s="242"/>
      <c r="D188" s="280"/>
      <c r="E188" s="242"/>
      <c r="F188" s="85" t="s">
        <v>16</v>
      </c>
      <c r="G188" s="86">
        <f>H188+I188+J188+K188+M188</f>
        <v>0</v>
      </c>
      <c r="H188" s="86">
        <v>0</v>
      </c>
      <c r="I188" s="86">
        <v>0</v>
      </c>
      <c r="J188" s="86">
        <v>0</v>
      </c>
      <c r="K188" s="86">
        <v>0</v>
      </c>
      <c r="L188" s="86">
        <v>0</v>
      </c>
      <c r="M188" s="86">
        <v>0</v>
      </c>
      <c r="N188" s="264"/>
    </row>
    <row r="189" spans="1:17" ht="21.75" customHeight="1">
      <c r="A189" s="245"/>
      <c r="B189" s="267"/>
      <c r="C189" s="242"/>
      <c r="D189" s="281"/>
      <c r="E189" s="252"/>
      <c r="F189" s="85" t="s">
        <v>17</v>
      </c>
      <c r="G189" s="86">
        <f>H189+I189+J189+K189+M189</f>
        <v>0</v>
      </c>
      <c r="H189" s="86">
        <v>0</v>
      </c>
      <c r="I189" s="86">
        <v>0</v>
      </c>
      <c r="J189" s="86">
        <v>0</v>
      </c>
      <c r="K189" s="86">
        <v>0</v>
      </c>
      <c r="L189" s="86">
        <v>0</v>
      </c>
      <c r="M189" s="86">
        <v>0</v>
      </c>
      <c r="N189" s="264"/>
    </row>
    <row r="190" spans="1:17" ht="21.75" customHeight="1">
      <c r="A190" s="243" t="s">
        <v>120</v>
      </c>
      <c r="B190" s="265" t="s">
        <v>71</v>
      </c>
      <c r="C190" s="241" t="s">
        <v>11</v>
      </c>
      <c r="D190" s="249" t="s">
        <v>149</v>
      </c>
      <c r="E190" s="241" t="s">
        <v>153</v>
      </c>
      <c r="F190" s="85" t="s">
        <v>14</v>
      </c>
      <c r="G190" s="86">
        <f>G191+G192+G193</f>
        <v>227000</v>
      </c>
      <c r="H190" s="86">
        <v>0</v>
      </c>
      <c r="I190" s="86">
        <f>I191+I192+I193</f>
        <v>0</v>
      </c>
      <c r="J190" s="86">
        <f>J191+J192+J193</f>
        <v>0</v>
      </c>
      <c r="K190" s="86">
        <v>0</v>
      </c>
      <c r="L190" s="86">
        <f>L191+L192+L193</f>
        <v>0</v>
      </c>
      <c r="M190" s="86">
        <f>M191+M192+M193</f>
        <v>0</v>
      </c>
      <c r="N190" s="264"/>
    </row>
    <row r="191" spans="1:17" ht="21.75" customHeight="1">
      <c r="A191" s="244"/>
      <c r="B191" s="266"/>
      <c r="C191" s="242"/>
      <c r="D191" s="250"/>
      <c r="E191" s="242"/>
      <c r="F191" s="85" t="s">
        <v>133</v>
      </c>
      <c r="G191" s="86">
        <f>H191+I191+J191+K191+M191</f>
        <v>227000</v>
      </c>
      <c r="H191" s="86">
        <v>227000</v>
      </c>
      <c r="I191" s="86">
        <v>0</v>
      </c>
      <c r="J191" s="86">
        <v>0</v>
      </c>
      <c r="K191" s="86">
        <v>0</v>
      </c>
      <c r="L191" s="86">
        <v>0</v>
      </c>
      <c r="M191" s="86">
        <v>0</v>
      </c>
      <c r="N191" s="264"/>
    </row>
    <row r="192" spans="1:17" ht="21.75" customHeight="1">
      <c r="A192" s="244"/>
      <c r="B192" s="266"/>
      <c r="C192" s="242"/>
      <c r="D192" s="250"/>
      <c r="E192" s="242"/>
      <c r="F192" s="85" t="s">
        <v>16</v>
      </c>
      <c r="G192" s="86">
        <f>H192+I192+J192+K192+M192</f>
        <v>0</v>
      </c>
      <c r="H192" s="86">
        <v>0</v>
      </c>
      <c r="I192" s="86">
        <v>0</v>
      </c>
      <c r="J192" s="86">
        <v>0</v>
      </c>
      <c r="K192" s="86">
        <v>0</v>
      </c>
      <c r="L192" s="86">
        <v>0</v>
      </c>
      <c r="M192" s="86">
        <v>0</v>
      </c>
      <c r="N192" s="264"/>
    </row>
    <row r="193" spans="1:23" ht="21.75" customHeight="1">
      <c r="A193" s="245"/>
      <c r="B193" s="267"/>
      <c r="C193" s="242"/>
      <c r="D193" s="251"/>
      <c r="E193" s="252"/>
      <c r="F193" s="85" t="s">
        <v>17</v>
      </c>
      <c r="G193" s="86">
        <f>H193+I193+J193+K193+M193</f>
        <v>0</v>
      </c>
      <c r="H193" s="86">
        <v>0</v>
      </c>
      <c r="I193" s="86">
        <v>0</v>
      </c>
      <c r="J193" s="86">
        <v>0</v>
      </c>
      <c r="K193" s="86">
        <v>0</v>
      </c>
      <c r="L193" s="86">
        <v>0</v>
      </c>
      <c r="M193" s="86">
        <v>0</v>
      </c>
      <c r="N193" s="264"/>
    </row>
    <row r="194" spans="1:23" ht="21.75" customHeight="1">
      <c r="A194" s="243" t="s">
        <v>86</v>
      </c>
      <c r="B194" s="265" t="s">
        <v>82</v>
      </c>
      <c r="C194" s="241" t="s">
        <v>11</v>
      </c>
      <c r="D194" s="249" t="s">
        <v>42</v>
      </c>
      <c r="E194" s="241" t="s">
        <v>153</v>
      </c>
      <c r="F194" s="85" t="s">
        <v>14</v>
      </c>
      <c r="G194" s="86">
        <f t="shared" ref="G194:M194" si="56">G195+G196+G197</f>
        <v>4525000</v>
      </c>
      <c r="H194" s="86">
        <f t="shared" si="56"/>
        <v>2525000</v>
      </c>
      <c r="I194" s="86">
        <f t="shared" si="56"/>
        <v>2000000</v>
      </c>
      <c r="J194" s="86">
        <f t="shared" si="56"/>
        <v>0</v>
      </c>
      <c r="K194" s="86">
        <f t="shared" si="56"/>
        <v>0</v>
      </c>
      <c r="L194" s="86">
        <f>L195+L196+L197</f>
        <v>0</v>
      </c>
      <c r="M194" s="86">
        <f t="shared" si="56"/>
        <v>0</v>
      </c>
      <c r="N194" s="264"/>
      <c r="O194" s="61"/>
      <c r="W194" s="61" t="e">
        <f>#REF!+#REF!+#REF!+#REF!</f>
        <v>#REF!</v>
      </c>
    </row>
    <row r="195" spans="1:23" ht="21.75" customHeight="1">
      <c r="A195" s="244"/>
      <c r="B195" s="266"/>
      <c r="C195" s="242"/>
      <c r="D195" s="250"/>
      <c r="E195" s="242"/>
      <c r="F195" s="85" t="s">
        <v>133</v>
      </c>
      <c r="G195" s="86">
        <f>H195+I195+J195+K195+M195</f>
        <v>2052500</v>
      </c>
      <c r="H195" s="86">
        <f>1000000+47250+5250</f>
        <v>1052500</v>
      </c>
      <c r="I195" s="86">
        <v>1000000</v>
      </c>
      <c r="J195" s="86">
        <v>0</v>
      </c>
      <c r="K195" s="86">
        <v>0</v>
      </c>
      <c r="L195" s="86">
        <v>0</v>
      </c>
      <c r="M195" s="86">
        <v>0</v>
      </c>
      <c r="N195" s="264"/>
    </row>
    <row r="196" spans="1:23" ht="21.75" customHeight="1">
      <c r="A196" s="244"/>
      <c r="B196" s="266"/>
      <c r="C196" s="242"/>
      <c r="D196" s="250"/>
      <c r="E196" s="242"/>
      <c r="F196" s="85" t="s">
        <v>16</v>
      </c>
      <c r="G196" s="86">
        <f>H196+I196+J196+K196+M196</f>
        <v>2472500</v>
      </c>
      <c r="H196" s="86">
        <f>1000000+472500</f>
        <v>1472500</v>
      </c>
      <c r="I196" s="86">
        <v>1000000</v>
      </c>
      <c r="J196" s="86">
        <v>0</v>
      </c>
      <c r="K196" s="86">
        <v>0</v>
      </c>
      <c r="L196" s="86">
        <v>0</v>
      </c>
      <c r="M196" s="86">
        <v>0</v>
      </c>
      <c r="N196" s="264"/>
    </row>
    <row r="197" spans="1:23" ht="21.75" customHeight="1">
      <c r="A197" s="245"/>
      <c r="B197" s="267"/>
      <c r="C197" s="252"/>
      <c r="D197" s="251"/>
      <c r="E197" s="252"/>
      <c r="F197" s="85" t="s">
        <v>17</v>
      </c>
      <c r="G197" s="86">
        <f>H197+I197+J197+K197+M197</f>
        <v>0</v>
      </c>
      <c r="H197" s="86">
        <v>0</v>
      </c>
      <c r="I197" s="86">
        <v>0</v>
      </c>
      <c r="J197" s="86">
        <v>0</v>
      </c>
      <c r="K197" s="86">
        <v>0</v>
      </c>
      <c r="L197" s="86">
        <v>0</v>
      </c>
      <c r="M197" s="86">
        <v>0</v>
      </c>
      <c r="N197" s="264"/>
    </row>
    <row r="198" spans="1:23" s="93" customFormat="1" ht="21.75" customHeight="1">
      <c r="A198" s="243" t="s">
        <v>121</v>
      </c>
      <c r="B198" s="265" t="s">
        <v>92</v>
      </c>
      <c r="C198" s="241" t="s">
        <v>11</v>
      </c>
      <c r="D198" s="249" t="s">
        <v>42</v>
      </c>
      <c r="E198" s="241" t="s">
        <v>153</v>
      </c>
      <c r="F198" s="85" t="s">
        <v>14</v>
      </c>
      <c r="G198" s="86">
        <f t="shared" ref="G198:M198" si="57">G199+G200+G201</f>
        <v>10636538.800000001</v>
      </c>
      <c r="H198" s="86">
        <f t="shared" si="57"/>
        <v>1316716</v>
      </c>
      <c r="I198" s="86">
        <f t="shared" si="57"/>
        <v>0</v>
      </c>
      <c r="J198" s="86">
        <f t="shared" si="57"/>
        <v>2487958.7999999998</v>
      </c>
      <c r="K198" s="86">
        <f t="shared" si="57"/>
        <v>6831864</v>
      </c>
      <c r="L198" s="86">
        <f t="shared" si="57"/>
        <v>0</v>
      </c>
      <c r="M198" s="86">
        <f t="shared" si="57"/>
        <v>0</v>
      </c>
      <c r="N198" s="264"/>
    </row>
    <row r="199" spans="1:23" s="93" customFormat="1" ht="21.75" customHeight="1">
      <c r="A199" s="244"/>
      <c r="B199" s="266"/>
      <c r="C199" s="242"/>
      <c r="D199" s="250"/>
      <c r="E199" s="242"/>
      <c r="F199" s="85" t="s">
        <v>133</v>
      </c>
      <c r="G199" s="86">
        <f>H199+I199+J199+K199+M199</f>
        <v>4188101</v>
      </c>
      <c r="H199" s="86">
        <f>368777+87460</f>
        <v>456237</v>
      </c>
      <c r="I199" s="86">
        <v>0</v>
      </c>
      <c r="J199" s="86">
        <f>+'[7]остатки средств в ФК_2'!$R$52</f>
        <v>750000</v>
      </c>
      <c r="K199" s="86">
        <v>2981864</v>
      </c>
      <c r="L199" s="86">
        <v>0</v>
      </c>
      <c r="M199" s="86">
        <v>0</v>
      </c>
      <c r="N199" s="264"/>
    </row>
    <row r="200" spans="1:23" s="93" customFormat="1" ht="21.75" customHeight="1">
      <c r="A200" s="244"/>
      <c r="B200" s="266"/>
      <c r="C200" s="242"/>
      <c r="D200" s="250"/>
      <c r="E200" s="242"/>
      <c r="F200" s="85" t="s">
        <v>16</v>
      </c>
      <c r="G200" s="86">
        <f>H200+I200+J200+K200+M200</f>
        <v>6448437.7999999998</v>
      </c>
      <c r="H200" s="86">
        <v>860479</v>
      </c>
      <c r="I200" s="86">
        <v>0</v>
      </c>
      <c r="J200" s="86">
        <f>'[8]остатки средств в ФК_2'!$Y$46</f>
        <v>1737958.8</v>
      </c>
      <c r="K200" s="86">
        <v>3850000</v>
      </c>
      <c r="L200" s="86">
        <v>0</v>
      </c>
      <c r="M200" s="86">
        <v>0</v>
      </c>
      <c r="N200" s="264"/>
    </row>
    <row r="201" spans="1:23" s="93" customFormat="1" ht="21.75" customHeight="1">
      <c r="A201" s="245"/>
      <c r="B201" s="267"/>
      <c r="C201" s="252"/>
      <c r="D201" s="251"/>
      <c r="E201" s="252"/>
      <c r="F201" s="85" t="s">
        <v>17</v>
      </c>
      <c r="G201" s="86">
        <f>H201+I201+J201+K201+M201</f>
        <v>0</v>
      </c>
      <c r="H201" s="86">
        <v>0</v>
      </c>
      <c r="I201" s="86">
        <v>0</v>
      </c>
      <c r="J201" s="86">
        <v>0</v>
      </c>
      <c r="K201" s="86">
        <v>0</v>
      </c>
      <c r="L201" s="86">
        <v>0</v>
      </c>
      <c r="M201" s="86">
        <v>0</v>
      </c>
      <c r="N201" s="264"/>
    </row>
    <row r="202" spans="1:23" ht="21.75" customHeight="1">
      <c r="A202" s="243" t="s">
        <v>89</v>
      </c>
      <c r="B202" s="265" t="s">
        <v>90</v>
      </c>
      <c r="C202" s="241" t="s">
        <v>11</v>
      </c>
      <c r="D202" s="249" t="s">
        <v>42</v>
      </c>
      <c r="E202" s="241" t="s">
        <v>153</v>
      </c>
      <c r="F202" s="85" t="s">
        <v>14</v>
      </c>
      <c r="G202" s="86">
        <f t="shared" ref="G202:M202" si="58">G203+G204+G205</f>
        <v>0</v>
      </c>
      <c r="H202" s="86">
        <f t="shared" si="58"/>
        <v>0</v>
      </c>
      <c r="I202" s="86">
        <f t="shared" si="58"/>
        <v>0</v>
      </c>
      <c r="J202" s="86">
        <f t="shared" si="58"/>
        <v>0</v>
      </c>
      <c r="K202" s="86">
        <f t="shared" si="58"/>
        <v>0</v>
      </c>
      <c r="L202" s="86">
        <f t="shared" si="58"/>
        <v>0</v>
      </c>
      <c r="M202" s="86">
        <f t="shared" si="58"/>
        <v>0</v>
      </c>
      <c r="N202" s="264"/>
    </row>
    <row r="203" spans="1:23" ht="21.75" customHeight="1">
      <c r="A203" s="244"/>
      <c r="B203" s="266"/>
      <c r="C203" s="242"/>
      <c r="D203" s="250"/>
      <c r="E203" s="242"/>
      <c r="F203" s="85" t="s">
        <v>15</v>
      </c>
      <c r="G203" s="86">
        <f>H203+I203+J203+K203+M203</f>
        <v>0</v>
      </c>
      <c r="H203" s="86">
        <v>0</v>
      </c>
      <c r="I203" s="86">
        <v>0</v>
      </c>
      <c r="J203" s="86">
        <v>0</v>
      </c>
      <c r="K203" s="86">
        <v>0</v>
      </c>
      <c r="L203" s="86">
        <v>0</v>
      </c>
      <c r="M203" s="86">
        <v>0</v>
      </c>
      <c r="N203" s="264"/>
    </row>
    <row r="204" spans="1:23" ht="21.75" customHeight="1">
      <c r="A204" s="244"/>
      <c r="B204" s="266"/>
      <c r="C204" s="242"/>
      <c r="D204" s="250"/>
      <c r="E204" s="242"/>
      <c r="F204" s="85" t="s">
        <v>16</v>
      </c>
      <c r="G204" s="86">
        <f>H204+I204+J204+K204+M204</f>
        <v>0</v>
      </c>
      <c r="H204" s="86">
        <v>0</v>
      </c>
      <c r="I204" s="86">
        <v>0</v>
      </c>
      <c r="J204" s="86">
        <v>0</v>
      </c>
      <c r="K204" s="86">
        <v>0</v>
      </c>
      <c r="L204" s="86">
        <v>0</v>
      </c>
      <c r="M204" s="86">
        <v>0</v>
      </c>
      <c r="N204" s="264"/>
    </row>
    <row r="205" spans="1:23" ht="21.75" customHeight="1">
      <c r="A205" s="245"/>
      <c r="B205" s="267"/>
      <c r="C205" s="252"/>
      <c r="D205" s="251"/>
      <c r="E205" s="252"/>
      <c r="F205" s="85" t="s">
        <v>17</v>
      </c>
      <c r="G205" s="86">
        <f>H205+I205+J205+K205+M205</f>
        <v>0</v>
      </c>
      <c r="H205" s="86">
        <v>0</v>
      </c>
      <c r="I205" s="86">
        <v>0</v>
      </c>
      <c r="J205" s="86">
        <v>0</v>
      </c>
      <c r="K205" s="86">
        <v>0</v>
      </c>
      <c r="L205" s="86">
        <v>0</v>
      </c>
      <c r="M205" s="86">
        <v>0</v>
      </c>
      <c r="N205" s="264"/>
    </row>
    <row r="206" spans="1:23" ht="21.75" customHeight="1">
      <c r="A206" s="243" t="s">
        <v>94</v>
      </c>
      <c r="B206" s="265" t="s">
        <v>84</v>
      </c>
      <c r="C206" s="241" t="s">
        <v>11</v>
      </c>
      <c r="D206" s="249" t="s">
        <v>12</v>
      </c>
      <c r="E206" s="241" t="s">
        <v>153</v>
      </c>
      <c r="F206" s="85" t="s">
        <v>14</v>
      </c>
      <c r="G206" s="86">
        <f t="shared" ref="G206:M206" si="59">G207+G208+G209</f>
        <v>12787862.84</v>
      </c>
      <c r="H206" s="86">
        <f t="shared" si="59"/>
        <v>3038075</v>
      </c>
      <c r="I206" s="86">
        <f t="shared" si="59"/>
        <v>2233000</v>
      </c>
      <c r="J206" s="86">
        <f t="shared" si="59"/>
        <v>2146368.09</v>
      </c>
      <c r="K206" s="86">
        <f t="shared" si="59"/>
        <v>2643096.14</v>
      </c>
      <c r="L206" s="86">
        <f>L207+L208+L209</f>
        <v>2622773.86</v>
      </c>
      <c r="M206" s="86">
        <f t="shared" si="59"/>
        <v>2727323.61</v>
      </c>
      <c r="N206" s="264"/>
    </row>
    <row r="207" spans="1:23" ht="21.75" customHeight="1">
      <c r="A207" s="244"/>
      <c r="B207" s="266"/>
      <c r="C207" s="242"/>
      <c r="D207" s="250"/>
      <c r="E207" s="242"/>
      <c r="F207" s="85" t="s">
        <v>133</v>
      </c>
      <c r="G207" s="86">
        <f t="shared" ref="G207:G217" si="60">H207+I207+J207+K207+M207</f>
        <v>12159391.84</v>
      </c>
      <c r="H207" s="86">
        <f>3200000-300000-62034+62034</f>
        <v>2900000</v>
      </c>
      <c r="I207" s="86">
        <f>1933000+300000</f>
        <v>2233000</v>
      </c>
      <c r="J207" s="86">
        <v>2146368.09</v>
      </c>
      <c r="K207" s="86">
        <v>2152700.14</v>
      </c>
      <c r="L207" s="86">
        <v>2622773.86</v>
      </c>
      <c r="M207" s="86">
        <v>2727323.61</v>
      </c>
      <c r="N207" s="264"/>
    </row>
    <row r="208" spans="1:23" ht="21.75" customHeight="1">
      <c r="A208" s="244"/>
      <c r="B208" s="266"/>
      <c r="C208" s="242"/>
      <c r="D208" s="250"/>
      <c r="E208" s="242"/>
      <c r="F208" s="85" t="s">
        <v>16</v>
      </c>
      <c r="G208" s="86">
        <f t="shared" si="60"/>
        <v>628471</v>
      </c>
      <c r="H208" s="86">
        <v>138075</v>
      </c>
      <c r="I208" s="86">
        <v>0</v>
      </c>
      <c r="J208" s="86">
        <v>0</v>
      </c>
      <c r="K208" s="86">
        <v>490396</v>
      </c>
      <c r="L208" s="86">
        <v>0</v>
      </c>
      <c r="M208" s="86">
        <v>0</v>
      </c>
      <c r="N208" s="264"/>
      <c r="P208" s="61"/>
    </row>
    <row r="209" spans="1:16" ht="21.75" customHeight="1">
      <c r="A209" s="245"/>
      <c r="B209" s="267"/>
      <c r="C209" s="252"/>
      <c r="D209" s="251"/>
      <c r="E209" s="252"/>
      <c r="F209" s="85" t="s">
        <v>17</v>
      </c>
      <c r="G209" s="86">
        <f t="shared" si="60"/>
        <v>0</v>
      </c>
      <c r="H209" s="86">
        <v>0</v>
      </c>
      <c r="I209" s="86">
        <v>0</v>
      </c>
      <c r="J209" s="86">
        <v>0</v>
      </c>
      <c r="K209" s="86">
        <v>0</v>
      </c>
      <c r="L209" s="86">
        <v>0</v>
      </c>
      <c r="M209" s="86">
        <v>0</v>
      </c>
      <c r="N209" s="264"/>
      <c r="P209" s="61"/>
    </row>
    <row r="210" spans="1:16" ht="21.75" customHeight="1">
      <c r="A210" s="308" t="s">
        <v>102</v>
      </c>
      <c r="B210" s="265" t="s">
        <v>87</v>
      </c>
      <c r="C210" s="241" t="s">
        <v>11</v>
      </c>
      <c r="D210" s="249" t="s">
        <v>42</v>
      </c>
      <c r="E210" s="241" t="s">
        <v>153</v>
      </c>
      <c r="F210" s="85" t="s">
        <v>14</v>
      </c>
      <c r="G210" s="86">
        <f t="shared" ref="G210:M210" si="61">G211+G212+G213</f>
        <v>7405000</v>
      </c>
      <c r="H210" s="86">
        <f t="shared" si="61"/>
        <v>525000</v>
      </c>
      <c r="I210" s="86">
        <f t="shared" si="61"/>
        <v>0</v>
      </c>
      <c r="J210" s="86">
        <f t="shared" si="61"/>
        <v>610000</v>
      </c>
      <c r="K210" s="86">
        <f t="shared" si="61"/>
        <v>4170000</v>
      </c>
      <c r="L210" s="86">
        <f>L211+L212+L213</f>
        <v>2100000</v>
      </c>
      <c r="M210" s="86">
        <f t="shared" si="61"/>
        <v>2100000</v>
      </c>
      <c r="N210" s="264"/>
    </row>
    <row r="211" spans="1:16" ht="21.75" customHeight="1">
      <c r="A211" s="244"/>
      <c r="B211" s="266"/>
      <c r="C211" s="242"/>
      <c r="D211" s="250"/>
      <c r="E211" s="242"/>
      <c r="F211" s="85" t="s">
        <v>133</v>
      </c>
      <c r="G211" s="86">
        <f t="shared" si="60"/>
        <v>5085000</v>
      </c>
      <c r="H211" s="86">
        <f>700000+300000-475000</f>
        <v>525000</v>
      </c>
      <c r="I211" s="86">
        <v>0</v>
      </c>
      <c r="J211" s="86">
        <f>500000+600000-140000-600000</f>
        <v>360000</v>
      </c>
      <c r="K211" s="86">
        <v>2100000</v>
      </c>
      <c r="L211" s="86">
        <v>2100000</v>
      </c>
      <c r="M211" s="86">
        <v>2100000</v>
      </c>
      <c r="N211" s="264"/>
      <c r="P211" s="59">
        <v>854209197.39999998</v>
      </c>
    </row>
    <row r="212" spans="1:16" ht="21.75" customHeight="1">
      <c r="A212" s="244"/>
      <c r="B212" s="266"/>
      <c r="C212" s="242"/>
      <c r="D212" s="250"/>
      <c r="E212" s="242"/>
      <c r="F212" s="85" t="s">
        <v>16</v>
      </c>
      <c r="G212" s="86">
        <f t="shared" si="60"/>
        <v>2320000</v>
      </c>
      <c r="H212" s="86">
        <v>0</v>
      </c>
      <c r="I212" s="86">
        <v>0</v>
      </c>
      <c r="J212" s="86">
        <v>250000</v>
      </c>
      <c r="K212" s="86">
        <v>2070000</v>
      </c>
      <c r="L212" s="86">
        <v>0</v>
      </c>
      <c r="M212" s="86">
        <v>0</v>
      </c>
      <c r="N212" s="264"/>
      <c r="P212" s="59">
        <v>852492090</v>
      </c>
    </row>
    <row r="213" spans="1:16" ht="21.75" customHeight="1">
      <c r="A213" s="245"/>
      <c r="B213" s="267"/>
      <c r="C213" s="252"/>
      <c r="D213" s="251"/>
      <c r="E213" s="252"/>
      <c r="F213" s="85" t="s">
        <v>17</v>
      </c>
      <c r="G213" s="86">
        <f t="shared" si="60"/>
        <v>0</v>
      </c>
      <c r="H213" s="86">
        <v>0</v>
      </c>
      <c r="I213" s="86">
        <v>0</v>
      </c>
      <c r="J213" s="86">
        <v>0</v>
      </c>
      <c r="K213" s="86">
        <v>0</v>
      </c>
      <c r="L213" s="86">
        <v>0</v>
      </c>
      <c r="M213" s="86">
        <v>0</v>
      </c>
      <c r="N213" s="264"/>
      <c r="P213" s="59">
        <f>P211-P212</f>
        <v>1717107.3999999762</v>
      </c>
    </row>
    <row r="214" spans="1:16" ht="21.75" hidden="1" customHeight="1" outlineLevel="1">
      <c r="A214" s="96"/>
      <c r="B214" s="265" t="s">
        <v>88</v>
      </c>
      <c r="C214" s="241" t="s">
        <v>11</v>
      </c>
      <c r="D214" s="241"/>
      <c r="E214" s="241" t="s">
        <v>153</v>
      </c>
      <c r="F214" s="85" t="s">
        <v>14</v>
      </c>
      <c r="G214" s="86">
        <f t="shared" ref="G214:M214" si="62">G215+G216+G217</f>
        <v>0</v>
      </c>
      <c r="H214" s="86">
        <f t="shared" si="62"/>
        <v>0</v>
      </c>
      <c r="I214" s="86">
        <f t="shared" si="62"/>
        <v>0</v>
      </c>
      <c r="J214" s="86">
        <f t="shared" si="62"/>
        <v>0</v>
      </c>
      <c r="K214" s="86">
        <f t="shared" si="62"/>
        <v>0</v>
      </c>
      <c r="L214" s="86">
        <f>L215+L216+L217</f>
        <v>0</v>
      </c>
      <c r="M214" s="86">
        <f t="shared" si="62"/>
        <v>0</v>
      </c>
      <c r="N214" s="264"/>
    </row>
    <row r="215" spans="1:16" ht="21.75" hidden="1" customHeight="1" outlineLevel="1">
      <c r="A215" s="97" t="s">
        <v>89</v>
      </c>
      <c r="B215" s="266"/>
      <c r="C215" s="242"/>
      <c r="D215" s="242"/>
      <c r="E215" s="242"/>
      <c r="F215" s="85" t="s">
        <v>15</v>
      </c>
      <c r="G215" s="86">
        <f t="shared" si="60"/>
        <v>0</v>
      </c>
      <c r="H215" s="86">
        <v>0</v>
      </c>
      <c r="I215" s="86">
        <v>0</v>
      </c>
      <c r="J215" s="86">
        <v>0</v>
      </c>
      <c r="K215" s="86">
        <v>0</v>
      </c>
      <c r="L215" s="86">
        <v>0</v>
      </c>
      <c r="M215" s="86">
        <v>0</v>
      </c>
      <c r="N215" s="264"/>
    </row>
    <row r="216" spans="1:16" ht="21.75" hidden="1" customHeight="1" outlineLevel="1">
      <c r="A216" s="96"/>
      <c r="B216" s="266"/>
      <c r="C216" s="242"/>
      <c r="D216" s="242"/>
      <c r="E216" s="242"/>
      <c r="F216" s="85" t="s">
        <v>16</v>
      </c>
      <c r="G216" s="86">
        <f t="shared" si="60"/>
        <v>0</v>
      </c>
      <c r="H216" s="86">
        <v>0</v>
      </c>
      <c r="I216" s="86">
        <v>0</v>
      </c>
      <c r="J216" s="86">
        <v>0</v>
      </c>
      <c r="K216" s="86">
        <v>0</v>
      </c>
      <c r="L216" s="86">
        <v>0</v>
      </c>
      <c r="M216" s="86">
        <v>0</v>
      </c>
      <c r="N216" s="264"/>
    </row>
    <row r="217" spans="1:16" ht="21.75" hidden="1" customHeight="1" outlineLevel="1">
      <c r="A217" s="96"/>
      <c r="B217" s="267"/>
      <c r="C217" s="252"/>
      <c r="D217" s="252"/>
      <c r="E217" s="252"/>
      <c r="F217" s="85" t="s">
        <v>17</v>
      </c>
      <c r="G217" s="86">
        <f t="shared" si="60"/>
        <v>0</v>
      </c>
      <c r="H217" s="86">
        <v>0</v>
      </c>
      <c r="I217" s="86">
        <v>0</v>
      </c>
      <c r="J217" s="86">
        <v>0</v>
      </c>
      <c r="K217" s="86">
        <v>0</v>
      </c>
      <c r="L217" s="86">
        <v>0</v>
      </c>
      <c r="M217" s="86">
        <v>0</v>
      </c>
      <c r="N217" s="264"/>
    </row>
    <row r="218" spans="1:16" ht="21.75" hidden="1" customHeight="1" outlineLevel="1">
      <c r="A218" s="243" t="s">
        <v>91</v>
      </c>
      <c r="B218" s="265" t="s">
        <v>90</v>
      </c>
      <c r="C218" s="241" t="s">
        <v>11</v>
      </c>
      <c r="D218" s="241"/>
      <c r="E218" s="241" t="s">
        <v>153</v>
      </c>
      <c r="F218" s="85" t="s">
        <v>14</v>
      </c>
      <c r="G218" s="86">
        <f t="shared" ref="G218:M218" si="63">G219+G220+G221</f>
        <v>0</v>
      </c>
      <c r="H218" s="86">
        <f t="shared" si="63"/>
        <v>0</v>
      </c>
      <c r="I218" s="86">
        <f t="shared" si="63"/>
        <v>0</v>
      </c>
      <c r="J218" s="86">
        <f t="shared" si="63"/>
        <v>0</v>
      </c>
      <c r="K218" s="86">
        <f t="shared" si="63"/>
        <v>0</v>
      </c>
      <c r="L218" s="86">
        <f>L219+L220+L221</f>
        <v>0</v>
      </c>
      <c r="M218" s="86">
        <f t="shared" si="63"/>
        <v>0</v>
      </c>
      <c r="N218" s="264"/>
    </row>
    <row r="219" spans="1:16" ht="21.75" hidden="1" customHeight="1" outlineLevel="1">
      <c r="A219" s="244"/>
      <c r="B219" s="266"/>
      <c r="C219" s="242"/>
      <c r="D219" s="242"/>
      <c r="E219" s="242"/>
      <c r="F219" s="85" t="s">
        <v>15</v>
      </c>
      <c r="G219" s="86">
        <f>H219+I219+J219+K219+M219</f>
        <v>0</v>
      </c>
      <c r="H219" s="86">
        <v>0</v>
      </c>
      <c r="I219" s="86">
        <v>0</v>
      </c>
      <c r="J219" s="86">
        <v>0</v>
      </c>
      <c r="K219" s="86">
        <v>0</v>
      </c>
      <c r="L219" s="86">
        <v>0</v>
      </c>
      <c r="M219" s="86">
        <v>0</v>
      </c>
      <c r="N219" s="264"/>
    </row>
    <row r="220" spans="1:16" ht="21.75" hidden="1" customHeight="1" outlineLevel="1">
      <c r="A220" s="244"/>
      <c r="B220" s="266"/>
      <c r="C220" s="242"/>
      <c r="D220" s="242"/>
      <c r="E220" s="242"/>
      <c r="F220" s="85" t="s">
        <v>16</v>
      </c>
      <c r="G220" s="86">
        <f>H220+I220+J220+K220+M220</f>
        <v>0</v>
      </c>
      <c r="H220" s="86">
        <v>0</v>
      </c>
      <c r="I220" s="86">
        <v>0</v>
      </c>
      <c r="J220" s="86">
        <v>0</v>
      </c>
      <c r="K220" s="86">
        <v>0</v>
      </c>
      <c r="L220" s="86">
        <v>0</v>
      </c>
      <c r="M220" s="86">
        <v>0</v>
      </c>
      <c r="N220" s="264"/>
    </row>
    <row r="221" spans="1:16" ht="21.75" hidden="1" customHeight="1" outlineLevel="1">
      <c r="A221" s="245"/>
      <c r="B221" s="267"/>
      <c r="C221" s="252"/>
      <c r="D221" s="252"/>
      <c r="E221" s="252"/>
      <c r="F221" s="85" t="s">
        <v>17</v>
      </c>
      <c r="G221" s="86">
        <f>H221+I221+J221+K221+M221</f>
        <v>0</v>
      </c>
      <c r="H221" s="86">
        <v>0</v>
      </c>
      <c r="I221" s="86">
        <v>0</v>
      </c>
      <c r="J221" s="86">
        <v>0</v>
      </c>
      <c r="K221" s="86">
        <v>0</v>
      </c>
      <c r="L221" s="86">
        <v>0</v>
      </c>
      <c r="M221" s="86">
        <v>0</v>
      </c>
      <c r="N221" s="264"/>
    </row>
    <row r="222" spans="1:16" ht="21.75" hidden="1" customHeight="1" outlineLevel="1">
      <c r="A222" s="96"/>
      <c r="B222" s="265" t="s">
        <v>85</v>
      </c>
      <c r="C222" s="241" t="s">
        <v>11</v>
      </c>
      <c r="D222" s="241"/>
      <c r="E222" s="241" t="s">
        <v>153</v>
      </c>
      <c r="F222" s="85" t="s">
        <v>14</v>
      </c>
      <c r="G222" s="86">
        <f t="shared" ref="G222:M222" si="64">G223+G224+G225</f>
        <v>0</v>
      </c>
      <c r="H222" s="86">
        <f t="shared" si="64"/>
        <v>0</v>
      </c>
      <c r="I222" s="86">
        <f t="shared" si="64"/>
        <v>0</v>
      </c>
      <c r="J222" s="86">
        <f t="shared" si="64"/>
        <v>0</v>
      </c>
      <c r="K222" s="86">
        <f t="shared" si="64"/>
        <v>0</v>
      </c>
      <c r="L222" s="86">
        <f>L223+L224+L225</f>
        <v>0</v>
      </c>
      <c r="M222" s="86">
        <f t="shared" si="64"/>
        <v>0</v>
      </c>
      <c r="N222" s="264"/>
      <c r="P222" s="61"/>
    </row>
    <row r="223" spans="1:16" ht="21.75" hidden="1" customHeight="1" outlineLevel="1">
      <c r="A223" s="96"/>
      <c r="B223" s="266"/>
      <c r="C223" s="242"/>
      <c r="D223" s="242"/>
      <c r="E223" s="242"/>
      <c r="F223" s="85" t="s">
        <v>15</v>
      </c>
      <c r="G223" s="86">
        <f>H223+I223+J223+K223+M223</f>
        <v>0</v>
      </c>
      <c r="H223" s="86">
        <v>0</v>
      </c>
      <c r="I223" s="86">
        <v>0</v>
      </c>
      <c r="J223" s="86">
        <v>0</v>
      </c>
      <c r="K223" s="86">
        <v>0</v>
      </c>
      <c r="L223" s="86">
        <v>0</v>
      </c>
      <c r="M223" s="86">
        <v>0</v>
      </c>
      <c r="N223" s="264"/>
      <c r="P223" s="61"/>
    </row>
    <row r="224" spans="1:16" ht="21.75" hidden="1" customHeight="1" outlineLevel="1">
      <c r="A224" s="97" t="s">
        <v>122</v>
      </c>
      <c r="B224" s="266"/>
      <c r="C224" s="242"/>
      <c r="D224" s="242"/>
      <c r="E224" s="242"/>
      <c r="F224" s="85" t="s">
        <v>16</v>
      </c>
      <c r="G224" s="86">
        <f>H224+I224+J224+K224+M224</f>
        <v>0</v>
      </c>
      <c r="H224" s="86">
        <v>0</v>
      </c>
      <c r="I224" s="86">
        <v>0</v>
      </c>
      <c r="J224" s="86">
        <v>0</v>
      </c>
      <c r="K224" s="86">
        <v>0</v>
      </c>
      <c r="L224" s="86">
        <v>0</v>
      </c>
      <c r="M224" s="86">
        <v>0</v>
      </c>
      <c r="N224" s="264"/>
      <c r="P224" s="61"/>
    </row>
    <row r="225" spans="1:16" ht="21.75" hidden="1" customHeight="1" outlineLevel="1">
      <c r="A225" s="96"/>
      <c r="B225" s="267"/>
      <c r="C225" s="252"/>
      <c r="D225" s="252"/>
      <c r="E225" s="252"/>
      <c r="F225" s="85" t="s">
        <v>17</v>
      </c>
      <c r="G225" s="86">
        <f>H225+I225+J225+K225+M225</f>
        <v>0</v>
      </c>
      <c r="H225" s="86">
        <v>0</v>
      </c>
      <c r="I225" s="86">
        <v>0</v>
      </c>
      <c r="J225" s="86">
        <v>0</v>
      </c>
      <c r="K225" s="86">
        <v>0</v>
      </c>
      <c r="L225" s="86">
        <v>0</v>
      </c>
      <c r="M225" s="86">
        <v>0</v>
      </c>
      <c r="N225" s="268"/>
      <c r="P225" s="61"/>
    </row>
    <row r="226" spans="1:16" ht="21.75" customHeight="1" collapsed="1">
      <c r="A226" s="224"/>
      <c r="B226" s="299" t="s">
        <v>141</v>
      </c>
      <c r="C226" s="230" t="s">
        <v>11</v>
      </c>
      <c r="D226" s="233" t="s">
        <v>93</v>
      </c>
      <c r="E226" s="230" t="s">
        <v>153</v>
      </c>
      <c r="F226" s="79" t="s">
        <v>14</v>
      </c>
      <c r="G226" s="80">
        <f t="shared" ref="G226:M226" si="65">G227+G228+G229</f>
        <v>23699651.289999999</v>
      </c>
      <c r="H226" s="80">
        <f t="shared" si="65"/>
        <v>1942784.25</v>
      </c>
      <c r="I226" s="80">
        <f t="shared" si="65"/>
        <v>4335490.6399999997</v>
      </c>
      <c r="J226" s="80">
        <f t="shared" si="65"/>
        <v>5072468.2399999993</v>
      </c>
      <c r="K226" s="80">
        <f t="shared" si="65"/>
        <v>6471604.9199999999</v>
      </c>
      <c r="L226" s="80">
        <f>L227+L228+L229</f>
        <v>5670475.4000000004</v>
      </c>
      <c r="M226" s="80">
        <f t="shared" si="65"/>
        <v>5877303.2400000002</v>
      </c>
      <c r="N226" s="302"/>
    </row>
    <row r="227" spans="1:16" ht="21.75" customHeight="1">
      <c r="A227" s="225"/>
      <c r="B227" s="300"/>
      <c r="C227" s="231"/>
      <c r="D227" s="231"/>
      <c r="E227" s="231"/>
      <c r="F227" s="79" t="s">
        <v>133</v>
      </c>
      <c r="G227" s="80">
        <f>H227+I227+J227+K227+M227</f>
        <v>3937369.86</v>
      </c>
      <c r="H227" s="80">
        <f t="shared" ref="H227:I229" si="66">H231+H235+H239+H247+H243</f>
        <v>1742784.25</v>
      </c>
      <c r="I227" s="80">
        <f>I231+I235+I239+I247+I243</f>
        <v>722529.92999999993</v>
      </c>
      <c r="J227" s="80">
        <f t="shared" ref="J227:M229" si="67">J231+J235+J239+J247+J243</f>
        <v>472055.68</v>
      </c>
      <c r="K227" s="80">
        <f t="shared" si="67"/>
        <v>500000</v>
      </c>
      <c r="L227" s="80">
        <f>L231+L235+L239+L247+L243</f>
        <v>500000</v>
      </c>
      <c r="M227" s="80">
        <f t="shared" si="67"/>
        <v>500000</v>
      </c>
      <c r="N227" s="303"/>
    </row>
    <row r="228" spans="1:16" ht="21.75" customHeight="1">
      <c r="A228" s="225"/>
      <c r="B228" s="300"/>
      <c r="C228" s="231"/>
      <c r="D228" s="231"/>
      <c r="E228" s="231"/>
      <c r="F228" s="79" t="s">
        <v>16</v>
      </c>
      <c r="G228" s="80">
        <f>H228+I228+J228+K228+M228</f>
        <v>19762281.43</v>
      </c>
      <c r="H228" s="80">
        <f t="shared" si="66"/>
        <v>200000</v>
      </c>
      <c r="I228" s="80">
        <f t="shared" si="66"/>
        <v>3612960.71</v>
      </c>
      <c r="J228" s="80">
        <f t="shared" si="67"/>
        <v>4600412.5599999996</v>
      </c>
      <c r="K228" s="80">
        <f t="shared" si="67"/>
        <v>5971604.9199999999</v>
      </c>
      <c r="L228" s="80">
        <f>L232+L236+L240+L248+L244</f>
        <v>5170475.4000000004</v>
      </c>
      <c r="M228" s="80">
        <f t="shared" si="67"/>
        <v>5377303.2400000002</v>
      </c>
      <c r="N228" s="303"/>
    </row>
    <row r="229" spans="1:16" ht="21.75" customHeight="1">
      <c r="A229" s="226"/>
      <c r="B229" s="301"/>
      <c r="C229" s="232"/>
      <c r="D229" s="232"/>
      <c r="E229" s="232"/>
      <c r="F229" s="79" t="s">
        <v>17</v>
      </c>
      <c r="G229" s="80">
        <f>H229+I229+J229+K229+M229</f>
        <v>0</v>
      </c>
      <c r="H229" s="80">
        <f t="shared" si="66"/>
        <v>0</v>
      </c>
      <c r="I229" s="80">
        <f t="shared" si="66"/>
        <v>0</v>
      </c>
      <c r="J229" s="80">
        <f t="shared" si="67"/>
        <v>0</v>
      </c>
      <c r="K229" s="80">
        <f t="shared" si="67"/>
        <v>0</v>
      </c>
      <c r="L229" s="80">
        <f>L233+L237+L241+L249+L245</f>
        <v>0</v>
      </c>
      <c r="M229" s="80">
        <f t="shared" si="67"/>
        <v>0</v>
      </c>
      <c r="N229" s="304"/>
    </row>
    <row r="230" spans="1:16" ht="21.75" customHeight="1">
      <c r="A230" s="243" t="s">
        <v>18</v>
      </c>
      <c r="B230" s="265" t="s">
        <v>138</v>
      </c>
      <c r="C230" s="241" t="s">
        <v>11</v>
      </c>
      <c r="D230" s="249" t="s">
        <v>95</v>
      </c>
      <c r="E230" s="241" t="s">
        <v>153</v>
      </c>
      <c r="F230" s="85" t="s">
        <v>14</v>
      </c>
      <c r="G230" s="86">
        <f t="shared" ref="G230:M230" si="68">G231+G232+G233</f>
        <v>2525881.79</v>
      </c>
      <c r="H230" s="86">
        <f t="shared" si="68"/>
        <v>1426776.79</v>
      </c>
      <c r="I230" s="86">
        <f t="shared" si="68"/>
        <v>0</v>
      </c>
      <c r="J230" s="87">
        <f t="shared" si="68"/>
        <v>50969</v>
      </c>
      <c r="K230" s="86">
        <f t="shared" si="68"/>
        <v>1024068</v>
      </c>
      <c r="L230" s="86">
        <f>L231+L232+L233</f>
        <v>24068</v>
      </c>
      <c r="M230" s="86">
        <f t="shared" si="68"/>
        <v>24068</v>
      </c>
      <c r="N230" s="309" t="s">
        <v>150</v>
      </c>
    </row>
    <row r="231" spans="1:16" ht="21.75" customHeight="1">
      <c r="A231" s="244"/>
      <c r="B231" s="266"/>
      <c r="C231" s="242"/>
      <c r="D231" s="250"/>
      <c r="E231" s="242"/>
      <c r="F231" s="85" t="s">
        <v>133</v>
      </c>
      <c r="G231" s="86">
        <f>H231+I231+J231+K231+M231</f>
        <v>1525881.79</v>
      </c>
      <c r="H231" s="86">
        <f>76776.79+1000000+350000</f>
        <v>1426776.79</v>
      </c>
      <c r="I231" s="86">
        <v>0</v>
      </c>
      <c r="J231" s="87">
        <f>'[9]2022 год'!$D$15+'[9]2022 год'!$E$19</f>
        <v>50969</v>
      </c>
      <c r="K231" s="86">
        <v>24068</v>
      </c>
      <c r="L231" s="86">
        <v>24068</v>
      </c>
      <c r="M231" s="86">
        <v>24068</v>
      </c>
      <c r="N231" s="310"/>
    </row>
    <row r="232" spans="1:16" ht="21.75" customHeight="1">
      <c r="A232" s="244"/>
      <c r="B232" s="266"/>
      <c r="C232" s="242"/>
      <c r="D232" s="250"/>
      <c r="E232" s="242"/>
      <c r="F232" s="85" t="s">
        <v>16</v>
      </c>
      <c r="G232" s="86">
        <f>H232+I232+J232+K232+M232</f>
        <v>1000000</v>
      </c>
      <c r="H232" s="86">
        <v>0</v>
      </c>
      <c r="I232" s="86">
        <v>0</v>
      </c>
      <c r="J232" s="87">
        <v>0</v>
      </c>
      <c r="K232" s="86">
        <v>1000000</v>
      </c>
      <c r="L232" s="86">
        <v>0</v>
      </c>
      <c r="M232" s="86">
        <v>0</v>
      </c>
      <c r="N232" s="310"/>
    </row>
    <row r="233" spans="1:16" ht="21.75" customHeight="1">
      <c r="A233" s="245"/>
      <c r="B233" s="267"/>
      <c r="C233" s="242"/>
      <c r="D233" s="251"/>
      <c r="E233" s="252"/>
      <c r="F233" s="85" t="s">
        <v>17</v>
      </c>
      <c r="G233" s="86">
        <f>H233+I233+J233+K233+M233</f>
        <v>0</v>
      </c>
      <c r="H233" s="86">
        <v>0</v>
      </c>
      <c r="I233" s="86">
        <v>0</v>
      </c>
      <c r="J233" s="87">
        <v>0</v>
      </c>
      <c r="K233" s="86">
        <v>0</v>
      </c>
      <c r="L233" s="86">
        <v>0</v>
      </c>
      <c r="M233" s="86">
        <v>0</v>
      </c>
      <c r="N233" s="310"/>
    </row>
    <row r="234" spans="1:16" ht="21.75" customHeight="1">
      <c r="A234" s="243" t="s">
        <v>78</v>
      </c>
      <c r="B234" s="265" t="s">
        <v>96</v>
      </c>
      <c r="C234" s="241" t="s">
        <v>11</v>
      </c>
      <c r="D234" s="249" t="s">
        <v>93</v>
      </c>
      <c r="E234" s="241" t="s">
        <v>153</v>
      </c>
      <c r="F234" s="85" t="s">
        <v>14</v>
      </c>
      <c r="G234" s="86">
        <f t="shared" ref="G234:M234" si="69">G235+G236+G237</f>
        <v>1493382.4000000001</v>
      </c>
      <c r="H234" s="86">
        <f t="shared" si="69"/>
        <v>199970.46</v>
      </c>
      <c r="I234" s="86">
        <f t="shared" si="69"/>
        <v>422529.93</v>
      </c>
      <c r="J234" s="87">
        <f t="shared" si="69"/>
        <v>279313.93</v>
      </c>
      <c r="K234" s="86">
        <f t="shared" si="69"/>
        <v>295784.03999999998</v>
      </c>
      <c r="L234" s="86">
        <f>L235+L236+L237</f>
        <v>295784.03999999998</v>
      </c>
      <c r="M234" s="86">
        <f t="shared" si="69"/>
        <v>295784.03999999998</v>
      </c>
      <c r="N234" s="310"/>
    </row>
    <row r="235" spans="1:16" ht="21.75" customHeight="1">
      <c r="A235" s="244"/>
      <c r="B235" s="266"/>
      <c r="C235" s="242"/>
      <c r="D235" s="250"/>
      <c r="E235" s="242"/>
      <c r="F235" s="85" t="s">
        <v>133</v>
      </c>
      <c r="G235" s="86">
        <f>H235+I235+J235+K235+M235</f>
        <v>1493382.4000000001</v>
      </c>
      <c r="H235" s="86">
        <f>190170.46+9800</f>
        <v>199970.46</v>
      </c>
      <c r="I235" s="86">
        <v>422529.93</v>
      </c>
      <c r="J235" s="87">
        <f>'[9]2022 год'!$C$20+'[9]2022 год'!$F$20-27944.32</f>
        <v>279313.93</v>
      </c>
      <c r="K235" s="86">
        <v>295784.03999999998</v>
      </c>
      <c r="L235" s="86">
        <v>295784.03999999998</v>
      </c>
      <c r="M235" s="86">
        <v>295784.03999999998</v>
      </c>
      <c r="N235" s="310"/>
    </row>
    <row r="236" spans="1:16" ht="21.75" customHeight="1">
      <c r="A236" s="244"/>
      <c r="B236" s="266"/>
      <c r="C236" s="242"/>
      <c r="D236" s="250"/>
      <c r="E236" s="242"/>
      <c r="F236" s="85" t="s">
        <v>16</v>
      </c>
      <c r="G236" s="86">
        <f>H236+I236+J236+K236+M236</f>
        <v>0</v>
      </c>
      <c r="H236" s="86">
        <v>0</v>
      </c>
      <c r="I236" s="86">
        <v>0</v>
      </c>
      <c r="J236" s="87">
        <v>0</v>
      </c>
      <c r="K236" s="86">
        <v>0</v>
      </c>
      <c r="L236" s="86">
        <v>0</v>
      </c>
      <c r="M236" s="86">
        <v>0</v>
      </c>
      <c r="N236" s="310"/>
    </row>
    <row r="237" spans="1:16" ht="21.75" customHeight="1">
      <c r="A237" s="245"/>
      <c r="B237" s="267"/>
      <c r="C237" s="242"/>
      <c r="D237" s="251"/>
      <c r="E237" s="252"/>
      <c r="F237" s="85" t="s">
        <v>17</v>
      </c>
      <c r="G237" s="86">
        <f>H237+I237+J237+K237+M237</f>
        <v>0</v>
      </c>
      <c r="H237" s="86">
        <v>0</v>
      </c>
      <c r="I237" s="86">
        <v>0</v>
      </c>
      <c r="J237" s="87">
        <v>0</v>
      </c>
      <c r="K237" s="86">
        <v>0</v>
      </c>
      <c r="L237" s="86">
        <v>0</v>
      </c>
      <c r="M237" s="86">
        <v>0</v>
      </c>
      <c r="N237" s="310"/>
    </row>
    <row r="238" spans="1:16" ht="21.75" customHeight="1">
      <c r="A238" s="243" t="s">
        <v>81</v>
      </c>
      <c r="B238" s="265" t="s">
        <v>97</v>
      </c>
      <c r="C238" s="241" t="s">
        <v>11</v>
      </c>
      <c r="D238" s="249" t="s">
        <v>42</v>
      </c>
      <c r="E238" s="241" t="s">
        <v>153</v>
      </c>
      <c r="F238" s="85" t="s">
        <v>14</v>
      </c>
      <c r="G238" s="86">
        <f t="shared" ref="G238:M238" si="70">G239+G240+G241</f>
        <v>0</v>
      </c>
      <c r="H238" s="86">
        <f t="shared" si="70"/>
        <v>0</v>
      </c>
      <c r="I238" s="86">
        <f t="shared" si="70"/>
        <v>0</v>
      </c>
      <c r="J238" s="87">
        <f t="shared" si="70"/>
        <v>0</v>
      </c>
      <c r="K238" s="86">
        <f t="shared" si="70"/>
        <v>0</v>
      </c>
      <c r="L238" s="86">
        <f>L239+L240+L241</f>
        <v>0</v>
      </c>
      <c r="M238" s="86">
        <f t="shared" si="70"/>
        <v>0</v>
      </c>
      <c r="N238" s="310"/>
    </row>
    <row r="239" spans="1:16" ht="21.75" customHeight="1">
      <c r="A239" s="244"/>
      <c r="B239" s="266"/>
      <c r="C239" s="242"/>
      <c r="D239" s="250"/>
      <c r="E239" s="242"/>
      <c r="F239" s="85" t="s">
        <v>133</v>
      </c>
      <c r="G239" s="86">
        <f>H239+I239+J239+K239+M239</f>
        <v>0</v>
      </c>
      <c r="H239" s="86">
        <v>0</v>
      </c>
      <c r="I239" s="86">
        <v>0</v>
      </c>
      <c r="J239" s="87">
        <v>0</v>
      </c>
      <c r="K239" s="86"/>
      <c r="L239" s="86">
        <v>0</v>
      </c>
      <c r="M239" s="86">
        <v>0</v>
      </c>
      <c r="N239" s="310"/>
    </row>
    <row r="240" spans="1:16" ht="21.75" customHeight="1">
      <c r="A240" s="244"/>
      <c r="B240" s="266"/>
      <c r="C240" s="242"/>
      <c r="D240" s="250"/>
      <c r="E240" s="242"/>
      <c r="F240" s="85" t="s">
        <v>16</v>
      </c>
      <c r="G240" s="86">
        <f>H240+I240+J240+K240+M240</f>
        <v>0</v>
      </c>
      <c r="H240" s="86">
        <v>0</v>
      </c>
      <c r="I240" s="86">
        <v>0</v>
      </c>
      <c r="J240" s="87">
        <v>0</v>
      </c>
      <c r="K240" s="86">
        <v>0</v>
      </c>
      <c r="L240" s="86">
        <v>0</v>
      </c>
      <c r="M240" s="86">
        <v>0</v>
      </c>
      <c r="N240" s="310"/>
    </row>
    <row r="241" spans="1:14" ht="21.75" customHeight="1">
      <c r="A241" s="245"/>
      <c r="B241" s="267"/>
      <c r="C241" s="242"/>
      <c r="D241" s="251"/>
      <c r="E241" s="252"/>
      <c r="F241" s="85" t="s">
        <v>17</v>
      </c>
      <c r="G241" s="86">
        <f>H241+I241+J241+K241+M241</f>
        <v>0</v>
      </c>
      <c r="H241" s="86">
        <v>0</v>
      </c>
      <c r="I241" s="86">
        <v>0</v>
      </c>
      <c r="J241" s="87">
        <v>0</v>
      </c>
      <c r="K241" s="86">
        <v>0</v>
      </c>
      <c r="L241" s="86">
        <v>0</v>
      </c>
      <c r="M241" s="86">
        <v>0</v>
      </c>
      <c r="N241" s="310"/>
    </row>
    <row r="242" spans="1:14" ht="21.75" customHeight="1">
      <c r="A242" s="243" t="s">
        <v>94</v>
      </c>
      <c r="B242" s="265" t="s">
        <v>98</v>
      </c>
      <c r="C242" s="241" t="s">
        <v>11</v>
      </c>
      <c r="D242" s="249" t="s">
        <v>99</v>
      </c>
      <c r="E242" s="241" t="s">
        <v>153</v>
      </c>
      <c r="F242" s="85" t="s">
        <v>14</v>
      </c>
      <c r="G242" s="86">
        <f t="shared" ref="G242:M242" si="71">G243+G244+G245</f>
        <v>1439105.67</v>
      </c>
      <c r="H242" s="86">
        <f t="shared" si="71"/>
        <v>316037</v>
      </c>
      <c r="I242" s="86">
        <f t="shared" si="71"/>
        <v>390000</v>
      </c>
      <c r="J242" s="87">
        <f t="shared" si="71"/>
        <v>372772.75</v>
      </c>
      <c r="K242" s="86">
        <f t="shared" si="71"/>
        <v>180147.96</v>
      </c>
      <c r="L242" s="86">
        <f>L243+L244+L245</f>
        <v>180147.96</v>
      </c>
      <c r="M242" s="86">
        <f t="shared" si="71"/>
        <v>180147.96</v>
      </c>
      <c r="N242" s="310"/>
    </row>
    <row r="243" spans="1:14" ht="21.75" customHeight="1">
      <c r="A243" s="244"/>
      <c r="B243" s="266"/>
      <c r="C243" s="242"/>
      <c r="D243" s="250"/>
      <c r="E243" s="242"/>
      <c r="F243" s="85" t="s">
        <v>133</v>
      </c>
      <c r="G243" s="86">
        <f>H243+I243+J243+K243+M243</f>
        <v>718105.66999999993</v>
      </c>
      <c r="H243" s="86">
        <v>116037</v>
      </c>
      <c r="I243" s="86">
        <f>157703.92-57703.92</f>
        <v>100000.00000000001</v>
      </c>
      <c r="J243" s="87">
        <f>110000+'[9]2022 год'!$D$19</f>
        <v>141772.75</v>
      </c>
      <c r="K243" s="86">
        <v>180147.96</v>
      </c>
      <c r="L243" s="86">
        <v>180147.96</v>
      </c>
      <c r="M243" s="86">
        <v>180147.96</v>
      </c>
      <c r="N243" s="310"/>
    </row>
    <row r="244" spans="1:14" ht="21.75" customHeight="1">
      <c r="A244" s="244"/>
      <c r="B244" s="266"/>
      <c r="C244" s="242"/>
      <c r="D244" s="250"/>
      <c r="E244" s="242"/>
      <c r="F244" s="85" t="s">
        <v>16</v>
      </c>
      <c r="G244" s="86">
        <f>H244+I244+J244+K244+M244</f>
        <v>721000</v>
      </c>
      <c r="H244" s="86">
        <v>200000</v>
      </c>
      <c r="I244" s="86">
        <v>290000</v>
      </c>
      <c r="J244" s="87">
        <v>231000</v>
      </c>
      <c r="K244" s="86">
        <v>0</v>
      </c>
      <c r="L244" s="86">
        <v>0</v>
      </c>
      <c r="M244" s="86">
        <v>0</v>
      </c>
      <c r="N244" s="310"/>
    </row>
    <row r="245" spans="1:14" ht="21.75" customHeight="1">
      <c r="A245" s="245"/>
      <c r="B245" s="267"/>
      <c r="C245" s="242"/>
      <c r="D245" s="251"/>
      <c r="E245" s="252"/>
      <c r="F245" s="85" t="s">
        <v>17</v>
      </c>
      <c r="G245" s="86">
        <f>H245+I245+J245+K245+M245</f>
        <v>0</v>
      </c>
      <c r="H245" s="86">
        <v>0</v>
      </c>
      <c r="I245" s="86">
        <v>0</v>
      </c>
      <c r="J245" s="87">
        <v>0</v>
      </c>
      <c r="K245" s="86">
        <v>0</v>
      </c>
      <c r="L245" s="86">
        <v>0</v>
      </c>
      <c r="M245" s="86">
        <v>0</v>
      </c>
      <c r="N245" s="310"/>
    </row>
    <row r="246" spans="1:14" ht="21.75" customHeight="1">
      <c r="A246" s="243" t="s">
        <v>102</v>
      </c>
      <c r="B246" s="265" t="s">
        <v>100</v>
      </c>
      <c r="C246" s="241" t="s">
        <v>11</v>
      </c>
      <c r="D246" s="249" t="s">
        <v>101</v>
      </c>
      <c r="E246" s="241" t="s">
        <v>153</v>
      </c>
      <c r="F246" s="85" t="s">
        <v>14</v>
      </c>
      <c r="G246" s="86">
        <f t="shared" ref="G246:M246" si="72">G247+G248+G249</f>
        <v>18241281.43</v>
      </c>
      <c r="H246" s="86">
        <f t="shared" si="72"/>
        <v>0</v>
      </c>
      <c r="I246" s="86">
        <f t="shared" si="72"/>
        <v>3522960.71</v>
      </c>
      <c r="J246" s="87">
        <f t="shared" si="72"/>
        <v>4369412.5599999996</v>
      </c>
      <c r="K246" s="86">
        <f t="shared" si="72"/>
        <v>4971604.92</v>
      </c>
      <c r="L246" s="86">
        <f>L247+L248+L249</f>
        <v>5170475.4000000004</v>
      </c>
      <c r="M246" s="86">
        <f t="shared" si="72"/>
        <v>5377303.2400000002</v>
      </c>
      <c r="N246" s="310"/>
    </row>
    <row r="247" spans="1:14" ht="21.75" customHeight="1">
      <c r="A247" s="244"/>
      <c r="B247" s="266"/>
      <c r="C247" s="242"/>
      <c r="D247" s="250"/>
      <c r="E247" s="242"/>
      <c r="F247" s="85" t="s">
        <v>133</v>
      </c>
      <c r="G247" s="86">
        <f>H247+I247+J247+K247+M247</f>
        <v>200000</v>
      </c>
      <c r="H247" s="86">
        <v>0</v>
      </c>
      <c r="I247" s="86">
        <f>200000+572400-572400</f>
        <v>200000</v>
      </c>
      <c r="J247" s="87">
        <v>0</v>
      </c>
      <c r="K247" s="86">
        <v>0</v>
      </c>
      <c r="L247" s="86">
        <v>0</v>
      </c>
      <c r="M247" s="86">
        <v>0</v>
      </c>
      <c r="N247" s="310"/>
    </row>
    <row r="248" spans="1:14" ht="21.75" customHeight="1">
      <c r="A248" s="244"/>
      <c r="B248" s="266"/>
      <c r="C248" s="242"/>
      <c r="D248" s="250"/>
      <c r="E248" s="242"/>
      <c r="F248" s="85" t="s">
        <v>16</v>
      </c>
      <c r="G248" s="86">
        <f>H248+I248+J248+K248+M248</f>
        <v>18041281.43</v>
      </c>
      <c r="H248" s="86">
        <v>0</v>
      </c>
      <c r="I248" s="86">
        <f>4922960.71-1600000</f>
        <v>3322960.71</v>
      </c>
      <c r="J248" s="87">
        <v>4369412.5599999996</v>
      </c>
      <c r="K248" s="86">
        <v>4971604.92</v>
      </c>
      <c r="L248" s="86">
        <v>5170475.4000000004</v>
      </c>
      <c r="M248" s="86">
        <v>5377303.2400000002</v>
      </c>
      <c r="N248" s="310"/>
    </row>
    <row r="249" spans="1:14" ht="21.75" customHeight="1">
      <c r="A249" s="245"/>
      <c r="B249" s="267"/>
      <c r="C249" s="242"/>
      <c r="D249" s="251"/>
      <c r="E249" s="252"/>
      <c r="F249" s="85" t="s">
        <v>17</v>
      </c>
      <c r="G249" s="86">
        <f>H249+I249+J249+K249+M249</f>
        <v>0</v>
      </c>
      <c r="H249" s="86">
        <v>0</v>
      </c>
      <c r="I249" s="86">
        <v>0</v>
      </c>
      <c r="J249" s="86">
        <v>0</v>
      </c>
      <c r="K249" s="86">
        <v>0</v>
      </c>
      <c r="L249" s="86">
        <v>0</v>
      </c>
      <c r="M249" s="86">
        <v>0</v>
      </c>
      <c r="N249" s="310"/>
    </row>
    <row r="250" spans="1:14" ht="21.75" customHeight="1">
      <c r="A250" s="224"/>
      <c r="B250" s="299" t="s">
        <v>142</v>
      </c>
      <c r="C250" s="230" t="s">
        <v>11</v>
      </c>
      <c r="D250" s="311" t="s">
        <v>42</v>
      </c>
      <c r="E250" s="230" t="s">
        <v>153</v>
      </c>
      <c r="F250" s="79" t="s">
        <v>14</v>
      </c>
      <c r="G250" s="80">
        <f t="shared" ref="G250:M250" si="73">G251+G252+G253</f>
        <v>4640995.75</v>
      </c>
      <c r="H250" s="80">
        <f t="shared" si="73"/>
        <v>600000</v>
      </c>
      <c r="I250" s="80">
        <f t="shared" si="73"/>
        <v>557000</v>
      </c>
      <c r="J250" s="80">
        <f t="shared" si="73"/>
        <v>550591.55000000005</v>
      </c>
      <c r="K250" s="80">
        <f t="shared" si="73"/>
        <v>1466702.1</v>
      </c>
      <c r="L250" s="80">
        <f>L251+L252+L253</f>
        <v>1466702.1</v>
      </c>
      <c r="M250" s="80">
        <f t="shared" si="73"/>
        <v>1466702.1</v>
      </c>
      <c r="N250" s="302"/>
    </row>
    <row r="251" spans="1:14" ht="21.75" customHeight="1">
      <c r="A251" s="225"/>
      <c r="B251" s="300"/>
      <c r="C251" s="231"/>
      <c r="D251" s="312"/>
      <c r="E251" s="231"/>
      <c r="F251" s="79" t="s">
        <v>133</v>
      </c>
      <c r="G251" s="80">
        <f>H251+I251+J251+K251+M251</f>
        <v>4640995.75</v>
      </c>
      <c r="H251" s="80">
        <f t="shared" ref="H251:M253" si="74">H255+H263+H279+H283+H259+H267+H271+H275</f>
        <v>600000</v>
      </c>
      <c r="I251" s="80">
        <f t="shared" si="74"/>
        <v>557000</v>
      </c>
      <c r="J251" s="80">
        <f t="shared" si="74"/>
        <v>550591.55000000005</v>
      </c>
      <c r="K251" s="80">
        <f t="shared" si="74"/>
        <v>1466702.1</v>
      </c>
      <c r="L251" s="80">
        <f t="shared" si="74"/>
        <v>1466702.1</v>
      </c>
      <c r="M251" s="80">
        <f t="shared" si="74"/>
        <v>1466702.1</v>
      </c>
      <c r="N251" s="303"/>
    </row>
    <row r="252" spans="1:14" ht="21.75" customHeight="1">
      <c r="A252" s="225"/>
      <c r="B252" s="300"/>
      <c r="C252" s="231"/>
      <c r="D252" s="312"/>
      <c r="E252" s="231"/>
      <c r="F252" s="79" t="s">
        <v>16</v>
      </c>
      <c r="G252" s="80">
        <f>H252+I252+J252+K252+M252</f>
        <v>0</v>
      </c>
      <c r="H252" s="80">
        <f t="shared" si="74"/>
        <v>0</v>
      </c>
      <c r="I252" s="80">
        <f t="shared" si="74"/>
        <v>0</v>
      </c>
      <c r="J252" s="80">
        <f t="shared" si="74"/>
        <v>0</v>
      </c>
      <c r="K252" s="80">
        <f t="shared" si="74"/>
        <v>0</v>
      </c>
      <c r="L252" s="80">
        <f t="shared" si="74"/>
        <v>0</v>
      </c>
      <c r="M252" s="80">
        <f t="shared" si="74"/>
        <v>0</v>
      </c>
      <c r="N252" s="303"/>
    </row>
    <row r="253" spans="1:14" ht="21.75" customHeight="1">
      <c r="A253" s="226"/>
      <c r="B253" s="301"/>
      <c r="C253" s="232"/>
      <c r="D253" s="313"/>
      <c r="E253" s="232"/>
      <c r="F253" s="79" t="s">
        <v>17</v>
      </c>
      <c r="G253" s="80">
        <f>H253+I253+J253+K253+M253</f>
        <v>0</v>
      </c>
      <c r="H253" s="80">
        <f t="shared" si="74"/>
        <v>0</v>
      </c>
      <c r="I253" s="80">
        <f t="shared" si="74"/>
        <v>0</v>
      </c>
      <c r="J253" s="80">
        <f t="shared" si="74"/>
        <v>0</v>
      </c>
      <c r="K253" s="80">
        <f t="shared" si="74"/>
        <v>0</v>
      </c>
      <c r="L253" s="80">
        <f t="shared" si="74"/>
        <v>0</v>
      </c>
      <c r="M253" s="80">
        <f t="shared" si="74"/>
        <v>0</v>
      </c>
      <c r="N253" s="304"/>
    </row>
    <row r="254" spans="1:14" ht="21.75" customHeight="1">
      <c r="A254" s="243" t="s">
        <v>18</v>
      </c>
      <c r="B254" s="265" t="s">
        <v>104</v>
      </c>
      <c r="C254" s="241" t="s">
        <v>11</v>
      </c>
      <c r="D254" s="249" t="s">
        <v>42</v>
      </c>
      <c r="E254" s="241" t="s">
        <v>153</v>
      </c>
      <c r="F254" s="85" t="s">
        <v>14</v>
      </c>
      <c r="G254" s="86">
        <f t="shared" ref="G254:M254" si="75">G255+G256+G257</f>
        <v>952762.74</v>
      </c>
      <c r="H254" s="86">
        <f t="shared" si="75"/>
        <v>235000</v>
      </c>
      <c r="I254" s="86">
        <f t="shared" si="75"/>
        <v>197749.8</v>
      </c>
      <c r="J254" s="86">
        <f t="shared" si="75"/>
        <v>196012.94</v>
      </c>
      <c r="K254" s="86">
        <f t="shared" si="75"/>
        <v>162000</v>
      </c>
      <c r="L254" s="86">
        <f>L255+L256+L257</f>
        <v>162000</v>
      </c>
      <c r="M254" s="86">
        <f t="shared" si="75"/>
        <v>162000</v>
      </c>
      <c r="N254" s="314" t="s">
        <v>151</v>
      </c>
    </row>
    <row r="255" spans="1:14" ht="21.75" customHeight="1">
      <c r="A255" s="244"/>
      <c r="B255" s="266"/>
      <c r="C255" s="242"/>
      <c r="D255" s="250"/>
      <c r="E255" s="242"/>
      <c r="F255" s="85" t="s">
        <v>133</v>
      </c>
      <c r="G255" s="86">
        <f>H255+I255+J255+K255+M255</f>
        <v>952762.74</v>
      </c>
      <c r="H255" s="86">
        <v>235000</v>
      </c>
      <c r="I255" s="86">
        <f>252000-I263-4250.2</f>
        <v>197749.8</v>
      </c>
      <c r="J255" s="86">
        <f>202000+[10]ИЦ!$F$19</f>
        <v>196012.94</v>
      </c>
      <c r="K255" s="86">
        <v>162000</v>
      </c>
      <c r="L255" s="86">
        <v>162000</v>
      </c>
      <c r="M255" s="86">
        <v>162000</v>
      </c>
      <c r="N255" s="314"/>
    </row>
    <row r="256" spans="1:14" ht="21.75" customHeight="1">
      <c r="A256" s="244"/>
      <c r="B256" s="266"/>
      <c r="C256" s="242"/>
      <c r="D256" s="250"/>
      <c r="E256" s="242"/>
      <c r="F256" s="85" t="s">
        <v>16</v>
      </c>
      <c r="G256" s="86">
        <f>H256+I256+J256+K256+M256</f>
        <v>0</v>
      </c>
      <c r="H256" s="86">
        <v>0</v>
      </c>
      <c r="I256" s="86">
        <v>0</v>
      </c>
      <c r="J256" s="86">
        <v>0</v>
      </c>
      <c r="K256" s="86">
        <v>0</v>
      </c>
      <c r="L256" s="86">
        <v>0</v>
      </c>
      <c r="M256" s="86">
        <v>0</v>
      </c>
      <c r="N256" s="314"/>
    </row>
    <row r="257" spans="1:14" ht="21.75" customHeight="1">
      <c r="A257" s="245"/>
      <c r="B257" s="267"/>
      <c r="C257" s="242"/>
      <c r="D257" s="251"/>
      <c r="E257" s="252"/>
      <c r="F257" s="85" t="s">
        <v>17</v>
      </c>
      <c r="G257" s="86">
        <f>H257+I257+J257+K257+M257</f>
        <v>0</v>
      </c>
      <c r="H257" s="86">
        <v>0</v>
      </c>
      <c r="I257" s="86">
        <v>0</v>
      </c>
      <c r="J257" s="86">
        <v>0</v>
      </c>
      <c r="K257" s="86">
        <v>0</v>
      </c>
      <c r="L257" s="86">
        <v>0</v>
      </c>
      <c r="M257" s="86">
        <v>0</v>
      </c>
      <c r="N257" s="314"/>
    </row>
    <row r="258" spans="1:14" ht="21.75" customHeight="1">
      <c r="A258" s="241" t="s">
        <v>25</v>
      </c>
      <c r="B258" s="265" t="s">
        <v>105</v>
      </c>
      <c r="C258" s="241" t="s">
        <v>11</v>
      </c>
      <c r="D258" s="249" t="s">
        <v>42</v>
      </c>
      <c r="E258" s="241" t="s">
        <v>153</v>
      </c>
      <c r="F258" s="85" t="s">
        <v>14</v>
      </c>
      <c r="G258" s="86">
        <f t="shared" ref="G258:M258" si="76">G259+G260+G261</f>
        <v>538828.81000000006</v>
      </c>
      <c r="H258" s="86">
        <f t="shared" si="76"/>
        <v>125000</v>
      </c>
      <c r="I258" s="86">
        <f t="shared" si="76"/>
        <v>109250.2</v>
      </c>
      <c r="J258" s="86">
        <f t="shared" si="76"/>
        <v>104578.61</v>
      </c>
      <c r="K258" s="86">
        <f t="shared" si="76"/>
        <v>100000</v>
      </c>
      <c r="L258" s="86">
        <f>L259+L260+L261</f>
        <v>100000</v>
      </c>
      <c r="M258" s="86">
        <f t="shared" si="76"/>
        <v>100000</v>
      </c>
      <c r="N258" s="314"/>
    </row>
    <row r="259" spans="1:14" ht="21.75" customHeight="1">
      <c r="A259" s="242"/>
      <c r="B259" s="266"/>
      <c r="C259" s="242"/>
      <c r="D259" s="250"/>
      <c r="E259" s="242"/>
      <c r="F259" s="85" t="s">
        <v>133</v>
      </c>
      <c r="G259" s="86">
        <f>H259+I259+J259+K259+M259</f>
        <v>538828.81000000006</v>
      </c>
      <c r="H259" s="86">
        <v>125000</v>
      </c>
      <c r="I259" s="86">
        <f>105000+4250.2</f>
        <v>109250.2</v>
      </c>
      <c r="J259" s="86">
        <f>105000-421.39</f>
        <v>104578.61</v>
      </c>
      <c r="K259" s="86">
        <v>100000</v>
      </c>
      <c r="L259" s="86">
        <v>100000</v>
      </c>
      <c r="M259" s="86">
        <v>100000</v>
      </c>
      <c r="N259" s="314"/>
    </row>
    <row r="260" spans="1:14" ht="21.75" customHeight="1">
      <c r="A260" s="242"/>
      <c r="B260" s="266"/>
      <c r="C260" s="242"/>
      <c r="D260" s="250"/>
      <c r="E260" s="242"/>
      <c r="F260" s="85" t="s">
        <v>16</v>
      </c>
      <c r="G260" s="86">
        <f>H260+I260+J260+K260+M260</f>
        <v>0</v>
      </c>
      <c r="H260" s="86">
        <v>0</v>
      </c>
      <c r="I260" s="86">
        <v>0</v>
      </c>
      <c r="J260" s="86">
        <v>0</v>
      </c>
      <c r="K260" s="86">
        <v>0</v>
      </c>
      <c r="L260" s="86">
        <v>0</v>
      </c>
      <c r="M260" s="86">
        <v>0</v>
      </c>
      <c r="N260" s="314"/>
    </row>
    <row r="261" spans="1:14" ht="21.75" customHeight="1">
      <c r="A261" s="252"/>
      <c r="B261" s="267"/>
      <c r="C261" s="242"/>
      <c r="D261" s="251"/>
      <c r="E261" s="252"/>
      <c r="F261" s="85" t="s">
        <v>17</v>
      </c>
      <c r="G261" s="86">
        <f>H261+I261+J261+K261+M261</f>
        <v>0</v>
      </c>
      <c r="H261" s="86">
        <v>0</v>
      </c>
      <c r="I261" s="86">
        <v>0</v>
      </c>
      <c r="J261" s="86">
        <v>0</v>
      </c>
      <c r="K261" s="86">
        <v>0</v>
      </c>
      <c r="L261" s="86">
        <v>0</v>
      </c>
      <c r="M261" s="86">
        <v>0</v>
      </c>
      <c r="N261" s="314"/>
    </row>
    <row r="262" spans="1:14" ht="21.75" customHeight="1">
      <c r="A262" s="243" t="s">
        <v>44</v>
      </c>
      <c r="B262" s="265" t="s">
        <v>107</v>
      </c>
      <c r="C262" s="241" t="s">
        <v>11</v>
      </c>
      <c r="D262" s="249" t="s">
        <v>42</v>
      </c>
      <c r="E262" s="241" t="s">
        <v>153</v>
      </c>
      <c r="F262" s="85" t="s">
        <v>14</v>
      </c>
      <c r="G262" s="86">
        <f t="shared" ref="G262:M262" si="77">G263+G264+G265</f>
        <v>260000</v>
      </c>
      <c r="H262" s="86">
        <f t="shared" si="77"/>
        <v>40000</v>
      </c>
      <c r="I262" s="86">
        <f t="shared" si="77"/>
        <v>50000</v>
      </c>
      <c r="J262" s="86">
        <f t="shared" si="77"/>
        <v>50000</v>
      </c>
      <c r="K262" s="86">
        <f t="shared" si="77"/>
        <v>60000</v>
      </c>
      <c r="L262" s="86">
        <f>L263+L264+L265</f>
        <v>60000</v>
      </c>
      <c r="M262" s="86">
        <f t="shared" si="77"/>
        <v>60000</v>
      </c>
      <c r="N262" s="314"/>
    </row>
    <row r="263" spans="1:14" ht="21.75" customHeight="1">
      <c r="A263" s="244"/>
      <c r="B263" s="266"/>
      <c r="C263" s="242"/>
      <c r="D263" s="250"/>
      <c r="E263" s="242"/>
      <c r="F263" s="85" t="s">
        <v>133</v>
      </c>
      <c r="G263" s="86">
        <f>H263+I263+J263+K263+M263</f>
        <v>260000</v>
      </c>
      <c r="H263" s="86">
        <v>40000</v>
      </c>
      <c r="I263" s="86">
        <v>50000</v>
      </c>
      <c r="J263" s="86">
        <v>50000</v>
      </c>
      <c r="K263" s="86">
        <v>60000</v>
      </c>
      <c r="L263" s="86">
        <v>60000</v>
      </c>
      <c r="M263" s="86">
        <v>60000</v>
      </c>
      <c r="N263" s="314"/>
    </row>
    <row r="264" spans="1:14" ht="21.75" customHeight="1">
      <c r="A264" s="244"/>
      <c r="B264" s="266"/>
      <c r="C264" s="242"/>
      <c r="D264" s="250"/>
      <c r="E264" s="242"/>
      <c r="F264" s="85" t="s">
        <v>16</v>
      </c>
      <c r="G264" s="86">
        <f>H264+I264+J264+K264+M264</f>
        <v>0</v>
      </c>
      <c r="H264" s="86">
        <v>0</v>
      </c>
      <c r="I264" s="86">
        <v>0</v>
      </c>
      <c r="J264" s="86">
        <v>0</v>
      </c>
      <c r="K264" s="86">
        <v>0</v>
      </c>
      <c r="L264" s="86">
        <v>0</v>
      </c>
      <c r="M264" s="86">
        <v>0</v>
      </c>
      <c r="N264" s="314"/>
    </row>
    <row r="265" spans="1:14" ht="21.75" customHeight="1">
      <c r="A265" s="245"/>
      <c r="B265" s="267"/>
      <c r="C265" s="242"/>
      <c r="D265" s="251"/>
      <c r="E265" s="252"/>
      <c r="F265" s="85" t="s">
        <v>17</v>
      </c>
      <c r="G265" s="86">
        <f>H265+I265+J265+K265+M265</f>
        <v>0</v>
      </c>
      <c r="H265" s="86">
        <v>0</v>
      </c>
      <c r="I265" s="86">
        <v>0</v>
      </c>
      <c r="J265" s="86">
        <v>0</v>
      </c>
      <c r="K265" s="86">
        <v>0</v>
      </c>
      <c r="L265" s="86">
        <v>0</v>
      </c>
      <c r="M265" s="86">
        <v>0</v>
      </c>
      <c r="N265" s="314"/>
    </row>
    <row r="266" spans="1:14" ht="21.75" customHeight="1">
      <c r="A266" s="241" t="s">
        <v>78</v>
      </c>
      <c r="B266" s="265" t="s">
        <v>132</v>
      </c>
      <c r="C266" s="241" t="s">
        <v>11</v>
      </c>
      <c r="D266" s="279" t="s">
        <v>37</v>
      </c>
      <c r="E266" s="241" t="s">
        <v>153</v>
      </c>
      <c r="F266" s="85" t="s">
        <v>14</v>
      </c>
      <c r="G266" s="86">
        <f t="shared" ref="G266:M266" si="78">G267+G268+G269</f>
        <v>2000000</v>
      </c>
      <c r="H266" s="86">
        <f t="shared" si="78"/>
        <v>200000</v>
      </c>
      <c r="I266" s="86">
        <f t="shared" si="78"/>
        <v>200000</v>
      </c>
      <c r="J266" s="86">
        <f t="shared" si="78"/>
        <v>200000</v>
      </c>
      <c r="K266" s="86">
        <f t="shared" si="78"/>
        <v>700000</v>
      </c>
      <c r="L266" s="86">
        <f t="shared" si="78"/>
        <v>700000</v>
      </c>
      <c r="M266" s="86">
        <f t="shared" si="78"/>
        <v>700000</v>
      </c>
      <c r="N266" s="314"/>
    </row>
    <row r="267" spans="1:14" ht="21.75" customHeight="1">
      <c r="A267" s="242"/>
      <c r="B267" s="266"/>
      <c r="C267" s="242"/>
      <c r="D267" s="280"/>
      <c r="E267" s="242"/>
      <c r="F267" s="85" t="s">
        <v>133</v>
      </c>
      <c r="G267" s="86">
        <f>H267+I267+J267+K267+M267</f>
        <v>2000000</v>
      </c>
      <c r="H267" s="86">
        <v>200000</v>
      </c>
      <c r="I267" s="86">
        <v>200000</v>
      </c>
      <c r="J267" s="86">
        <v>200000</v>
      </c>
      <c r="K267" s="86">
        <v>700000</v>
      </c>
      <c r="L267" s="86">
        <v>700000</v>
      </c>
      <c r="M267" s="86">
        <v>700000</v>
      </c>
      <c r="N267" s="314"/>
    </row>
    <row r="268" spans="1:14" ht="21.75" customHeight="1">
      <c r="A268" s="242"/>
      <c r="B268" s="266"/>
      <c r="C268" s="242"/>
      <c r="D268" s="280"/>
      <c r="E268" s="242"/>
      <c r="F268" s="85" t="s">
        <v>16</v>
      </c>
      <c r="G268" s="86">
        <f>H268+I268+J268+K268+M268</f>
        <v>0</v>
      </c>
      <c r="H268" s="86">
        <v>0</v>
      </c>
      <c r="I268" s="86">
        <v>0</v>
      </c>
      <c r="J268" s="86">
        <v>0</v>
      </c>
      <c r="K268" s="86">
        <v>0</v>
      </c>
      <c r="L268" s="86">
        <v>0</v>
      </c>
      <c r="M268" s="86">
        <v>0</v>
      </c>
      <c r="N268" s="314"/>
    </row>
    <row r="269" spans="1:14" ht="21.75" customHeight="1">
      <c r="A269" s="252"/>
      <c r="B269" s="267"/>
      <c r="C269" s="242"/>
      <c r="D269" s="281"/>
      <c r="E269" s="252"/>
      <c r="F269" s="85" t="s">
        <v>17</v>
      </c>
      <c r="G269" s="86">
        <f>H269+I269+J269+K269+M269</f>
        <v>0</v>
      </c>
      <c r="H269" s="86">
        <v>0</v>
      </c>
      <c r="I269" s="86">
        <v>0</v>
      </c>
      <c r="J269" s="86">
        <v>0</v>
      </c>
      <c r="K269" s="86">
        <v>0</v>
      </c>
      <c r="L269" s="86">
        <v>0</v>
      </c>
      <c r="M269" s="86">
        <v>0</v>
      </c>
      <c r="N269" s="314"/>
    </row>
    <row r="270" spans="1:14" ht="21.75" customHeight="1">
      <c r="A270" s="276" t="s">
        <v>94</v>
      </c>
      <c r="B270" s="265" t="s">
        <v>41</v>
      </c>
      <c r="C270" s="241" t="s">
        <v>11</v>
      </c>
      <c r="D270" s="249" t="s">
        <v>42</v>
      </c>
      <c r="E270" s="241" t="s">
        <v>153</v>
      </c>
      <c r="F270" s="85" t="s">
        <v>14</v>
      </c>
      <c r="G270" s="86">
        <f t="shared" ref="G270:M270" si="79">G271+G272+G273</f>
        <v>889404.2</v>
      </c>
      <c r="H270" s="86">
        <f t="shared" si="79"/>
        <v>0</v>
      </c>
      <c r="I270" s="86">
        <f t="shared" si="79"/>
        <v>0</v>
      </c>
      <c r="J270" s="86">
        <f t="shared" si="79"/>
        <v>0</v>
      </c>
      <c r="K270" s="86">
        <f t="shared" si="79"/>
        <v>444702.1</v>
      </c>
      <c r="L270" s="86">
        <f t="shared" si="79"/>
        <v>444702.1</v>
      </c>
      <c r="M270" s="86">
        <f t="shared" si="79"/>
        <v>444702.1</v>
      </c>
      <c r="N270" s="314"/>
    </row>
    <row r="271" spans="1:14" ht="21.75" customHeight="1">
      <c r="A271" s="277"/>
      <c r="B271" s="266"/>
      <c r="C271" s="242"/>
      <c r="D271" s="250"/>
      <c r="E271" s="242"/>
      <c r="F271" s="85" t="s">
        <v>133</v>
      </c>
      <c r="G271" s="86">
        <f>H271+I271+J271+K271+M271</f>
        <v>889404.2</v>
      </c>
      <c r="H271" s="86"/>
      <c r="I271" s="86"/>
      <c r="J271" s="86">
        <v>0</v>
      </c>
      <c r="K271" s="86">
        <v>444702.1</v>
      </c>
      <c r="L271" s="86">
        <v>444702.1</v>
      </c>
      <c r="M271" s="86">
        <v>444702.1</v>
      </c>
      <c r="N271" s="314"/>
    </row>
    <row r="272" spans="1:14" ht="21.75" customHeight="1">
      <c r="A272" s="277"/>
      <c r="B272" s="266"/>
      <c r="C272" s="242"/>
      <c r="D272" s="250"/>
      <c r="E272" s="242"/>
      <c r="F272" s="85" t="s">
        <v>16</v>
      </c>
      <c r="G272" s="86">
        <f>H272+I272+J272+K272+M272</f>
        <v>0</v>
      </c>
      <c r="H272" s="86"/>
      <c r="I272" s="86"/>
      <c r="J272" s="86">
        <v>0</v>
      </c>
      <c r="K272" s="86">
        <v>0</v>
      </c>
      <c r="L272" s="86">
        <v>0</v>
      </c>
      <c r="M272" s="86">
        <v>0</v>
      </c>
      <c r="N272" s="314"/>
    </row>
    <row r="273" spans="1:14" ht="21.75" customHeight="1">
      <c r="A273" s="278"/>
      <c r="B273" s="267"/>
      <c r="C273" s="242"/>
      <c r="D273" s="251"/>
      <c r="E273" s="252"/>
      <c r="F273" s="85" t="s">
        <v>17</v>
      </c>
      <c r="G273" s="86">
        <f>H273+I273+J273+K273+M273</f>
        <v>0</v>
      </c>
      <c r="H273" s="86"/>
      <c r="I273" s="86"/>
      <c r="J273" s="86">
        <v>0</v>
      </c>
      <c r="K273" s="86">
        <v>0</v>
      </c>
      <c r="L273" s="86">
        <v>0</v>
      </c>
      <c r="M273" s="86">
        <v>0</v>
      </c>
      <c r="N273" s="314"/>
    </row>
    <row r="274" spans="1:14" ht="21.75" hidden="1" customHeight="1" outlineLevel="1">
      <c r="A274" s="243" t="s">
        <v>106</v>
      </c>
      <c r="B274" s="265" t="s">
        <v>103</v>
      </c>
      <c r="C274" s="241" t="s">
        <v>11</v>
      </c>
      <c r="D274" s="241"/>
      <c r="E274" s="241" t="s">
        <v>153</v>
      </c>
      <c r="F274" s="85" t="s">
        <v>14</v>
      </c>
      <c r="G274" s="86">
        <f t="shared" ref="G274:M274" si="80">G275+G276+G277</f>
        <v>0</v>
      </c>
      <c r="H274" s="86">
        <f t="shared" si="80"/>
        <v>0</v>
      </c>
      <c r="I274" s="86">
        <f t="shared" si="80"/>
        <v>0</v>
      </c>
      <c r="J274" s="86">
        <f t="shared" si="80"/>
        <v>0</v>
      </c>
      <c r="K274" s="86">
        <f t="shared" si="80"/>
        <v>0</v>
      </c>
      <c r="L274" s="86">
        <f>L275+L276+L277</f>
        <v>0</v>
      </c>
      <c r="M274" s="86">
        <f t="shared" si="80"/>
        <v>0</v>
      </c>
      <c r="N274" s="314"/>
    </row>
    <row r="275" spans="1:14" ht="21.75" hidden="1" customHeight="1" outlineLevel="1">
      <c r="A275" s="244"/>
      <c r="B275" s="266"/>
      <c r="C275" s="242"/>
      <c r="D275" s="242"/>
      <c r="E275" s="242"/>
      <c r="F275" s="85" t="s">
        <v>15</v>
      </c>
      <c r="G275" s="86">
        <f>H275+I275+J275+K275+M275</f>
        <v>0</v>
      </c>
      <c r="H275" s="86">
        <v>0</v>
      </c>
      <c r="I275" s="86">
        <v>0</v>
      </c>
      <c r="J275" s="86">
        <v>0</v>
      </c>
      <c r="K275" s="86">
        <v>0</v>
      </c>
      <c r="L275" s="86">
        <v>0</v>
      </c>
      <c r="M275" s="86">
        <v>0</v>
      </c>
      <c r="N275" s="314"/>
    </row>
    <row r="276" spans="1:14" ht="21.75" hidden="1" customHeight="1" outlineLevel="1">
      <c r="A276" s="244"/>
      <c r="B276" s="266"/>
      <c r="C276" s="242"/>
      <c r="D276" s="242"/>
      <c r="E276" s="242"/>
      <c r="F276" s="85" t="s">
        <v>16</v>
      </c>
      <c r="G276" s="86">
        <f>H276+I276+J276+K276+M276</f>
        <v>0</v>
      </c>
      <c r="H276" s="86">
        <v>0</v>
      </c>
      <c r="I276" s="86">
        <v>0</v>
      </c>
      <c r="J276" s="86">
        <v>0</v>
      </c>
      <c r="K276" s="86">
        <v>0</v>
      </c>
      <c r="L276" s="86">
        <v>0</v>
      </c>
      <c r="M276" s="86">
        <v>0</v>
      </c>
      <c r="N276" s="314"/>
    </row>
    <row r="277" spans="1:14" ht="21.75" hidden="1" customHeight="1" outlineLevel="1">
      <c r="A277" s="245"/>
      <c r="B277" s="267"/>
      <c r="C277" s="242"/>
      <c r="D277" s="252"/>
      <c r="E277" s="252"/>
      <c r="F277" s="85" t="s">
        <v>17</v>
      </c>
      <c r="G277" s="86">
        <f>H277+I277+J277+K277+M277</f>
        <v>0</v>
      </c>
      <c r="H277" s="86">
        <v>0</v>
      </c>
      <c r="I277" s="86">
        <v>0</v>
      </c>
      <c r="J277" s="86">
        <v>0</v>
      </c>
      <c r="K277" s="86">
        <v>0</v>
      </c>
      <c r="L277" s="86">
        <v>0</v>
      </c>
      <c r="M277" s="86">
        <v>0</v>
      </c>
      <c r="N277" s="314"/>
    </row>
    <row r="278" spans="1:14" ht="21.75" hidden="1" customHeight="1" outlineLevel="1">
      <c r="A278" s="243" t="s">
        <v>108</v>
      </c>
      <c r="B278" s="265" t="s">
        <v>109</v>
      </c>
      <c r="C278" s="241" t="s">
        <v>11</v>
      </c>
      <c r="D278" s="241"/>
      <c r="E278" s="241" t="s">
        <v>153</v>
      </c>
      <c r="F278" s="85" t="s">
        <v>14</v>
      </c>
      <c r="G278" s="86">
        <f t="shared" ref="G278:M278" si="81">G279+G280+G281</f>
        <v>0</v>
      </c>
      <c r="H278" s="86">
        <f t="shared" si="81"/>
        <v>0</v>
      </c>
      <c r="I278" s="86">
        <f t="shared" si="81"/>
        <v>0</v>
      </c>
      <c r="J278" s="86">
        <f t="shared" si="81"/>
        <v>0</v>
      </c>
      <c r="K278" s="86">
        <f t="shared" si="81"/>
        <v>0</v>
      </c>
      <c r="L278" s="86">
        <f>L279+L280+L281</f>
        <v>0</v>
      </c>
      <c r="M278" s="86">
        <f t="shared" si="81"/>
        <v>0</v>
      </c>
      <c r="N278" s="314"/>
    </row>
    <row r="279" spans="1:14" ht="21.75" hidden="1" customHeight="1" outlineLevel="1">
      <c r="A279" s="244"/>
      <c r="B279" s="266"/>
      <c r="C279" s="242"/>
      <c r="D279" s="242"/>
      <c r="E279" s="242"/>
      <c r="F279" s="85" t="s">
        <v>15</v>
      </c>
      <c r="G279" s="86">
        <f>H279+I279+J279+K279+M279</f>
        <v>0</v>
      </c>
      <c r="H279" s="86">
        <v>0</v>
      </c>
      <c r="I279" s="86">
        <v>0</v>
      </c>
      <c r="J279" s="86">
        <v>0</v>
      </c>
      <c r="K279" s="86">
        <v>0</v>
      </c>
      <c r="L279" s="86">
        <v>0</v>
      </c>
      <c r="M279" s="86">
        <v>0</v>
      </c>
      <c r="N279" s="314"/>
    </row>
    <row r="280" spans="1:14" ht="21.75" hidden="1" customHeight="1" outlineLevel="1">
      <c r="A280" s="244"/>
      <c r="B280" s="266"/>
      <c r="C280" s="242"/>
      <c r="D280" s="242"/>
      <c r="E280" s="242"/>
      <c r="F280" s="85" t="s">
        <v>16</v>
      </c>
      <c r="G280" s="86">
        <f>H280+I280+J280+K280+M280</f>
        <v>0</v>
      </c>
      <c r="H280" s="86">
        <v>0</v>
      </c>
      <c r="I280" s="86">
        <v>0</v>
      </c>
      <c r="J280" s="86">
        <v>0</v>
      </c>
      <c r="K280" s="86">
        <v>0</v>
      </c>
      <c r="L280" s="86">
        <v>0</v>
      </c>
      <c r="M280" s="86">
        <v>0</v>
      </c>
      <c r="N280" s="314"/>
    </row>
    <row r="281" spans="1:14" ht="21.75" hidden="1" customHeight="1" outlineLevel="1">
      <c r="A281" s="245"/>
      <c r="B281" s="267"/>
      <c r="C281" s="242"/>
      <c r="D281" s="252"/>
      <c r="E281" s="252"/>
      <c r="F281" s="85" t="s">
        <v>17</v>
      </c>
      <c r="G281" s="86">
        <f>H281+I281+J281+K281+M281</f>
        <v>0</v>
      </c>
      <c r="H281" s="86">
        <v>0</v>
      </c>
      <c r="I281" s="86">
        <v>0</v>
      </c>
      <c r="J281" s="86">
        <v>0</v>
      </c>
      <c r="K281" s="86">
        <v>0</v>
      </c>
      <c r="L281" s="86">
        <v>0</v>
      </c>
      <c r="M281" s="86">
        <v>0</v>
      </c>
      <c r="N281" s="314"/>
    </row>
    <row r="282" spans="1:14" ht="21.75" hidden="1" customHeight="1" outlineLevel="1">
      <c r="A282" s="96"/>
      <c r="B282" s="265" t="s">
        <v>110</v>
      </c>
      <c r="C282" s="241" t="s">
        <v>11</v>
      </c>
      <c r="D282" s="241"/>
      <c r="E282" s="241" t="s">
        <v>153</v>
      </c>
      <c r="F282" s="85" t="s">
        <v>14</v>
      </c>
      <c r="G282" s="86">
        <f t="shared" ref="G282:M282" si="82">G283+G284+G285</f>
        <v>0</v>
      </c>
      <c r="H282" s="86">
        <f t="shared" si="82"/>
        <v>0</v>
      </c>
      <c r="I282" s="86">
        <f t="shared" si="82"/>
        <v>0</v>
      </c>
      <c r="J282" s="86">
        <f t="shared" si="82"/>
        <v>0</v>
      </c>
      <c r="K282" s="86">
        <f t="shared" si="82"/>
        <v>0</v>
      </c>
      <c r="L282" s="86">
        <f>L283+L284+L285</f>
        <v>0</v>
      </c>
      <c r="M282" s="86">
        <f t="shared" si="82"/>
        <v>0</v>
      </c>
      <c r="N282" s="314"/>
    </row>
    <row r="283" spans="1:14" ht="21.75" hidden="1" customHeight="1" outlineLevel="1">
      <c r="A283" s="96" t="s">
        <v>111</v>
      </c>
      <c r="B283" s="266"/>
      <c r="C283" s="242"/>
      <c r="D283" s="242"/>
      <c r="E283" s="242"/>
      <c r="F283" s="85" t="s">
        <v>15</v>
      </c>
      <c r="G283" s="94">
        <f>H283+I283+J283+K283+M283</f>
        <v>0</v>
      </c>
      <c r="H283" s="86">
        <v>0</v>
      </c>
      <c r="I283" s="86">
        <v>0</v>
      </c>
      <c r="J283" s="86">
        <v>0</v>
      </c>
      <c r="K283" s="86">
        <v>0</v>
      </c>
      <c r="L283" s="86">
        <v>0</v>
      </c>
      <c r="M283" s="86">
        <v>0</v>
      </c>
      <c r="N283" s="314"/>
    </row>
    <row r="284" spans="1:14" ht="21.75" hidden="1" customHeight="1" outlineLevel="1">
      <c r="A284" s="96"/>
      <c r="B284" s="266"/>
      <c r="C284" s="242"/>
      <c r="D284" s="242"/>
      <c r="E284" s="242"/>
      <c r="F284" s="85" t="s">
        <v>16</v>
      </c>
      <c r="G284" s="94">
        <f>H284+I284+J284+K284+M284</f>
        <v>0</v>
      </c>
      <c r="H284" s="86">
        <v>0</v>
      </c>
      <c r="I284" s="86">
        <v>0</v>
      </c>
      <c r="J284" s="86">
        <v>0</v>
      </c>
      <c r="K284" s="86">
        <v>0</v>
      </c>
      <c r="L284" s="86">
        <v>0</v>
      </c>
      <c r="M284" s="86">
        <v>0</v>
      </c>
      <c r="N284" s="314"/>
    </row>
    <row r="285" spans="1:14" ht="21.75" hidden="1" customHeight="1" outlineLevel="1">
      <c r="A285" s="96"/>
      <c r="B285" s="267"/>
      <c r="C285" s="242"/>
      <c r="D285" s="252"/>
      <c r="E285" s="252"/>
      <c r="F285" s="85" t="s">
        <v>17</v>
      </c>
      <c r="G285" s="94">
        <f>H285+I285+J285+K285+M285</f>
        <v>0</v>
      </c>
      <c r="H285" s="86">
        <v>0</v>
      </c>
      <c r="I285" s="86">
        <v>0</v>
      </c>
      <c r="J285" s="86">
        <v>0</v>
      </c>
      <c r="K285" s="86">
        <v>0</v>
      </c>
      <c r="L285" s="86">
        <v>0</v>
      </c>
      <c r="M285" s="86">
        <v>0</v>
      </c>
      <c r="N285" s="315"/>
    </row>
    <row r="286" spans="1:14" ht="21.75" customHeight="1" collapsed="1">
      <c r="A286" s="224">
        <v>5</v>
      </c>
      <c r="B286" s="299" t="s">
        <v>139</v>
      </c>
      <c r="C286" s="230" t="s">
        <v>11</v>
      </c>
      <c r="D286" s="98"/>
      <c r="E286" s="230" t="s">
        <v>153</v>
      </c>
      <c r="F286" s="79" t="s">
        <v>14</v>
      </c>
      <c r="G286" s="80">
        <f>G287+G288+G289</f>
        <v>81305857.289999992</v>
      </c>
      <c r="H286" s="80">
        <f t="shared" ref="H286:M286" si="83">H287+H288+H289</f>
        <v>13370422.130000001</v>
      </c>
      <c r="I286" s="80">
        <f t="shared" si="83"/>
        <v>13699325.029999999</v>
      </c>
      <c r="J286" s="80">
        <f t="shared" si="83"/>
        <v>14738271</v>
      </c>
      <c r="K286" s="80">
        <f t="shared" si="83"/>
        <v>19001218.359999999</v>
      </c>
      <c r="L286" s="80">
        <f>L287+L288+L289</f>
        <v>19734258.760000002</v>
      </c>
      <c r="M286" s="80">
        <f t="shared" si="83"/>
        <v>20496620.77</v>
      </c>
      <c r="N286" s="99"/>
    </row>
    <row r="287" spans="1:14" ht="21.75" customHeight="1">
      <c r="A287" s="225"/>
      <c r="B287" s="300"/>
      <c r="C287" s="231"/>
      <c r="D287" s="100"/>
      <c r="E287" s="231"/>
      <c r="F287" s="79" t="s">
        <v>133</v>
      </c>
      <c r="G287" s="80">
        <f>H287+I287+J287+K287+M287</f>
        <v>81305857.289999992</v>
      </c>
      <c r="H287" s="80">
        <f t="shared" ref="H287:M289" si="84">H291</f>
        <v>13370422.130000001</v>
      </c>
      <c r="I287" s="80">
        <f t="shared" si="84"/>
        <v>13699325.029999999</v>
      </c>
      <c r="J287" s="80">
        <f t="shared" si="84"/>
        <v>14738271</v>
      </c>
      <c r="K287" s="80">
        <f t="shared" si="84"/>
        <v>19001218.359999999</v>
      </c>
      <c r="L287" s="80">
        <f t="shared" si="84"/>
        <v>19734258.760000002</v>
      </c>
      <c r="M287" s="80">
        <f t="shared" si="84"/>
        <v>20496620.77</v>
      </c>
      <c r="N287" s="99"/>
    </row>
    <row r="288" spans="1:14" ht="21.75" customHeight="1">
      <c r="A288" s="225"/>
      <c r="B288" s="300"/>
      <c r="C288" s="231"/>
      <c r="D288" s="100"/>
      <c r="E288" s="231"/>
      <c r="F288" s="79" t="s">
        <v>16</v>
      </c>
      <c r="G288" s="80">
        <f>H288+I288+J288+K288+M288</f>
        <v>0</v>
      </c>
      <c r="H288" s="80">
        <f t="shared" si="84"/>
        <v>0</v>
      </c>
      <c r="I288" s="80">
        <f t="shared" si="84"/>
        <v>0</v>
      </c>
      <c r="J288" s="80">
        <f t="shared" si="84"/>
        <v>0</v>
      </c>
      <c r="K288" s="80">
        <f t="shared" si="84"/>
        <v>0</v>
      </c>
      <c r="L288" s="80">
        <f>L292</f>
        <v>0</v>
      </c>
      <c r="M288" s="80">
        <f t="shared" si="84"/>
        <v>0</v>
      </c>
      <c r="N288" s="99"/>
    </row>
    <row r="289" spans="1:14" ht="21.75" customHeight="1">
      <c r="A289" s="226"/>
      <c r="B289" s="301"/>
      <c r="C289" s="232"/>
      <c r="D289" s="101"/>
      <c r="E289" s="232"/>
      <c r="F289" s="79" t="s">
        <v>17</v>
      </c>
      <c r="G289" s="80">
        <f>H289+I289+J289+K289+M289</f>
        <v>0</v>
      </c>
      <c r="H289" s="80">
        <f t="shared" si="84"/>
        <v>0</v>
      </c>
      <c r="I289" s="80">
        <f t="shared" si="84"/>
        <v>0</v>
      </c>
      <c r="J289" s="80">
        <f t="shared" si="84"/>
        <v>0</v>
      </c>
      <c r="K289" s="80">
        <f t="shared" si="84"/>
        <v>0</v>
      </c>
      <c r="L289" s="80">
        <f>L293</f>
        <v>0</v>
      </c>
      <c r="M289" s="80">
        <f t="shared" si="84"/>
        <v>0</v>
      </c>
      <c r="N289" s="99"/>
    </row>
    <row r="290" spans="1:14" ht="21.75" customHeight="1">
      <c r="A290" s="243" t="s">
        <v>18</v>
      </c>
      <c r="B290" s="265" t="s">
        <v>140</v>
      </c>
      <c r="C290" s="241" t="s">
        <v>11</v>
      </c>
      <c r="D290" s="241" t="s">
        <v>113</v>
      </c>
      <c r="E290" s="241" t="s">
        <v>153</v>
      </c>
      <c r="F290" s="85" t="s">
        <v>14</v>
      </c>
      <c r="G290" s="86">
        <f t="shared" ref="G290:M290" si="85">G291+G292+G293</f>
        <v>81305857.289999992</v>
      </c>
      <c r="H290" s="86">
        <f t="shared" si="85"/>
        <v>13370422.130000001</v>
      </c>
      <c r="I290" s="86">
        <f t="shared" si="85"/>
        <v>13699325.029999999</v>
      </c>
      <c r="J290" s="86">
        <f t="shared" si="85"/>
        <v>14738271</v>
      </c>
      <c r="K290" s="86">
        <f t="shared" si="85"/>
        <v>19001218.359999999</v>
      </c>
      <c r="L290" s="86">
        <f>L291+L292+L293</f>
        <v>19734258.760000002</v>
      </c>
      <c r="M290" s="86">
        <f t="shared" si="85"/>
        <v>20496620.77</v>
      </c>
      <c r="N290" s="263" t="s">
        <v>114</v>
      </c>
    </row>
    <row r="291" spans="1:14" ht="21.75" customHeight="1">
      <c r="A291" s="244"/>
      <c r="B291" s="266"/>
      <c r="C291" s="242"/>
      <c r="D291" s="242"/>
      <c r="E291" s="242"/>
      <c r="F291" s="85" t="s">
        <v>133</v>
      </c>
      <c r="G291" s="86">
        <f>H291+I291+J291+K291+M291</f>
        <v>81305857.289999992</v>
      </c>
      <c r="H291" s="86">
        <f>13390422.13-20000</f>
        <v>13370422.130000001</v>
      </c>
      <c r="I291" s="86">
        <v>13699325.029999999</v>
      </c>
      <c r="J291" s="87">
        <f>14153616+449044+135611</f>
        <v>14738271</v>
      </c>
      <c r="K291" s="86">
        <v>19001218.359999999</v>
      </c>
      <c r="L291" s="86">
        <v>19734258.760000002</v>
      </c>
      <c r="M291" s="86">
        <v>20496620.77</v>
      </c>
      <c r="N291" s="264"/>
    </row>
    <row r="292" spans="1:14" ht="21.75" customHeight="1">
      <c r="A292" s="244"/>
      <c r="B292" s="266"/>
      <c r="C292" s="242"/>
      <c r="D292" s="242"/>
      <c r="E292" s="242"/>
      <c r="F292" s="85" t="s">
        <v>16</v>
      </c>
      <c r="G292" s="86">
        <f>H292+I292+J292+K292+M292</f>
        <v>0</v>
      </c>
      <c r="H292" s="86">
        <v>0</v>
      </c>
      <c r="I292" s="86">
        <v>0</v>
      </c>
      <c r="J292" s="86">
        <v>0</v>
      </c>
      <c r="K292" s="86">
        <v>0</v>
      </c>
      <c r="L292" s="86">
        <v>0</v>
      </c>
      <c r="M292" s="86">
        <v>0</v>
      </c>
      <c r="N292" s="264"/>
    </row>
    <row r="293" spans="1:14" ht="21.75" customHeight="1">
      <c r="A293" s="245"/>
      <c r="B293" s="267"/>
      <c r="C293" s="252"/>
      <c r="D293" s="252"/>
      <c r="E293" s="252"/>
      <c r="F293" s="85" t="s">
        <v>17</v>
      </c>
      <c r="G293" s="86">
        <f>H293+I293+J293+K293+M293</f>
        <v>0</v>
      </c>
      <c r="H293" s="86">
        <v>0</v>
      </c>
      <c r="I293" s="86">
        <v>0</v>
      </c>
      <c r="J293" s="86">
        <v>0</v>
      </c>
      <c r="K293" s="86">
        <v>0</v>
      </c>
      <c r="L293" s="86">
        <v>0</v>
      </c>
      <c r="M293" s="86">
        <v>0</v>
      </c>
      <c r="N293" s="264"/>
    </row>
    <row r="294" spans="1:14" ht="23.25" hidden="1" customHeight="1" outlineLevel="1">
      <c r="A294" s="224">
        <v>6</v>
      </c>
      <c r="B294" s="299" t="s">
        <v>123</v>
      </c>
      <c r="C294" s="230" t="s">
        <v>11</v>
      </c>
      <c r="D294" s="98"/>
      <c r="E294" s="230" t="s">
        <v>13</v>
      </c>
      <c r="F294" s="79" t="s">
        <v>14</v>
      </c>
      <c r="G294" s="80">
        <f t="shared" ref="G294:M294" si="86">G295+G296+G297</f>
        <v>0</v>
      </c>
      <c r="H294" s="80">
        <f t="shared" si="86"/>
        <v>0</v>
      </c>
      <c r="I294" s="80">
        <f t="shared" si="86"/>
        <v>0</v>
      </c>
      <c r="J294" s="80">
        <f t="shared" si="86"/>
        <v>0</v>
      </c>
      <c r="K294" s="80">
        <f t="shared" si="86"/>
        <v>0</v>
      </c>
      <c r="L294" s="80">
        <f>L295+L296+L297</f>
        <v>0</v>
      </c>
      <c r="M294" s="80">
        <f t="shared" si="86"/>
        <v>0</v>
      </c>
      <c r="N294" s="99"/>
    </row>
    <row r="295" spans="1:14" ht="23.25" hidden="1" customHeight="1" outlineLevel="1">
      <c r="A295" s="225"/>
      <c r="B295" s="316"/>
      <c r="C295" s="231"/>
      <c r="D295" s="100"/>
      <c r="E295" s="231"/>
      <c r="F295" s="79" t="s">
        <v>15</v>
      </c>
      <c r="G295" s="80">
        <f>H295+I295+J295+K295+M295</f>
        <v>0</v>
      </c>
      <c r="H295" s="80">
        <f t="shared" ref="H295:M297" si="87">H299</f>
        <v>0</v>
      </c>
      <c r="I295" s="80">
        <f t="shared" si="87"/>
        <v>0</v>
      </c>
      <c r="J295" s="80">
        <f t="shared" si="87"/>
        <v>0</v>
      </c>
      <c r="K295" s="80">
        <f t="shared" si="87"/>
        <v>0</v>
      </c>
      <c r="L295" s="80">
        <f>L299</f>
        <v>0</v>
      </c>
      <c r="M295" s="80">
        <f t="shared" si="87"/>
        <v>0</v>
      </c>
      <c r="N295" s="99"/>
    </row>
    <row r="296" spans="1:14" ht="23.25" hidden="1" customHeight="1" outlineLevel="1">
      <c r="A296" s="225"/>
      <c r="B296" s="316"/>
      <c r="C296" s="231"/>
      <c r="D296" s="100"/>
      <c r="E296" s="231"/>
      <c r="F296" s="79" t="s">
        <v>16</v>
      </c>
      <c r="G296" s="80">
        <f>H296+I296+J296+K296+M296</f>
        <v>0</v>
      </c>
      <c r="H296" s="80">
        <f t="shared" si="87"/>
        <v>0</v>
      </c>
      <c r="I296" s="80">
        <f t="shared" si="87"/>
        <v>0</v>
      </c>
      <c r="J296" s="80">
        <f t="shared" si="87"/>
        <v>0</v>
      </c>
      <c r="K296" s="80">
        <f t="shared" si="87"/>
        <v>0</v>
      </c>
      <c r="L296" s="80">
        <f>L300</f>
        <v>0</v>
      </c>
      <c r="M296" s="80">
        <f t="shared" si="87"/>
        <v>0</v>
      </c>
      <c r="N296" s="99"/>
    </row>
    <row r="297" spans="1:14" ht="27" hidden="1" customHeight="1" outlineLevel="1">
      <c r="A297" s="226"/>
      <c r="B297" s="317"/>
      <c r="C297" s="232"/>
      <c r="D297" s="101"/>
      <c r="E297" s="232"/>
      <c r="F297" s="79" t="s">
        <v>17</v>
      </c>
      <c r="G297" s="80">
        <f>H297+I297+J297+K297+M297</f>
        <v>0</v>
      </c>
      <c r="H297" s="80">
        <f t="shared" si="87"/>
        <v>0</v>
      </c>
      <c r="I297" s="80">
        <f t="shared" si="87"/>
        <v>0</v>
      </c>
      <c r="J297" s="80">
        <f t="shared" si="87"/>
        <v>0</v>
      </c>
      <c r="K297" s="80">
        <f t="shared" si="87"/>
        <v>0</v>
      </c>
      <c r="L297" s="80">
        <f>L301</f>
        <v>0</v>
      </c>
      <c r="M297" s="80">
        <f t="shared" si="87"/>
        <v>0</v>
      </c>
      <c r="N297" s="99"/>
    </row>
    <row r="298" spans="1:14" ht="21.75" hidden="1" customHeight="1" outlineLevel="1">
      <c r="A298" s="243" t="s">
        <v>124</v>
      </c>
      <c r="B298" s="265" t="s">
        <v>125</v>
      </c>
      <c r="C298" s="241" t="s">
        <v>11</v>
      </c>
      <c r="D298" s="241" t="s">
        <v>113</v>
      </c>
      <c r="E298" s="241" t="s">
        <v>13</v>
      </c>
      <c r="F298" s="85" t="s">
        <v>14</v>
      </c>
      <c r="G298" s="86">
        <f t="shared" ref="G298:M298" si="88">G299+G300+G301</f>
        <v>0</v>
      </c>
      <c r="H298" s="86">
        <f t="shared" si="88"/>
        <v>0</v>
      </c>
      <c r="I298" s="86">
        <f t="shared" si="88"/>
        <v>0</v>
      </c>
      <c r="J298" s="86">
        <f t="shared" si="88"/>
        <v>0</v>
      </c>
      <c r="K298" s="86">
        <f t="shared" si="88"/>
        <v>0</v>
      </c>
      <c r="L298" s="86">
        <f>L299+L300+L301</f>
        <v>0</v>
      </c>
      <c r="M298" s="86">
        <f t="shared" si="88"/>
        <v>0</v>
      </c>
      <c r="N298" s="294" t="s">
        <v>126</v>
      </c>
    </row>
    <row r="299" spans="1:14" ht="21.75" hidden="1" customHeight="1" outlineLevel="1">
      <c r="A299" s="244"/>
      <c r="B299" s="266"/>
      <c r="C299" s="242"/>
      <c r="D299" s="242"/>
      <c r="E299" s="242"/>
      <c r="F299" s="85" t="s">
        <v>15</v>
      </c>
      <c r="G299" s="86">
        <f>H299+I299+J299+K299+M299</f>
        <v>0</v>
      </c>
      <c r="H299" s="86">
        <v>0</v>
      </c>
      <c r="I299" s="86">
        <v>0</v>
      </c>
      <c r="J299" s="86">
        <v>0</v>
      </c>
      <c r="K299" s="86">
        <v>0</v>
      </c>
      <c r="L299" s="86">
        <v>0</v>
      </c>
      <c r="M299" s="86">
        <v>0</v>
      </c>
      <c r="N299" s="295"/>
    </row>
    <row r="300" spans="1:14" ht="21.75" hidden="1" customHeight="1" outlineLevel="1">
      <c r="A300" s="244"/>
      <c r="B300" s="266"/>
      <c r="C300" s="242"/>
      <c r="D300" s="242"/>
      <c r="E300" s="242"/>
      <c r="F300" s="85" t="s">
        <v>16</v>
      </c>
      <c r="G300" s="86">
        <f>H300+I300+J300+K300+M300</f>
        <v>0</v>
      </c>
      <c r="H300" s="86">
        <v>0</v>
      </c>
      <c r="I300" s="86">
        <v>0</v>
      </c>
      <c r="J300" s="86">
        <v>0</v>
      </c>
      <c r="K300" s="86">
        <v>0</v>
      </c>
      <c r="L300" s="86">
        <v>0</v>
      </c>
      <c r="M300" s="86">
        <v>0</v>
      </c>
      <c r="N300" s="295"/>
    </row>
    <row r="301" spans="1:14" ht="21.75" hidden="1" customHeight="1" outlineLevel="1">
      <c r="A301" s="245"/>
      <c r="B301" s="267"/>
      <c r="C301" s="252"/>
      <c r="D301" s="252"/>
      <c r="E301" s="252"/>
      <c r="F301" s="85" t="s">
        <v>17</v>
      </c>
      <c r="G301" s="86">
        <f>H301+I301+J301+K301+M301</f>
        <v>0</v>
      </c>
      <c r="H301" s="86">
        <v>0</v>
      </c>
      <c r="I301" s="86">
        <v>0</v>
      </c>
      <c r="J301" s="86">
        <v>0</v>
      </c>
      <c r="K301" s="86">
        <v>0</v>
      </c>
      <c r="L301" s="86">
        <v>0</v>
      </c>
      <c r="M301" s="86">
        <v>0</v>
      </c>
      <c r="N301" s="295"/>
    </row>
    <row r="302" spans="1:14" ht="21.75" hidden="1" customHeight="1" outlineLevel="1">
      <c r="A302" s="224">
        <v>7</v>
      </c>
      <c r="B302" s="299" t="s">
        <v>127</v>
      </c>
      <c r="C302" s="230" t="s">
        <v>11</v>
      </c>
      <c r="D302" s="98"/>
      <c r="E302" s="230" t="s">
        <v>13</v>
      </c>
      <c r="F302" s="79" t="s">
        <v>14</v>
      </c>
      <c r="G302" s="80">
        <f t="shared" ref="G302:M302" si="89">G303+G304+G305</f>
        <v>0</v>
      </c>
      <c r="H302" s="80">
        <f t="shared" si="89"/>
        <v>0</v>
      </c>
      <c r="I302" s="80">
        <f t="shared" si="89"/>
        <v>0</v>
      </c>
      <c r="J302" s="80">
        <f t="shared" si="89"/>
        <v>0</v>
      </c>
      <c r="K302" s="80">
        <f t="shared" si="89"/>
        <v>0</v>
      </c>
      <c r="L302" s="80">
        <f>L303+L304+L305</f>
        <v>0</v>
      </c>
      <c r="M302" s="80">
        <f t="shared" si="89"/>
        <v>0</v>
      </c>
      <c r="N302" s="99"/>
    </row>
    <row r="303" spans="1:14" ht="21.75" hidden="1" customHeight="1" outlineLevel="1">
      <c r="A303" s="225"/>
      <c r="B303" s="300"/>
      <c r="C303" s="231"/>
      <c r="D303" s="100"/>
      <c r="E303" s="231"/>
      <c r="F303" s="79" t="s">
        <v>15</v>
      </c>
      <c r="G303" s="80">
        <f>H303+I303+J303+K303+M303</f>
        <v>0</v>
      </c>
      <c r="H303" s="80">
        <f t="shared" ref="H303:M305" si="90">H307</f>
        <v>0</v>
      </c>
      <c r="I303" s="80">
        <f t="shared" si="90"/>
        <v>0</v>
      </c>
      <c r="J303" s="80">
        <f t="shared" si="90"/>
        <v>0</v>
      </c>
      <c r="K303" s="80">
        <f t="shared" si="90"/>
        <v>0</v>
      </c>
      <c r="L303" s="80">
        <f>L307</f>
        <v>0</v>
      </c>
      <c r="M303" s="80">
        <f t="shared" si="90"/>
        <v>0</v>
      </c>
      <c r="N303" s="99"/>
    </row>
    <row r="304" spans="1:14" ht="21.75" hidden="1" customHeight="1" outlineLevel="1">
      <c r="A304" s="225"/>
      <c r="B304" s="300"/>
      <c r="C304" s="231"/>
      <c r="D304" s="100"/>
      <c r="E304" s="231"/>
      <c r="F304" s="79" t="s">
        <v>16</v>
      </c>
      <c r="G304" s="80">
        <f>H304+I304+J304+K304+M304</f>
        <v>0</v>
      </c>
      <c r="H304" s="80">
        <f t="shared" si="90"/>
        <v>0</v>
      </c>
      <c r="I304" s="80">
        <f t="shared" si="90"/>
        <v>0</v>
      </c>
      <c r="J304" s="80">
        <f t="shared" si="90"/>
        <v>0</v>
      </c>
      <c r="K304" s="80">
        <f t="shared" si="90"/>
        <v>0</v>
      </c>
      <c r="L304" s="80">
        <f>L308</f>
        <v>0</v>
      </c>
      <c r="M304" s="80">
        <f t="shared" si="90"/>
        <v>0</v>
      </c>
      <c r="N304" s="99"/>
    </row>
    <row r="305" spans="1:41" ht="21.75" hidden="1" customHeight="1" outlineLevel="1">
      <c r="A305" s="226"/>
      <c r="B305" s="301"/>
      <c r="C305" s="232"/>
      <c r="D305" s="101"/>
      <c r="E305" s="232"/>
      <c r="F305" s="79" t="s">
        <v>17</v>
      </c>
      <c r="G305" s="80">
        <f>H305+I305+J305+K305+M305</f>
        <v>0</v>
      </c>
      <c r="H305" s="80">
        <f t="shared" si="90"/>
        <v>0</v>
      </c>
      <c r="I305" s="80">
        <f t="shared" si="90"/>
        <v>0</v>
      </c>
      <c r="J305" s="80">
        <f t="shared" si="90"/>
        <v>0</v>
      </c>
      <c r="K305" s="80">
        <f t="shared" si="90"/>
        <v>0</v>
      </c>
      <c r="L305" s="80">
        <f>L309</f>
        <v>0</v>
      </c>
      <c r="M305" s="80">
        <f t="shared" si="90"/>
        <v>0</v>
      </c>
      <c r="N305" s="99"/>
    </row>
    <row r="306" spans="1:41" ht="30.75" hidden="1" customHeight="1" outlineLevel="1">
      <c r="A306" s="243" t="s">
        <v>128</v>
      </c>
      <c r="B306" s="265" t="s">
        <v>129</v>
      </c>
      <c r="C306" s="241" t="s">
        <v>11</v>
      </c>
      <c r="D306" s="241" t="s">
        <v>113</v>
      </c>
      <c r="E306" s="241" t="s">
        <v>13</v>
      </c>
      <c r="F306" s="85" t="s">
        <v>14</v>
      </c>
      <c r="G306" s="86">
        <f t="shared" ref="G306:M306" si="91">G307+G308+G309</f>
        <v>0</v>
      </c>
      <c r="H306" s="86">
        <f t="shared" si="91"/>
        <v>0</v>
      </c>
      <c r="I306" s="86">
        <f t="shared" si="91"/>
        <v>0</v>
      </c>
      <c r="J306" s="86">
        <f t="shared" si="91"/>
        <v>0</v>
      </c>
      <c r="K306" s="86">
        <f t="shared" si="91"/>
        <v>0</v>
      </c>
      <c r="L306" s="86">
        <f>L307+L308+L309</f>
        <v>0</v>
      </c>
      <c r="M306" s="86">
        <f t="shared" si="91"/>
        <v>0</v>
      </c>
      <c r="N306" s="318" t="s">
        <v>130</v>
      </c>
    </row>
    <row r="307" spans="1:41" ht="30.75" hidden="1" customHeight="1" outlineLevel="1">
      <c r="A307" s="244"/>
      <c r="B307" s="266"/>
      <c r="C307" s="242"/>
      <c r="D307" s="242"/>
      <c r="E307" s="242"/>
      <c r="F307" s="85" t="s">
        <v>15</v>
      </c>
      <c r="G307" s="86">
        <f>H307+I307+J307+K307+M307</f>
        <v>0</v>
      </c>
      <c r="H307" s="86">
        <v>0</v>
      </c>
      <c r="I307" s="86">
        <v>0</v>
      </c>
      <c r="J307" s="86">
        <v>0</v>
      </c>
      <c r="K307" s="86">
        <v>0</v>
      </c>
      <c r="L307" s="86">
        <v>0</v>
      </c>
      <c r="M307" s="86">
        <v>0</v>
      </c>
      <c r="N307" s="319"/>
    </row>
    <row r="308" spans="1:41" ht="30.75" hidden="1" customHeight="1" outlineLevel="1">
      <c r="A308" s="244"/>
      <c r="B308" s="266"/>
      <c r="C308" s="242"/>
      <c r="D308" s="242"/>
      <c r="E308" s="242"/>
      <c r="F308" s="85" t="s">
        <v>16</v>
      </c>
      <c r="G308" s="86">
        <f>H308+I308+J308+K308+M308</f>
        <v>0</v>
      </c>
      <c r="H308" s="86">
        <v>0</v>
      </c>
      <c r="I308" s="86">
        <v>0</v>
      </c>
      <c r="J308" s="86">
        <v>0</v>
      </c>
      <c r="K308" s="86">
        <v>0</v>
      </c>
      <c r="L308" s="86">
        <v>0</v>
      </c>
      <c r="M308" s="86">
        <v>0</v>
      </c>
      <c r="N308" s="319"/>
    </row>
    <row r="309" spans="1:41" ht="30.75" hidden="1" customHeight="1" outlineLevel="1">
      <c r="A309" s="245"/>
      <c r="B309" s="267"/>
      <c r="C309" s="252"/>
      <c r="D309" s="252"/>
      <c r="E309" s="252"/>
      <c r="F309" s="85" t="s">
        <v>17</v>
      </c>
      <c r="G309" s="86">
        <f>H309+I309+J309+K309+M309</f>
        <v>0</v>
      </c>
      <c r="H309" s="86">
        <v>0</v>
      </c>
      <c r="I309" s="86">
        <v>0</v>
      </c>
      <c r="J309" s="86">
        <v>0</v>
      </c>
      <c r="K309" s="86">
        <v>0</v>
      </c>
      <c r="L309" s="86">
        <v>0</v>
      </c>
      <c r="M309" s="86">
        <v>0</v>
      </c>
      <c r="N309" s="319"/>
    </row>
    <row r="310" spans="1:41" ht="21.75" customHeight="1" collapsed="1">
      <c r="A310" s="320" t="s">
        <v>115</v>
      </c>
      <c r="B310" s="323" t="s">
        <v>116</v>
      </c>
      <c r="C310" s="324"/>
      <c r="D310" s="324"/>
      <c r="E310" s="325"/>
      <c r="F310" s="102" t="s">
        <v>14</v>
      </c>
      <c r="G310" s="103">
        <f t="shared" ref="G310:M310" si="92">G311+G312+G313</f>
        <v>5668734002.3900003</v>
      </c>
      <c r="H310" s="103">
        <f t="shared" si="92"/>
        <v>952111245</v>
      </c>
      <c r="I310" s="103">
        <f t="shared" si="92"/>
        <v>1061957868.36</v>
      </c>
      <c r="J310" s="103">
        <f t="shared" si="92"/>
        <v>1249365484.9299998</v>
      </c>
      <c r="K310" s="103">
        <f t="shared" si="92"/>
        <v>1218607999.23</v>
      </c>
      <c r="L310" s="103">
        <f>L311+L312+L313</f>
        <v>1158031957.79</v>
      </c>
      <c r="M310" s="103">
        <f t="shared" si="92"/>
        <v>1186691404.8699999</v>
      </c>
      <c r="N310" s="99"/>
    </row>
    <row r="311" spans="1:41" ht="21.75" customHeight="1">
      <c r="A311" s="321"/>
      <c r="B311" s="326"/>
      <c r="C311" s="327"/>
      <c r="D311" s="327"/>
      <c r="E311" s="328"/>
      <c r="F311" s="102" t="s">
        <v>133</v>
      </c>
      <c r="G311" s="103">
        <f>H311+I311+J311+K311+M311</f>
        <v>1498448570.51</v>
      </c>
      <c r="H311" s="103">
        <f t="shared" ref="H311:M313" si="93">H303+H251+H227+H159+H11+H287+H295</f>
        <v>257261460.34999999</v>
      </c>
      <c r="I311" s="103">
        <f t="shared" si="93"/>
        <v>274006749.57000005</v>
      </c>
      <c r="J311" s="103">
        <f t="shared" si="93"/>
        <v>305893043.46000004</v>
      </c>
      <c r="K311" s="103">
        <f t="shared" si="93"/>
        <v>336232866.72999996</v>
      </c>
      <c r="L311" s="103">
        <f t="shared" si="93"/>
        <v>321802747.78999996</v>
      </c>
      <c r="M311" s="103">
        <f t="shared" si="93"/>
        <v>325054450.39999992</v>
      </c>
      <c r="N311" s="99"/>
    </row>
    <row r="312" spans="1:41" ht="21.75" customHeight="1">
      <c r="A312" s="321"/>
      <c r="B312" s="326"/>
      <c r="C312" s="327"/>
      <c r="D312" s="327"/>
      <c r="E312" s="328"/>
      <c r="F312" s="102" t="s">
        <v>16</v>
      </c>
      <c r="G312" s="103">
        <f>H312+I312+J312+K312+M312</f>
        <v>3779638464.5600004</v>
      </c>
      <c r="H312" s="103">
        <f t="shared" si="93"/>
        <v>674427650.64999998</v>
      </c>
      <c r="I312" s="103">
        <f t="shared" si="93"/>
        <v>721973504.32999992</v>
      </c>
      <c r="J312" s="103">
        <f t="shared" si="93"/>
        <v>762876058.57999992</v>
      </c>
      <c r="K312" s="103">
        <f t="shared" si="93"/>
        <v>805377386.53000009</v>
      </c>
      <c r="L312" s="103">
        <f t="shared" si="93"/>
        <v>788801120</v>
      </c>
      <c r="M312" s="103">
        <f t="shared" si="93"/>
        <v>814983864.47000003</v>
      </c>
      <c r="N312" s="99"/>
    </row>
    <row r="313" spans="1:41" ht="21.75" customHeight="1">
      <c r="A313" s="322"/>
      <c r="B313" s="329"/>
      <c r="C313" s="330"/>
      <c r="D313" s="330"/>
      <c r="E313" s="331"/>
      <c r="F313" s="102" t="s">
        <v>17</v>
      </c>
      <c r="G313" s="103">
        <f>H313+I313+J313+K313+M313</f>
        <v>390646967.31999993</v>
      </c>
      <c r="H313" s="103">
        <f t="shared" si="93"/>
        <v>20422134</v>
      </c>
      <c r="I313" s="103">
        <f t="shared" si="93"/>
        <v>65977614.459999993</v>
      </c>
      <c r="J313" s="103">
        <f t="shared" si="93"/>
        <v>180596382.88999999</v>
      </c>
      <c r="K313" s="103">
        <f t="shared" si="93"/>
        <v>76997745.969999999</v>
      </c>
      <c r="L313" s="103">
        <f t="shared" si="93"/>
        <v>47428090</v>
      </c>
      <c r="M313" s="103">
        <f t="shared" si="93"/>
        <v>46653090</v>
      </c>
      <c r="N313" s="99"/>
    </row>
    <row r="314" spans="1:41">
      <c r="I314" s="104">
        <f>'[12]остатки средств в ФК_9'!$R$101-1600000</f>
        <v>1061957868.36</v>
      </c>
      <c r="J314" s="104">
        <f>'[4]остатки средств в ФК_3'!$R$116</f>
        <v>1249365484.9300001</v>
      </c>
      <c r="K314" s="104">
        <f>'[14]остатки средств в ФК_3'!$R$117</f>
        <v>1218607999.23</v>
      </c>
      <c r="L314" s="104">
        <f>'[15]СРБ на план. период_1'!$T$77</f>
        <v>1158031957.79</v>
      </c>
      <c r="M314" s="104">
        <f>'[15]СРБ на план. период_1'!$U$77</f>
        <v>1186691404.8699999</v>
      </c>
    </row>
    <row r="315" spans="1:41">
      <c r="I315" s="104">
        <f>I310-I314</f>
        <v>0</v>
      </c>
      <c r="J315" s="104">
        <f>J310-J314</f>
        <v>0</v>
      </c>
      <c r="K315" s="104">
        <f>K310-K314</f>
        <v>0</v>
      </c>
      <c r="L315" s="104">
        <f>L310-L314</f>
        <v>0</v>
      </c>
      <c r="M315" s="104">
        <f>M310-M314</f>
        <v>0</v>
      </c>
    </row>
    <row r="316" spans="1:41">
      <c r="J316" s="67"/>
      <c r="L316" s="67"/>
      <c r="M316" s="67"/>
    </row>
    <row r="317" spans="1:41" s="60" customFormat="1">
      <c r="A317" s="59"/>
      <c r="B317" s="57"/>
      <c r="C317" s="58"/>
      <c r="D317" s="59"/>
      <c r="E317" s="59"/>
      <c r="F317" s="59"/>
      <c r="I317" s="67"/>
      <c r="N317" s="105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</row>
    <row r="322" spans="10:13">
      <c r="J322" s="67"/>
      <c r="K322" s="67"/>
      <c r="L322" s="67"/>
      <c r="M322" s="67"/>
    </row>
  </sheetData>
  <mergeCells count="405">
    <mergeCell ref="N306:N309"/>
    <mergeCell ref="A310:A313"/>
    <mergeCell ref="B310:E313"/>
    <mergeCell ref="N298:N301"/>
    <mergeCell ref="A302:A305"/>
    <mergeCell ref="B302:B305"/>
    <mergeCell ref="C302:C305"/>
    <mergeCell ref="E302:E305"/>
    <mergeCell ref="A306:A309"/>
    <mergeCell ref="B306:B309"/>
    <mergeCell ref="C306:C309"/>
    <mergeCell ref="D306:D309"/>
    <mergeCell ref="E306:E309"/>
    <mergeCell ref="A294:A297"/>
    <mergeCell ref="B294:B297"/>
    <mergeCell ref="C294:C297"/>
    <mergeCell ref="E294:E297"/>
    <mergeCell ref="A298:A301"/>
    <mergeCell ref="B298:B301"/>
    <mergeCell ref="C298:C301"/>
    <mergeCell ref="D298:D301"/>
    <mergeCell ref="E298:E301"/>
    <mergeCell ref="A290:A293"/>
    <mergeCell ref="B290:B293"/>
    <mergeCell ref="C290:C293"/>
    <mergeCell ref="D290:D293"/>
    <mergeCell ref="E290:E293"/>
    <mergeCell ref="N290:N293"/>
    <mergeCell ref="B282:B285"/>
    <mergeCell ref="C282:C285"/>
    <mergeCell ref="D282:D285"/>
    <mergeCell ref="E282:E285"/>
    <mergeCell ref="A286:A289"/>
    <mergeCell ref="B286:B289"/>
    <mergeCell ref="C286:C289"/>
    <mergeCell ref="E286:E289"/>
    <mergeCell ref="N254:N285"/>
    <mergeCell ref="A274:A277"/>
    <mergeCell ref="B274:B277"/>
    <mergeCell ref="C274:C277"/>
    <mergeCell ref="D274:D277"/>
    <mergeCell ref="E274:E277"/>
    <mergeCell ref="A278:A281"/>
    <mergeCell ref="B278:B281"/>
    <mergeCell ref="C278:C281"/>
    <mergeCell ref="D278:D281"/>
    <mergeCell ref="E278:E281"/>
    <mergeCell ref="A266:A269"/>
    <mergeCell ref="B266:B269"/>
    <mergeCell ref="C266:C269"/>
    <mergeCell ref="D266:D269"/>
    <mergeCell ref="E266:E269"/>
    <mergeCell ref="A270:A273"/>
    <mergeCell ref="B270:B273"/>
    <mergeCell ref="C270:C273"/>
    <mergeCell ref="D270:D273"/>
    <mergeCell ref="E270:E273"/>
    <mergeCell ref="E258:E261"/>
    <mergeCell ref="A262:A265"/>
    <mergeCell ref="B262:B265"/>
    <mergeCell ref="C262:C265"/>
    <mergeCell ref="D262:D265"/>
    <mergeCell ref="E262:E265"/>
    <mergeCell ref="A254:A257"/>
    <mergeCell ref="B254:B257"/>
    <mergeCell ref="C254:C257"/>
    <mergeCell ref="D254:D257"/>
    <mergeCell ref="E254:E257"/>
    <mergeCell ref="A258:A261"/>
    <mergeCell ref="B258:B261"/>
    <mergeCell ref="C258:C261"/>
    <mergeCell ref="D258:D261"/>
    <mergeCell ref="A250:A253"/>
    <mergeCell ref="B250:B253"/>
    <mergeCell ref="C250:C253"/>
    <mergeCell ref="D250:D253"/>
    <mergeCell ref="E250:E253"/>
    <mergeCell ref="N250:N253"/>
    <mergeCell ref="A242:A245"/>
    <mergeCell ref="B242:B245"/>
    <mergeCell ref="C242:C245"/>
    <mergeCell ref="D242:D245"/>
    <mergeCell ref="E242:E245"/>
    <mergeCell ref="A246:A249"/>
    <mergeCell ref="B246:B249"/>
    <mergeCell ref="C246:C249"/>
    <mergeCell ref="D246:D249"/>
    <mergeCell ref="E246:E249"/>
    <mergeCell ref="N226:N229"/>
    <mergeCell ref="A230:A233"/>
    <mergeCell ref="B230:B233"/>
    <mergeCell ref="C230:C233"/>
    <mergeCell ref="D230:D233"/>
    <mergeCell ref="E230:E233"/>
    <mergeCell ref="N230:N249"/>
    <mergeCell ref="A234:A237"/>
    <mergeCell ref="B234:B237"/>
    <mergeCell ref="C234:C237"/>
    <mergeCell ref="A226:A229"/>
    <mergeCell ref="B226:B229"/>
    <mergeCell ref="C226:C229"/>
    <mergeCell ref="D226:D229"/>
    <mergeCell ref="E226:E229"/>
    <mergeCell ref="D234:D237"/>
    <mergeCell ref="E234:E237"/>
    <mergeCell ref="A238:A241"/>
    <mergeCell ref="B238:B241"/>
    <mergeCell ref="C238:C241"/>
    <mergeCell ref="D238:D241"/>
    <mergeCell ref="E238:E241"/>
    <mergeCell ref="A218:A221"/>
    <mergeCell ref="B218:B221"/>
    <mergeCell ref="C218:C221"/>
    <mergeCell ref="D218:D221"/>
    <mergeCell ref="E218:E221"/>
    <mergeCell ref="B222:B225"/>
    <mergeCell ref="C222:C225"/>
    <mergeCell ref="D222:D225"/>
    <mergeCell ref="E222:E225"/>
    <mergeCell ref="A210:A213"/>
    <mergeCell ref="B210:B213"/>
    <mergeCell ref="C210:C213"/>
    <mergeCell ref="D210:D213"/>
    <mergeCell ref="E210:E213"/>
    <mergeCell ref="B214:B217"/>
    <mergeCell ref="C214:C217"/>
    <mergeCell ref="D214:D217"/>
    <mergeCell ref="E214:E217"/>
    <mergeCell ref="A202:A205"/>
    <mergeCell ref="B202:B205"/>
    <mergeCell ref="C202:C205"/>
    <mergeCell ref="D202:D205"/>
    <mergeCell ref="E202:E205"/>
    <mergeCell ref="A206:A209"/>
    <mergeCell ref="B206:B209"/>
    <mergeCell ref="C206:C209"/>
    <mergeCell ref="D206:D209"/>
    <mergeCell ref="E206:E209"/>
    <mergeCell ref="A194:A197"/>
    <mergeCell ref="B194:B197"/>
    <mergeCell ref="C194:C197"/>
    <mergeCell ref="D194:D197"/>
    <mergeCell ref="E194:E197"/>
    <mergeCell ref="A198:A201"/>
    <mergeCell ref="B198:B201"/>
    <mergeCell ref="C198:C201"/>
    <mergeCell ref="D198:D201"/>
    <mergeCell ref="E198:E201"/>
    <mergeCell ref="A186:A189"/>
    <mergeCell ref="B186:B189"/>
    <mergeCell ref="C186:C189"/>
    <mergeCell ref="D186:D189"/>
    <mergeCell ref="E186:E189"/>
    <mergeCell ref="A190:A193"/>
    <mergeCell ref="B190:B193"/>
    <mergeCell ref="C190:C193"/>
    <mergeCell ref="D190:D193"/>
    <mergeCell ref="E190:E193"/>
    <mergeCell ref="C174:C177"/>
    <mergeCell ref="D174:D177"/>
    <mergeCell ref="E174:E177"/>
    <mergeCell ref="A178:A181"/>
    <mergeCell ref="B178:B181"/>
    <mergeCell ref="C178:C181"/>
    <mergeCell ref="D178:D181"/>
    <mergeCell ref="E178:E181"/>
    <mergeCell ref="A182:A185"/>
    <mergeCell ref="B182:B185"/>
    <mergeCell ref="C182:C185"/>
    <mergeCell ref="D182:D185"/>
    <mergeCell ref="E182:E185"/>
    <mergeCell ref="N162:N225"/>
    <mergeCell ref="A166:A169"/>
    <mergeCell ref="B166:B169"/>
    <mergeCell ref="C166:C169"/>
    <mergeCell ref="D166:D169"/>
    <mergeCell ref="A158:A161"/>
    <mergeCell ref="B158:B161"/>
    <mergeCell ref="C158:C161"/>
    <mergeCell ref="D158:D161"/>
    <mergeCell ref="E158:E161"/>
    <mergeCell ref="N158:N161"/>
    <mergeCell ref="E166:E169"/>
    <mergeCell ref="A170:A173"/>
    <mergeCell ref="B170:B173"/>
    <mergeCell ref="C170:C173"/>
    <mergeCell ref="D170:D173"/>
    <mergeCell ref="E170:E173"/>
    <mergeCell ref="A162:A165"/>
    <mergeCell ref="B162:B165"/>
    <mergeCell ref="C162:C165"/>
    <mergeCell ref="D162:D165"/>
    <mergeCell ref="E162:E165"/>
    <mergeCell ref="A174:A177"/>
    <mergeCell ref="B174:B177"/>
    <mergeCell ref="A154:A157"/>
    <mergeCell ref="B154:B157"/>
    <mergeCell ref="C154:C157"/>
    <mergeCell ref="D154:D157"/>
    <mergeCell ref="E154:E157"/>
    <mergeCell ref="N154:N157"/>
    <mergeCell ref="A150:A153"/>
    <mergeCell ref="B150:B153"/>
    <mergeCell ref="C150:C153"/>
    <mergeCell ref="D150:D153"/>
    <mergeCell ref="E150:E153"/>
    <mergeCell ref="N150:N153"/>
    <mergeCell ref="A146:A149"/>
    <mergeCell ref="B146:B149"/>
    <mergeCell ref="C146:C149"/>
    <mergeCell ref="D146:D149"/>
    <mergeCell ref="E146:E149"/>
    <mergeCell ref="N146:N149"/>
    <mergeCell ref="A142:A145"/>
    <mergeCell ref="B142:B145"/>
    <mergeCell ref="C142:C145"/>
    <mergeCell ref="D142:D145"/>
    <mergeCell ref="E142:E145"/>
    <mergeCell ref="N142:N145"/>
    <mergeCell ref="N130:N133"/>
    <mergeCell ref="A126:A129"/>
    <mergeCell ref="B126:B129"/>
    <mergeCell ref="C126:C129"/>
    <mergeCell ref="D126:D129"/>
    <mergeCell ref="E126:E129"/>
    <mergeCell ref="N126:N129"/>
    <mergeCell ref="A138:A141"/>
    <mergeCell ref="B138:B141"/>
    <mergeCell ref="C138:C141"/>
    <mergeCell ref="D138:D141"/>
    <mergeCell ref="E138:E141"/>
    <mergeCell ref="N138:N141"/>
    <mergeCell ref="A134:A137"/>
    <mergeCell ref="B134:B137"/>
    <mergeCell ref="C134:C137"/>
    <mergeCell ref="D134:D137"/>
    <mergeCell ref="E134:E137"/>
    <mergeCell ref="N134:N137"/>
    <mergeCell ref="A122:A125"/>
    <mergeCell ref="B122:B125"/>
    <mergeCell ref="C122:C125"/>
    <mergeCell ref="D122:D125"/>
    <mergeCell ref="E122:E125"/>
    <mergeCell ref="A130:A133"/>
    <mergeCell ref="B130:B133"/>
    <mergeCell ref="C130:C133"/>
    <mergeCell ref="D130:D133"/>
    <mergeCell ref="E130:E133"/>
    <mergeCell ref="C110:C113"/>
    <mergeCell ref="D110:D113"/>
    <mergeCell ref="E110:E113"/>
    <mergeCell ref="A114:A117"/>
    <mergeCell ref="B114:B117"/>
    <mergeCell ref="C114:C117"/>
    <mergeCell ref="D114:D117"/>
    <mergeCell ref="E114:E117"/>
    <mergeCell ref="A118:A121"/>
    <mergeCell ref="B118:B121"/>
    <mergeCell ref="C118:C121"/>
    <mergeCell ref="D118:D121"/>
    <mergeCell ref="E118:E121"/>
    <mergeCell ref="N98:N125"/>
    <mergeCell ref="A102:A105"/>
    <mergeCell ref="B102:B105"/>
    <mergeCell ref="C102:C105"/>
    <mergeCell ref="D102:D105"/>
    <mergeCell ref="A94:A97"/>
    <mergeCell ref="B94:B97"/>
    <mergeCell ref="C94:C97"/>
    <mergeCell ref="D94:D97"/>
    <mergeCell ref="E94:E97"/>
    <mergeCell ref="N94:N97"/>
    <mergeCell ref="E102:E105"/>
    <mergeCell ref="A106:A109"/>
    <mergeCell ref="B106:B109"/>
    <mergeCell ref="C106:C109"/>
    <mergeCell ref="D106:D109"/>
    <mergeCell ref="E106:E109"/>
    <mergeCell ref="A98:A101"/>
    <mergeCell ref="B98:B101"/>
    <mergeCell ref="C98:C101"/>
    <mergeCell ref="D98:D101"/>
    <mergeCell ref="E98:E101"/>
    <mergeCell ref="A110:A113"/>
    <mergeCell ref="B110:B113"/>
    <mergeCell ref="A86:A89"/>
    <mergeCell ref="B86:B89"/>
    <mergeCell ref="C86:C89"/>
    <mergeCell ref="D86:D89"/>
    <mergeCell ref="E86:E89"/>
    <mergeCell ref="A90:A93"/>
    <mergeCell ref="B90:B93"/>
    <mergeCell ref="C90:C93"/>
    <mergeCell ref="D90:D93"/>
    <mergeCell ref="E90:E93"/>
    <mergeCell ref="A78:A81"/>
    <mergeCell ref="B78:B81"/>
    <mergeCell ref="C78:C81"/>
    <mergeCell ref="D78:D81"/>
    <mergeCell ref="E78:E81"/>
    <mergeCell ref="A82:A85"/>
    <mergeCell ref="B82:B85"/>
    <mergeCell ref="C82:C85"/>
    <mergeCell ref="D82:D85"/>
    <mergeCell ref="E82:E85"/>
    <mergeCell ref="A70:A73"/>
    <mergeCell ref="B70:B73"/>
    <mergeCell ref="C70:C73"/>
    <mergeCell ref="D70:D73"/>
    <mergeCell ref="E70:E73"/>
    <mergeCell ref="A74:A77"/>
    <mergeCell ref="B74:B77"/>
    <mergeCell ref="C74:C77"/>
    <mergeCell ref="D74:D77"/>
    <mergeCell ref="E74:E77"/>
    <mergeCell ref="A62:A65"/>
    <mergeCell ref="B62:B65"/>
    <mergeCell ref="C62:C65"/>
    <mergeCell ref="D62:D65"/>
    <mergeCell ref="E62:E65"/>
    <mergeCell ref="A66:A69"/>
    <mergeCell ref="B66:B69"/>
    <mergeCell ref="C66:C69"/>
    <mergeCell ref="D66:D69"/>
    <mergeCell ref="E66:E69"/>
    <mergeCell ref="A54:A57"/>
    <mergeCell ref="B54:B57"/>
    <mergeCell ref="C54:C57"/>
    <mergeCell ref="D54:D57"/>
    <mergeCell ref="E54:E57"/>
    <mergeCell ref="A58:A61"/>
    <mergeCell ref="B58:B61"/>
    <mergeCell ref="C58:C61"/>
    <mergeCell ref="D58:D61"/>
    <mergeCell ref="E58:E61"/>
    <mergeCell ref="C34:C37"/>
    <mergeCell ref="D34:D37"/>
    <mergeCell ref="E34:E37"/>
    <mergeCell ref="A46:A49"/>
    <mergeCell ref="B46:B49"/>
    <mergeCell ref="C46:C49"/>
    <mergeCell ref="D46:D49"/>
    <mergeCell ref="E46:E49"/>
    <mergeCell ref="A50:A53"/>
    <mergeCell ref="B50:B53"/>
    <mergeCell ref="C50:C53"/>
    <mergeCell ref="D50:D53"/>
    <mergeCell ref="E50:E53"/>
    <mergeCell ref="N34:N93"/>
    <mergeCell ref="A38:A41"/>
    <mergeCell ref="B38:B41"/>
    <mergeCell ref="C38:C41"/>
    <mergeCell ref="D38:D41"/>
    <mergeCell ref="A26:A29"/>
    <mergeCell ref="B26:B29"/>
    <mergeCell ref="C26:C29"/>
    <mergeCell ref="D26:D29"/>
    <mergeCell ref="E26:E29"/>
    <mergeCell ref="A30:A33"/>
    <mergeCell ref="B30:B33"/>
    <mergeCell ref="C30:C33"/>
    <mergeCell ref="D30:D33"/>
    <mergeCell ref="E30:E33"/>
    <mergeCell ref="N14:N33"/>
    <mergeCell ref="E38:E41"/>
    <mergeCell ref="A42:A45"/>
    <mergeCell ref="B42:B45"/>
    <mergeCell ref="C42:C45"/>
    <mergeCell ref="D42:D45"/>
    <mergeCell ref="E42:E45"/>
    <mergeCell ref="A34:A37"/>
    <mergeCell ref="B34:B37"/>
    <mergeCell ref="E18:E21"/>
    <mergeCell ref="A22:A25"/>
    <mergeCell ref="B22:B25"/>
    <mergeCell ref="C22:C25"/>
    <mergeCell ref="D22:D25"/>
    <mergeCell ref="E22:E25"/>
    <mergeCell ref="A14:A17"/>
    <mergeCell ref="B14:B17"/>
    <mergeCell ref="C14:C17"/>
    <mergeCell ref="D14:D17"/>
    <mergeCell ref="E14:E17"/>
    <mergeCell ref="A18:A21"/>
    <mergeCell ref="B18:B21"/>
    <mergeCell ref="C18:C21"/>
    <mergeCell ref="D18:D21"/>
    <mergeCell ref="G7:M7"/>
    <mergeCell ref="N7:N8"/>
    <mergeCell ref="A10:A13"/>
    <mergeCell ref="B10:B13"/>
    <mergeCell ref="C10:C13"/>
    <mergeCell ref="D10:D13"/>
    <mergeCell ref="E10:E13"/>
    <mergeCell ref="N10:N13"/>
    <mergeCell ref="K1:N1"/>
    <mergeCell ref="B2:K2"/>
    <mergeCell ref="B3:K3"/>
    <mergeCell ref="B4:K4"/>
    <mergeCell ref="A7:A8"/>
    <mergeCell ref="B7:B8"/>
    <mergeCell ref="C7:C8"/>
    <mergeCell ref="D7:D8"/>
    <mergeCell ref="E7:E8"/>
    <mergeCell ref="F7:F8"/>
  </mergeCells>
  <pageMargins left="0.70866141732283472" right="0.31496062992125984" top="0.35433070866141736" bottom="0.35433070866141736" header="0.31496062992125984" footer="0.31496062992125984"/>
  <pageSetup paperSize="9" scale="41" fitToHeight="5" orientation="landscape" r:id="rId1"/>
  <rowBreaks count="3" manualBreakCount="3">
    <brk id="85" max="12" man="1"/>
    <brk id="125" max="12" man="1"/>
    <brk id="257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O322"/>
  <sheetViews>
    <sheetView tabSelected="1" view="pageBreakPreview" zoomScale="80" zoomScaleNormal="100" zoomScaleSheetLayoutView="80" workbookViewId="0">
      <pane xSplit="7" ySplit="8" topLeftCell="I9" activePane="bottomRight" state="frozen"/>
      <selection pane="topRight" activeCell="G1" sqref="G1"/>
      <selection pane="bottomLeft" activeCell="A8" sqref="A8"/>
      <selection pane="bottomRight" activeCell="N2" sqref="N2"/>
    </sheetView>
  </sheetViews>
  <sheetFormatPr defaultRowHeight="16.5" outlineLevelRow="1" outlineLevelCol="1"/>
  <cols>
    <col min="1" max="1" width="8" style="2" customWidth="1"/>
    <col min="2" max="2" width="52.42578125" style="14" customWidth="1"/>
    <col min="3" max="3" width="14.28515625" style="13" customWidth="1" outlineLevel="1"/>
    <col min="4" max="4" width="18.7109375" style="2" customWidth="1" outlineLevel="1"/>
    <col min="5" max="5" width="10.85546875" style="2" customWidth="1" outlineLevel="1"/>
    <col min="6" max="6" width="26.85546875" style="2" customWidth="1"/>
    <col min="7" max="13" width="19.42578125" style="17" customWidth="1"/>
    <col min="14" max="14" width="65.7109375" style="27" customWidth="1" outlineLevel="1"/>
    <col min="15" max="15" width="20.7109375" style="2" customWidth="1"/>
    <col min="16" max="16" width="17.140625" style="2" hidden="1" customWidth="1"/>
    <col min="17" max="17" width="13" style="2" hidden="1" customWidth="1"/>
    <col min="18" max="18" width="11.7109375" style="2" hidden="1" customWidth="1"/>
    <col min="19" max="23" width="9.140625" style="2" hidden="1" customWidth="1"/>
    <col min="24" max="25" width="9.140625" style="2"/>
    <col min="26" max="26" width="11.7109375" style="2" bestFit="1" customWidth="1"/>
    <col min="27" max="16384" width="9.140625" style="2"/>
  </cols>
  <sheetData>
    <row r="1" spans="1:17">
      <c r="A1" s="1"/>
      <c r="K1" s="214" t="s">
        <v>131</v>
      </c>
      <c r="L1" s="214"/>
      <c r="M1" s="214"/>
      <c r="N1" s="214"/>
      <c r="O1" s="3"/>
      <c r="P1" s="3"/>
      <c r="Q1" s="3"/>
    </row>
    <row r="2" spans="1:17">
      <c r="A2" s="1"/>
      <c r="B2" s="215" t="s">
        <v>0</v>
      </c>
      <c r="C2" s="215"/>
      <c r="D2" s="215"/>
      <c r="E2" s="215"/>
      <c r="F2" s="215"/>
      <c r="G2" s="215"/>
      <c r="H2" s="215"/>
      <c r="I2" s="215"/>
      <c r="J2" s="215"/>
      <c r="K2" s="215"/>
      <c r="L2" s="18"/>
      <c r="M2" s="18"/>
      <c r="N2" s="24" t="s">
        <v>158</v>
      </c>
      <c r="O2" s="3"/>
    </row>
    <row r="3" spans="1:17">
      <c r="A3" s="1"/>
      <c r="B3" s="215" t="s">
        <v>1</v>
      </c>
      <c r="C3" s="215"/>
      <c r="D3" s="215"/>
      <c r="E3" s="215"/>
      <c r="F3" s="215"/>
      <c r="G3" s="215"/>
      <c r="H3" s="215"/>
      <c r="I3" s="215"/>
      <c r="J3" s="215"/>
      <c r="K3" s="215"/>
      <c r="L3" s="19"/>
      <c r="M3" s="19"/>
      <c r="N3" s="24" t="s">
        <v>135</v>
      </c>
    </row>
    <row r="4" spans="1:17" ht="15.75" customHeight="1">
      <c r="A4" s="1"/>
      <c r="B4" s="215" t="s">
        <v>134</v>
      </c>
      <c r="C4" s="215"/>
      <c r="D4" s="215"/>
      <c r="E4" s="215"/>
      <c r="F4" s="215"/>
      <c r="G4" s="215"/>
      <c r="H4" s="215"/>
      <c r="I4" s="215"/>
      <c r="J4" s="215"/>
      <c r="K4" s="215"/>
      <c r="L4" s="20"/>
      <c r="M4" s="20"/>
      <c r="N4" s="25"/>
    </row>
    <row r="5" spans="1:17">
      <c r="A5" s="1"/>
      <c r="H5" s="30"/>
      <c r="I5" s="33">
        <f t="shared" ref="I5:J5" si="0">I20+I40+I44+I48+I52+I96+I104+I116</f>
        <v>628554600</v>
      </c>
      <c r="J5" s="33">
        <f t="shared" si="0"/>
        <v>651853900</v>
      </c>
      <c r="K5" s="33">
        <f>K20+K40+K44+K48+K52+K96+K104+K116</f>
        <v>693763300.00000012</v>
      </c>
      <c r="L5" s="33">
        <f t="shared" ref="L5:M5" si="1">L20+L40+L44+L48+L52+L96+L104+L116</f>
        <v>715126400</v>
      </c>
      <c r="M5" s="33">
        <f t="shared" si="1"/>
        <v>730443300</v>
      </c>
      <c r="N5" s="47" t="s">
        <v>117</v>
      </c>
    </row>
    <row r="6" spans="1:17">
      <c r="A6" s="1"/>
      <c r="H6" s="30"/>
      <c r="I6" s="33"/>
      <c r="J6" s="46">
        <f>J28+J88+J124-2040.87</f>
        <v>66322571</v>
      </c>
      <c r="K6" s="46">
        <f>K28+K88+K124-1300.84</f>
        <v>52591117.160000004</v>
      </c>
      <c r="L6" s="46">
        <f>L28+L88+L124</f>
        <v>56830782.090000004</v>
      </c>
      <c r="M6" s="46">
        <f>M28+M88+M124</f>
        <v>46395292.390000001</v>
      </c>
      <c r="N6" s="47" t="s">
        <v>118</v>
      </c>
    </row>
    <row r="7" spans="1:17" s="28" customFormat="1" ht="21.75" customHeight="1">
      <c r="A7" s="202" t="s">
        <v>2</v>
      </c>
      <c r="B7" s="202" t="s">
        <v>3</v>
      </c>
      <c r="C7" s="202" t="s">
        <v>4</v>
      </c>
      <c r="D7" s="202" t="s">
        <v>5</v>
      </c>
      <c r="E7" s="202" t="s">
        <v>6</v>
      </c>
      <c r="F7" s="202" t="s">
        <v>7</v>
      </c>
      <c r="G7" s="199" t="s">
        <v>8</v>
      </c>
      <c r="H7" s="200"/>
      <c r="I7" s="200"/>
      <c r="J7" s="200"/>
      <c r="K7" s="200"/>
      <c r="L7" s="200"/>
      <c r="M7" s="201"/>
      <c r="N7" s="202" t="s">
        <v>9</v>
      </c>
    </row>
    <row r="8" spans="1:17" s="28" customFormat="1" ht="21.75" customHeight="1">
      <c r="A8" s="203"/>
      <c r="B8" s="203"/>
      <c r="C8" s="203"/>
      <c r="D8" s="203"/>
      <c r="E8" s="203"/>
      <c r="F8" s="203"/>
      <c r="G8" s="16" t="s">
        <v>10</v>
      </c>
      <c r="H8" s="15">
        <v>2020</v>
      </c>
      <c r="I8" s="29">
        <v>2021</v>
      </c>
      <c r="J8" s="15">
        <v>2022</v>
      </c>
      <c r="K8" s="15">
        <v>2023</v>
      </c>
      <c r="L8" s="15">
        <v>2024</v>
      </c>
      <c r="M8" s="15">
        <v>2025</v>
      </c>
      <c r="N8" s="203"/>
    </row>
    <row r="9" spans="1:17" s="13" customFormat="1" ht="21.75" customHeight="1">
      <c r="A9" s="4">
        <v>1</v>
      </c>
      <c r="B9" s="5">
        <v>2</v>
      </c>
      <c r="C9" s="5">
        <v>3</v>
      </c>
      <c r="D9" s="5"/>
      <c r="E9" s="5">
        <v>4</v>
      </c>
      <c r="F9" s="5">
        <v>5</v>
      </c>
      <c r="G9" s="21">
        <v>6</v>
      </c>
      <c r="H9" s="21">
        <v>9</v>
      </c>
      <c r="I9" s="21">
        <v>10</v>
      </c>
      <c r="J9" s="21">
        <v>10</v>
      </c>
      <c r="K9" s="21">
        <v>9</v>
      </c>
      <c r="L9" s="21">
        <v>10</v>
      </c>
      <c r="M9" s="21">
        <v>10</v>
      </c>
      <c r="N9" s="26">
        <v>11</v>
      </c>
    </row>
    <row r="10" spans="1:17" ht="30.75" customHeight="1">
      <c r="A10" s="126"/>
      <c r="B10" s="204" t="s">
        <v>146</v>
      </c>
      <c r="C10" s="132" t="s">
        <v>11</v>
      </c>
      <c r="D10" s="166" t="s">
        <v>12</v>
      </c>
      <c r="E10" s="132" t="s">
        <v>153</v>
      </c>
      <c r="F10" s="34" t="s">
        <v>14</v>
      </c>
      <c r="G10" s="35">
        <f t="shared" ref="G10:M10" si="2">G11+G12+G13</f>
        <v>5189174374.1599998</v>
      </c>
      <c r="H10" s="35">
        <f t="shared" si="2"/>
        <v>902432622.35000002</v>
      </c>
      <c r="I10" s="35">
        <f t="shared" si="2"/>
        <v>991516352.55999994</v>
      </c>
      <c r="J10" s="35">
        <f t="shared" si="2"/>
        <v>1053096145.1899999</v>
      </c>
      <c r="K10" s="35">
        <f t="shared" si="2"/>
        <v>1108075911.8699999</v>
      </c>
      <c r="L10" s="35">
        <f>L11+L12+L13</f>
        <v>1126127747.6700001</v>
      </c>
      <c r="M10" s="35">
        <f t="shared" si="2"/>
        <v>1134053342.1900001</v>
      </c>
      <c r="N10" s="207"/>
      <c r="O10" s="3"/>
    </row>
    <row r="11" spans="1:17" ht="30.75" customHeight="1">
      <c r="A11" s="127"/>
      <c r="B11" s="205"/>
      <c r="C11" s="133"/>
      <c r="D11" s="172"/>
      <c r="E11" s="133"/>
      <c r="F11" s="34" t="s">
        <v>133</v>
      </c>
      <c r="G11" s="35">
        <f>H11+I11+J11+K11+M11</f>
        <v>1348061248.3299999</v>
      </c>
      <c r="H11" s="36">
        <f t="shared" ref="H11:M13" si="3">H15+H35+H99+H127</f>
        <v>230451855.84</v>
      </c>
      <c r="I11" s="36">
        <f t="shared" si="3"/>
        <v>245028859.64000005</v>
      </c>
      <c r="J11" s="36">
        <f t="shared" si="3"/>
        <v>273217094.64000005</v>
      </c>
      <c r="K11" s="36">
        <f t="shared" si="3"/>
        <v>301909634.28999996</v>
      </c>
      <c r="L11" s="36">
        <f t="shared" si="3"/>
        <v>295069013.06999999</v>
      </c>
      <c r="M11" s="36">
        <f t="shared" si="3"/>
        <v>297453803.91999996</v>
      </c>
      <c r="N11" s="208"/>
      <c r="O11" s="3"/>
    </row>
    <row r="12" spans="1:17" ht="30.75" customHeight="1">
      <c r="A12" s="127"/>
      <c r="B12" s="205"/>
      <c r="C12" s="133"/>
      <c r="D12" s="172"/>
      <c r="E12" s="133"/>
      <c r="F12" s="34" t="s">
        <v>16</v>
      </c>
      <c r="G12" s="35">
        <f>H12+I12+J12+K12+M12</f>
        <v>3638600074.9399996</v>
      </c>
      <c r="H12" s="36">
        <f t="shared" si="3"/>
        <v>655000266.50999999</v>
      </c>
      <c r="I12" s="36">
        <f t="shared" si="3"/>
        <v>701159642.91999996</v>
      </c>
      <c r="J12" s="36">
        <f t="shared" si="3"/>
        <v>733922349.65999997</v>
      </c>
      <c r="K12" s="36">
        <f t="shared" si="3"/>
        <v>758571367.58000004</v>
      </c>
      <c r="L12" s="36">
        <f t="shared" si="3"/>
        <v>783630644.60000002</v>
      </c>
      <c r="M12" s="36">
        <f t="shared" si="3"/>
        <v>789946448.26999998</v>
      </c>
      <c r="N12" s="208"/>
      <c r="O12" s="3"/>
    </row>
    <row r="13" spans="1:17" ht="30.75" customHeight="1">
      <c r="A13" s="128"/>
      <c r="B13" s="206"/>
      <c r="C13" s="134"/>
      <c r="D13" s="173"/>
      <c r="E13" s="134"/>
      <c r="F13" s="34" t="s">
        <v>17</v>
      </c>
      <c r="G13" s="35">
        <f>H13+I13+J13+K13+M13</f>
        <v>202513050.88999999</v>
      </c>
      <c r="H13" s="36">
        <f t="shared" si="3"/>
        <v>16980500</v>
      </c>
      <c r="I13" s="36">
        <f t="shared" si="3"/>
        <v>45327850</v>
      </c>
      <c r="J13" s="36">
        <f t="shared" si="3"/>
        <v>45956700.890000001</v>
      </c>
      <c r="K13" s="36">
        <f t="shared" si="3"/>
        <v>47594910</v>
      </c>
      <c r="L13" s="36">
        <f t="shared" si="3"/>
        <v>47428090</v>
      </c>
      <c r="M13" s="36">
        <f t="shared" si="3"/>
        <v>46653090</v>
      </c>
      <c r="N13" s="209"/>
      <c r="O13" s="3"/>
    </row>
    <row r="14" spans="1:17" ht="21.75" customHeight="1">
      <c r="A14" s="210"/>
      <c r="B14" s="212" t="s">
        <v>19</v>
      </c>
      <c r="C14" s="189" t="s">
        <v>11</v>
      </c>
      <c r="D14" s="192" t="s">
        <v>12</v>
      </c>
      <c r="E14" s="189" t="s">
        <v>153</v>
      </c>
      <c r="F14" s="37" t="s">
        <v>14</v>
      </c>
      <c r="G14" s="38">
        <f t="shared" ref="G14:M14" si="4">G15+G16+G17</f>
        <v>1669113553.77</v>
      </c>
      <c r="H14" s="38">
        <f t="shared" si="4"/>
        <v>300538053.05000001</v>
      </c>
      <c r="I14" s="38">
        <f t="shared" si="4"/>
        <v>317314159.79000002</v>
      </c>
      <c r="J14" s="38">
        <f t="shared" si="4"/>
        <v>337089422.34000003</v>
      </c>
      <c r="K14" s="38">
        <f t="shared" si="4"/>
        <v>352835781.54000002</v>
      </c>
      <c r="L14" s="38">
        <f>L15+L16+L17</f>
        <v>357816487.05000001</v>
      </c>
      <c r="M14" s="38">
        <f t="shared" si="4"/>
        <v>361336137.05000001</v>
      </c>
      <c r="N14" s="106" t="s">
        <v>20</v>
      </c>
      <c r="O14" s="3"/>
    </row>
    <row r="15" spans="1:17" ht="21.75" customHeight="1">
      <c r="A15" s="211"/>
      <c r="B15" s="213"/>
      <c r="C15" s="190"/>
      <c r="D15" s="193"/>
      <c r="E15" s="190"/>
      <c r="F15" s="37" t="s">
        <v>133</v>
      </c>
      <c r="G15" s="38">
        <f>H15+I15+J15+K15+M15</f>
        <v>536168214.35000002</v>
      </c>
      <c r="H15" s="39">
        <f t="shared" ref="H15:M17" si="5">H19+H23+H27+H31</f>
        <v>96147672.620000005</v>
      </c>
      <c r="I15" s="39">
        <f t="shared" si="5"/>
        <v>99727111.450000003</v>
      </c>
      <c r="J15" s="39">
        <f>J19+J23+J27+J31</f>
        <v>106478462.18000001</v>
      </c>
      <c r="K15" s="39">
        <f t="shared" si="5"/>
        <v>116907484.05</v>
      </c>
      <c r="L15" s="39">
        <f>L19+L23+L27+L31</f>
        <v>115907484.05</v>
      </c>
      <c r="M15" s="39">
        <f t="shared" si="5"/>
        <v>116907484.05</v>
      </c>
      <c r="N15" s="107"/>
      <c r="O15" s="3"/>
    </row>
    <row r="16" spans="1:17" ht="21.75" customHeight="1">
      <c r="A16" s="211"/>
      <c r="B16" s="213"/>
      <c r="C16" s="190"/>
      <c r="D16" s="193"/>
      <c r="E16" s="190"/>
      <c r="F16" s="37" t="s">
        <v>16</v>
      </c>
      <c r="G16" s="38">
        <f>H16+I16+J16+K16+M16</f>
        <v>1132945339.4200001</v>
      </c>
      <c r="H16" s="39">
        <f t="shared" si="5"/>
        <v>204390380.43000001</v>
      </c>
      <c r="I16" s="39">
        <f t="shared" si="5"/>
        <v>217587048.34</v>
      </c>
      <c r="J16" s="39">
        <f>J20+J24+J28+J32</f>
        <v>230610960.16</v>
      </c>
      <c r="K16" s="39">
        <f t="shared" si="5"/>
        <v>235928297.49000001</v>
      </c>
      <c r="L16" s="39">
        <f>L20+L24+L28+L32</f>
        <v>241909003</v>
      </c>
      <c r="M16" s="39">
        <f t="shared" si="5"/>
        <v>244428653</v>
      </c>
      <c r="N16" s="107"/>
      <c r="O16" s="3"/>
    </row>
    <row r="17" spans="1:18" ht="21.75" customHeight="1">
      <c r="A17" s="211"/>
      <c r="B17" s="213"/>
      <c r="C17" s="190"/>
      <c r="D17" s="194"/>
      <c r="E17" s="190"/>
      <c r="F17" s="37" t="s">
        <v>17</v>
      </c>
      <c r="G17" s="38">
        <f>H17+I17+J17+K17+M17</f>
        <v>0</v>
      </c>
      <c r="H17" s="39">
        <f t="shared" si="5"/>
        <v>0</v>
      </c>
      <c r="I17" s="39">
        <f t="shared" si="5"/>
        <v>0</v>
      </c>
      <c r="J17" s="39">
        <f t="shared" si="5"/>
        <v>0</v>
      </c>
      <c r="K17" s="39">
        <f t="shared" si="5"/>
        <v>0</v>
      </c>
      <c r="L17" s="39">
        <f>L21+L25+L29+L33</f>
        <v>0</v>
      </c>
      <c r="M17" s="39">
        <f t="shared" si="5"/>
        <v>0</v>
      </c>
      <c r="N17" s="107"/>
      <c r="O17" s="3"/>
    </row>
    <row r="18" spans="1:18" ht="21.75" customHeight="1">
      <c r="A18" s="198" t="s">
        <v>18</v>
      </c>
      <c r="B18" s="195" t="s">
        <v>21</v>
      </c>
      <c r="C18" s="114" t="s">
        <v>11</v>
      </c>
      <c r="D18" s="117" t="s">
        <v>12</v>
      </c>
      <c r="E18" s="114" t="s">
        <v>153</v>
      </c>
      <c r="F18" s="12" t="s">
        <v>14</v>
      </c>
      <c r="G18" s="22">
        <f t="shared" ref="G18:M18" si="6">G19+G20+G21</f>
        <v>1522431756.1000001</v>
      </c>
      <c r="H18" s="22">
        <f t="shared" si="6"/>
        <v>271519528.05000001</v>
      </c>
      <c r="I18" s="22">
        <f t="shared" si="6"/>
        <v>286861735.72000003</v>
      </c>
      <c r="J18" s="48">
        <f t="shared" si="6"/>
        <v>302324793.74000001</v>
      </c>
      <c r="K18" s="22">
        <f t="shared" si="6"/>
        <v>326189831.54000002</v>
      </c>
      <c r="L18" s="22">
        <f>L19+L20+L21</f>
        <v>329935057.05000001</v>
      </c>
      <c r="M18" s="22">
        <f t="shared" si="6"/>
        <v>335535867.05000001</v>
      </c>
      <c r="N18" s="107"/>
      <c r="O18" s="3"/>
    </row>
    <row r="19" spans="1:18" ht="21.75" customHeight="1">
      <c r="A19" s="109"/>
      <c r="B19" s="196"/>
      <c r="C19" s="115"/>
      <c r="D19" s="118"/>
      <c r="E19" s="115"/>
      <c r="F19" s="12" t="s">
        <v>133</v>
      </c>
      <c r="G19" s="22">
        <f>H19+I19+J19+K19+M19</f>
        <v>532256284.19000006</v>
      </c>
      <c r="H19" s="22">
        <v>95367218.620000005</v>
      </c>
      <c r="I19" s="22">
        <f>98500729.44+251771.78</f>
        <v>98752501.219999999</v>
      </c>
      <c r="J19" s="48">
        <v>105878296.25</v>
      </c>
      <c r="K19" s="22">
        <v>116129134.05</v>
      </c>
      <c r="L19" s="22">
        <v>115129134.05</v>
      </c>
      <c r="M19" s="22">
        <v>116129134.05</v>
      </c>
      <c r="N19" s="107"/>
      <c r="O19" s="3"/>
    </row>
    <row r="20" spans="1:18" ht="21.75" customHeight="1">
      <c r="A20" s="109"/>
      <c r="B20" s="196"/>
      <c r="C20" s="115"/>
      <c r="D20" s="118"/>
      <c r="E20" s="115"/>
      <c r="F20" s="12" t="s">
        <v>16</v>
      </c>
      <c r="G20" s="22">
        <f>H20+I20+J20+K20+M20</f>
        <v>990175471.91000009</v>
      </c>
      <c r="H20" s="22">
        <f>176152309.43</f>
        <v>176152309.43000001</v>
      </c>
      <c r="I20" s="22">
        <f>188109234.5</f>
        <v>188109234.5</v>
      </c>
      <c r="J20" s="48">
        <f>193465907+2980590.49</f>
        <v>196446497.49000001</v>
      </c>
      <c r="K20" s="22">
        <f>'[16]СРБ на план. период_1'!$T$22</f>
        <v>210060697.49000001</v>
      </c>
      <c r="L20" s="22">
        <v>214805923</v>
      </c>
      <c r="M20" s="22">
        <v>219406733</v>
      </c>
      <c r="N20" s="107"/>
      <c r="O20" s="3"/>
    </row>
    <row r="21" spans="1:18" ht="21.75" customHeight="1">
      <c r="A21" s="109"/>
      <c r="B21" s="196"/>
      <c r="C21" s="115"/>
      <c r="D21" s="119"/>
      <c r="E21" s="115"/>
      <c r="F21" s="12" t="s">
        <v>17</v>
      </c>
      <c r="G21" s="22">
        <f>H21+I21+J21+K21+M21</f>
        <v>0</v>
      </c>
      <c r="H21" s="22">
        <v>0</v>
      </c>
      <c r="I21" s="22">
        <v>0</v>
      </c>
      <c r="J21" s="48">
        <v>0</v>
      </c>
      <c r="K21" s="22">
        <v>0</v>
      </c>
      <c r="L21" s="22">
        <v>0</v>
      </c>
      <c r="M21" s="22"/>
      <c r="N21" s="107"/>
      <c r="O21" s="3"/>
    </row>
    <row r="22" spans="1:18" ht="21.75" customHeight="1">
      <c r="A22" s="108" t="s">
        <v>128</v>
      </c>
      <c r="B22" s="195" t="s">
        <v>22</v>
      </c>
      <c r="C22" s="114" t="s">
        <v>11</v>
      </c>
      <c r="D22" s="117" t="s">
        <v>12</v>
      </c>
      <c r="E22" s="114" t="s">
        <v>153</v>
      </c>
      <c r="F22" s="12" t="s">
        <v>14</v>
      </c>
      <c r="G22" s="22">
        <f t="shared" ref="G22:M22" si="7">G23+G24+G25</f>
        <v>3911930.16</v>
      </c>
      <c r="H22" s="22">
        <f t="shared" si="7"/>
        <v>780454</v>
      </c>
      <c r="I22" s="22">
        <f t="shared" si="7"/>
        <v>974610.2300000001</v>
      </c>
      <c r="J22" s="48">
        <f t="shared" si="7"/>
        <v>600165.93000000005</v>
      </c>
      <c r="K22" s="22">
        <f t="shared" si="7"/>
        <v>778350</v>
      </c>
      <c r="L22" s="22">
        <f>L23+L24+L25</f>
        <v>778350</v>
      </c>
      <c r="M22" s="22">
        <f t="shared" si="7"/>
        <v>778350</v>
      </c>
      <c r="N22" s="107"/>
      <c r="O22" s="3"/>
    </row>
    <row r="23" spans="1:18" ht="21.75" customHeight="1">
      <c r="A23" s="109"/>
      <c r="B23" s="196"/>
      <c r="C23" s="115"/>
      <c r="D23" s="118"/>
      <c r="E23" s="115"/>
      <c r="F23" s="12" t="s">
        <v>133</v>
      </c>
      <c r="G23" s="22">
        <f>H23+I23+J23+K23+M23</f>
        <v>3911930.16</v>
      </c>
      <c r="H23" s="22">
        <v>780454</v>
      </c>
      <c r="I23" s="22">
        <f>858767.75+78575.57+37266.91</f>
        <v>974610.2300000001</v>
      </c>
      <c r="J23" s="48">
        <v>600165.93000000005</v>
      </c>
      <c r="K23" s="22">
        <v>778350</v>
      </c>
      <c r="L23" s="22">
        <v>778350</v>
      </c>
      <c r="M23" s="22">
        <v>778350</v>
      </c>
      <c r="N23" s="107"/>
      <c r="O23" s="3"/>
      <c r="R23" s="3"/>
    </row>
    <row r="24" spans="1:18" ht="21.75" customHeight="1">
      <c r="A24" s="109"/>
      <c r="B24" s="196"/>
      <c r="C24" s="115"/>
      <c r="D24" s="118"/>
      <c r="E24" s="115"/>
      <c r="F24" s="12" t="s">
        <v>16</v>
      </c>
      <c r="G24" s="22">
        <f>H24+I24+J24+K24+M24</f>
        <v>0</v>
      </c>
      <c r="H24" s="22">
        <v>0</v>
      </c>
      <c r="I24" s="22">
        <v>0</v>
      </c>
      <c r="J24" s="48">
        <v>0</v>
      </c>
      <c r="K24" s="22">
        <v>0</v>
      </c>
      <c r="L24" s="22">
        <v>0</v>
      </c>
      <c r="M24" s="22"/>
      <c r="N24" s="107"/>
      <c r="O24" s="3"/>
    </row>
    <row r="25" spans="1:18" ht="21.75" customHeight="1">
      <c r="A25" s="110"/>
      <c r="B25" s="197"/>
      <c r="C25" s="115"/>
      <c r="D25" s="119"/>
      <c r="E25" s="116"/>
      <c r="F25" s="12" t="s">
        <v>17</v>
      </c>
      <c r="G25" s="22">
        <f>H25+I25+J25+K25+M25</f>
        <v>0</v>
      </c>
      <c r="H25" s="22">
        <v>0</v>
      </c>
      <c r="I25" s="22">
        <v>0</v>
      </c>
      <c r="J25" s="48">
        <v>0</v>
      </c>
      <c r="K25" s="22">
        <v>0</v>
      </c>
      <c r="L25" s="22">
        <v>0</v>
      </c>
      <c r="M25" s="22"/>
      <c r="N25" s="107"/>
      <c r="O25" s="3"/>
    </row>
    <row r="26" spans="1:18" ht="21.75" customHeight="1">
      <c r="A26" s="108" t="s">
        <v>144</v>
      </c>
      <c r="B26" s="195" t="s">
        <v>23</v>
      </c>
      <c r="C26" s="114" t="s">
        <v>11</v>
      </c>
      <c r="D26" s="117" t="s">
        <v>12</v>
      </c>
      <c r="E26" s="114" t="s">
        <v>153</v>
      </c>
      <c r="F26" s="12" t="s">
        <v>14</v>
      </c>
      <c r="G26" s="22">
        <f t="shared" ref="G26:M26" si="8">G27+G28+G29</f>
        <v>92247853.590000004</v>
      </c>
      <c r="H26" s="22">
        <f t="shared" si="8"/>
        <v>18787671</v>
      </c>
      <c r="I26" s="22">
        <f t="shared" si="8"/>
        <v>19609249.84</v>
      </c>
      <c r="J26" s="48">
        <f t="shared" si="8"/>
        <v>21497572.75</v>
      </c>
      <c r="K26" s="22">
        <f t="shared" si="8"/>
        <v>17322000</v>
      </c>
      <c r="L26" s="22">
        <f>L27+L28+L29</f>
        <v>18450000</v>
      </c>
      <c r="M26" s="22">
        <f t="shared" si="8"/>
        <v>15031360</v>
      </c>
      <c r="N26" s="107"/>
      <c r="O26" s="3"/>
    </row>
    <row r="27" spans="1:18" ht="21.75" customHeight="1">
      <c r="A27" s="109"/>
      <c r="B27" s="196"/>
      <c r="C27" s="115"/>
      <c r="D27" s="118"/>
      <c r="E27" s="115"/>
      <c r="F27" s="12" t="s">
        <v>133</v>
      </c>
      <c r="G27" s="22">
        <f>H27+I27+J27+K27+M27</f>
        <v>0</v>
      </c>
      <c r="H27" s="22">
        <v>0</v>
      </c>
      <c r="I27" s="22">
        <v>0</v>
      </c>
      <c r="J27" s="48">
        <v>0</v>
      </c>
      <c r="K27" s="22">
        <v>0</v>
      </c>
      <c r="L27" s="22">
        <v>0</v>
      </c>
      <c r="M27" s="22">
        <v>0</v>
      </c>
      <c r="N27" s="107"/>
      <c r="O27" s="3"/>
    </row>
    <row r="28" spans="1:18" ht="21.75" customHeight="1">
      <c r="A28" s="109"/>
      <c r="B28" s="196"/>
      <c r="C28" s="115"/>
      <c r="D28" s="118"/>
      <c r="E28" s="115"/>
      <c r="F28" s="12" t="s">
        <v>16</v>
      </c>
      <c r="G28" s="22">
        <f>H28+I28+J28+K28+M28</f>
        <v>92247853.590000004</v>
      </c>
      <c r="H28" s="22">
        <v>18787671</v>
      </c>
      <c r="I28" s="22">
        <v>19609249.84</v>
      </c>
      <c r="J28" s="48">
        <f>'[2]остатки средств в ФК_8'!$R$19</f>
        <v>21497572.75</v>
      </c>
      <c r="K28" s="22">
        <v>17322000</v>
      </c>
      <c r="L28" s="22">
        <v>18450000</v>
      </c>
      <c r="M28" s="22">
        <f>'[16]СРБ на план. период_1'!$V$16</f>
        <v>15031360</v>
      </c>
      <c r="N28" s="107"/>
      <c r="O28" s="3"/>
    </row>
    <row r="29" spans="1:18" ht="21.75" customHeight="1">
      <c r="A29" s="110"/>
      <c r="B29" s="197"/>
      <c r="C29" s="115"/>
      <c r="D29" s="119"/>
      <c r="E29" s="116"/>
      <c r="F29" s="12" t="s">
        <v>17</v>
      </c>
      <c r="G29" s="22">
        <f>H29+I29+J29+K29+M29</f>
        <v>0</v>
      </c>
      <c r="H29" s="22">
        <v>0</v>
      </c>
      <c r="I29" s="22">
        <v>0</v>
      </c>
      <c r="J29" s="48">
        <v>0</v>
      </c>
      <c r="K29" s="22">
        <v>0</v>
      </c>
      <c r="L29" s="22">
        <v>0</v>
      </c>
      <c r="M29" s="22">
        <v>0</v>
      </c>
      <c r="N29" s="107"/>
      <c r="P29" s="3"/>
    </row>
    <row r="30" spans="1:18" ht="21.75" customHeight="1">
      <c r="A30" s="108" t="s">
        <v>145</v>
      </c>
      <c r="B30" s="195" t="s">
        <v>24</v>
      </c>
      <c r="C30" s="114" t="s">
        <v>11</v>
      </c>
      <c r="D30" s="117" t="s">
        <v>12</v>
      </c>
      <c r="E30" s="114" t="s">
        <v>153</v>
      </c>
      <c r="F30" s="12" t="s">
        <v>14</v>
      </c>
      <c r="G30" s="22">
        <f t="shared" ref="G30:M30" si="9">G31+G32+G33</f>
        <v>50522013.920000002</v>
      </c>
      <c r="H30" s="22">
        <f t="shared" si="9"/>
        <v>9450400</v>
      </c>
      <c r="I30" s="22">
        <f t="shared" si="9"/>
        <v>9868564</v>
      </c>
      <c r="J30" s="48">
        <f t="shared" si="9"/>
        <v>12666889.92</v>
      </c>
      <c r="K30" s="22">
        <f t="shared" si="9"/>
        <v>8545600</v>
      </c>
      <c r="L30" s="22">
        <f>L31+L32+L33</f>
        <v>8653080</v>
      </c>
      <c r="M30" s="22">
        <f t="shared" si="9"/>
        <v>9990560</v>
      </c>
      <c r="N30" s="107"/>
      <c r="O30" s="3"/>
    </row>
    <row r="31" spans="1:18" ht="21.75" customHeight="1">
      <c r="A31" s="109"/>
      <c r="B31" s="196"/>
      <c r="C31" s="115"/>
      <c r="D31" s="118"/>
      <c r="E31" s="115"/>
      <c r="F31" s="12" t="s">
        <v>133</v>
      </c>
      <c r="G31" s="22">
        <f>H31+I31+J31+K31+M31</f>
        <v>0</v>
      </c>
      <c r="H31" s="22">
        <v>0</v>
      </c>
      <c r="I31" s="22">
        <v>0</v>
      </c>
      <c r="J31" s="48">
        <v>0</v>
      </c>
      <c r="K31" s="22">
        <v>0</v>
      </c>
      <c r="L31" s="22">
        <v>0</v>
      </c>
      <c r="M31" s="22">
        <v>0</v>
      </c>
      <c r="N31" s="107"/>
    </row>
    <row r="32" spans="1:18" ht="21.75" customHeight="1">
      <c r="A32" s="109"/>
      <c r="B32" s="196"/>
      <c r="C32" s="115"/>
      <c r="D32" s="118"/>
      <c r="E32" s="115"/>
      <c r="F32" s="12" t="s">
        <v>16</v>
      </c>
      <c r="G32" s="22">
        <f>H32+I32+J32+K32+M32</f>
        <v>50522013.920000002</v>
      </c>
      <c r="H32" s="22">
        <v>9450400</v>
      </c>
      <c r="I32" s="22">
        <v>9868564</v>
      </c>
      <c r="J32" s="48">
        <v>12666889.92</v>
      </c>
      <c r="K32" s="22">
        <v>8545600</v>
      </c>
      <c r="L32" s="22">
        <v>8653080</v>
      </c>
      <c r="M32" s="22">
        <v>9990560</v>
      </c>
      <c r="N32" s="107"/>
    </row>
    <row r="33" spans="1:41" ht="21.75" customHeight="1">
      <c r="A33" s="110"/>
      <c r="B33" s="197"/>
      <c r="C33" s="115"/>
      <c r="D33" s="119"/>
      <c r="E33" s="116"/>
      <c r="F33" s="12" t="s">
        <v>17</v>
      </c>
      <c r="G33" s="22">
        <f>H33+I33+J33+K33+M33</f>
        <v>0</v>
      </c>
      <c r="H33" s="22">
        <v>0</v>
      </c>
      <c r="I33" s="22">
        <v>0</v>
      </c>
      <c r="J33" s="48">
        <v>0</v>
      </c>
      <c r="K33" s="22">
        <v>0</v>
      </c>
      <c r="L33" s="22">
        <v>0</v>
      </c>
      <c r="M33" s="22">
        <v>0</v>
      </c>
      <c r="N33" s="167"/>
      <c r="P33" s="3"/>
    </row>
    <row r="34" spans="1:41" ht="21.75" customHeight="1">
      <c r="A34" s="183"/>
      <c r="B34" s="186" t="s">
        <v>26</v>
      </c>
      <c r="C34" s="189" t="s">
        <v>11</v>
      </c>
      <c r="D34" s="192" t="s">
        <v>27</v>
      </c>
      <c r="E34" s="189" t="s">
        <v>153</v>
      </c>
      <c r="F34" s="37" t="s">
        <v>14</v>
      </c>
      <c r="G34" s="38">
        <f t="shared" ref="G34:M34" si="10">G35+G36+G37</f>
        <v>2905831009.27</v>
      </c>
      <c r="H34" s="38">
        <f t="shared" si="10"/>
        <v>505658629.72000003</v>
      </c>
      <c r="I34" s="38">
        <f t="shared" si="10"/>
        <v>557839719.20000005</v>
      </c>
      <c r="J34" s="38">
        <f t="shared" si="10"/>
        <v>591237067.14999998</v>
      </c>
      <c r="K34" s="38">
        <f t="shared" si="10"/>
        <v>615906606.97000003</v>
      </c>
      <c r="L34" s="38">
        <f>L35+L36+L37</f>
        <v>631197752.25999999</v>
      </c>
      <c r="M34" s="38">
        <f t="shared" si="10"/>
        <v>635188986.23000002</v>
      </c>
      <c r="N34" s="106" t="s">
        <v>28</v>
      </c>
    </row>
    <row r="35" spans="1:41" ht="21.75" customHeight="1">
      <c r="A35" s="184"/>
      <c r="B35" s="187"/>
      <c r="C35" s="190"/>
      <c r="D35" s="193"/>
      <c r="E35" s="190"/>
      <c r="F35" s="37" t="s">
        <v>133</v>
      </c>
      <c r="G35" s="38">
        <f>H35+I35+J35+K35+M35</f>
        <v>684024284.77999997</v>
      </c>
      <c r="H35" s="38">
        <f t="shared" ref="H35:M37" si="11">H39+H43+H47+H51+H83+H87+H91+H71+H75+H79+H55+H59+H63+H67</f>
        <v>114137373.15000001</v>
      </c>
      <c r="I35" s="38">
        <f t="shared" si="11"/>
        <v>124208329.39000002</v>
      </c>
      <c r="J35" s="38">
        <f t="shared" si="11"/>
        <v>140136671.78</v>
      </c>
      <c r="K35" s="38">
        <f t="shared" si="11"/>
        <v>152902758.22999999</v>
      </c>
      <c r="L35" s="38">
        <f t="shared" si="11"/>
        <v>151153056.25999999</v>
      </c>
      <c r="M35" s="38">
        <f t="shared" si="11"/>
        <v>152639152.22999996</v>
      </c>
      <c r="N35" s="107"/>
      <c r="AO35" s="3">
        <f>SUM('на 01.04'!$G$34:$AN$93)</f>
        <v>25780255851.199997</v>
      </c>
    </row>
    <row r="36" spans="1:41" ht="21.75" customHeight="1">
      <c r="A36" s="184"/>
      <c r="B36" s="187"/>
      <c r="C36" s="190"/>
      <c r="D36" s="193"/>
      <c r="E36" s="190"/>
      <c r="F36" s="37" t="s">
        <v>16</v>
      </c>
      <c r="G36" s="38">
        <f>H36+I36+J36+K36+M36</f>
        <v>2088146424.49</v>
      </c>
      <c r="H36" s="38">
        <f t="shared" si="11"/>
        <v>380939856.56999999</v>
      </c>
      <c r="I36" s="38">
        <f t="shared" si="11"/>
        <v>402852039.81</v>
      </c>
      <c r="J36" s="38">
        <f t="shared" si="11"/>
        <v>419990345.37</v>
      </c>
      <c r="K36" s="38">
        <f t="shared" si="11"/>
        <v>432598338.74000001</v>
      </c>
      <c r="L36" s="38">
        <f t="shared" si="11"/>
        <v>449260706</v>
      </c>
      <c r="M36" s="38">
        <f t="shared" si="11"/>
        <v>451765844</v>
      </c>
      <c r="N36" s="107"/>
      <c r="AO36" s="3">
        <f>SUM('на 01.04'!$G$34:$AN$93)</f>
        <v>25780255851.199997</v>
      </c>
    </row>
    <row r="37" spans="1:41" ht="21.75" customHeight="1">
      <c r="A37" s="185"/>
      <c r="B37" s="188"/>
      <c r="C37" s="191"/>
      <c r="D37" s="194"/>
      <c r="E37" s="191"/>
      <c r="F37" s="37" t="s">
        <v>17</v>
      </c>
      <c r="G37" s="38">
        <f>H37+I37+J37+K37+M37</f>
        <v>133660300</v>
      </c>
      <c r="H37" s="38">
        <f t="shared" si="11"/>
        <v>10581400</v>
      </c>
      <c r="I37" s="38">
        <f t="shared" si="11"/>
        <v>30779350</v>
      </c>
      <c r="J37" s="38">
        <f t="shared" si="11"/>
        <v>31110050</v>
      </c>
      <c r="K37" s="38">
        <f t="shared" si="11"/>
        <v>30405510</v>
      </c>
      <c r="L37" s="38">
        <f t="shared" si="11"/>
        <v>30783990</v>
      </c>
      <c r="M37" s="38">
        <f t="shared" si="11"/>
        <v>30783990</v>
      </c>
      <c r="N37" s="107"/>
      <c r="AO37" s="3">
        <f>SUM('на 01.04'!$G$34:$AN$93)</f>
        <v>25780255851.199997</v>
      </c>
    </row>
    <row r="38" spans="1:41" ht="21.75" hidden="1" customHeight="1" outlineLevel="1">
      <c r="A38" s="108" t="s">
        <v>29</v>
      </c>
      <c r="B38" s="111" t="s">
        <v>30</v>
      </c>
      <c r="C38" s="114" t="s">
        <v>11</v>
      </c>
      <c r="D38" s="117" t="s">
        <v>27</v>
      </c>
      <c r="E38" s="114" t="s">
        <v>153</v>
      </c>
      <c r="F38" s="12" t="s">
        <v>14</v>
      </c>
      <c r="G38" s="22">
        <f t="shared" ref="G38:M38" si="12">G39+G40+G41</f>
        <v>0</v>
      </c>
      <c r="H38" s="22">
        <f t="shared" si="12"/>
        <v>0</v>
      </c>
      <c r="I38" s="22">
        <f t="shared" si="12"/>
        <v>0</v>
      </c>
      <c r="J38" s="48">
        <f t="shared" si="12"/>
        <v>0</v>
      </c>
      <c r="K38" s="22">
        <f t="shared" si="12"/>
        <v>0</v>
      </c>
      <c r="L38" s="22">
        <f>L39+L40+L41</f>
        <v>0</v>
      </c>
      <c r="M38" s="22">
        <f t="shared" si="12"/>
        <v>0</v>
      </c>
      <c r="N38" s="107"/>
      <c r="AO38" s="3">
        <f>SUM('на 01.04'!$G$34:$AN$93)</f>
        <v>25780255851.199997</v>
      </c>
    </row>
    <row r="39" spans="1:41" ht="21.75" hidden="1" customHeight="1" outlineLevel="1">
      <c r="A39" s="109"/>
      <c r="B39" s="112"/>
      <c r="C39" s="115"/>
      <c r="D39" s="118"/>
      <c r="E39" s="115"/>
      <c r="F39" s="12" t="s">
        <v>133</v>
      </c>
      <c r="G39" s="22">
        <f>H39+I39+J39+K39+M39</f>
        <v>0</v>
      </c>
      <c r="H39" s="22">
        <v>0</v>
      </c>
      <c r="I39" s="22">
        <v>0</v>
      </c>
      <c r="J39" s="48">
        <v>0</v>
      </c>
      <c r="K39" s="22">
        <v>0</v>
      </c>
      <c r="L39" s="22">
        <v>0</v>
      </c>
      <c r="M39" s="22">
        <v>0</v>
      </c>
      <c r="N39" s="107"/>
      <c r="AO39" s="3">
        <f>SUM(AO35:AO38)</f>
        <v>103121023404.79999</v>
      </c>
    </row>
    <row r="40" spans="1:41" ht="21.75" hidden="1" customHeight="1" outlineLevel="1">
      <c r="A40" s="109"/>
      <c r="B40" s="112"/>
      <c r="C40" s="115"/>
      <c r="D40" s="118"/>
      <c r="E40" s="115"/>
      <c r="F40" s="12" t="s">
        <v>16</v>
      </c>
      <c r="G40" s="22">
        <f>H40+I40+J40+K40+M40</f>
        <v>0</v>
      </c>
      <c r="H40" s="22"/>
      <c r="I40" s="22"/>
      <c r="J40" s="48"/>
      <c r="K40" s="22"/>
      <c r="L40" s="22"/>
      <c r="M40" s="22"/>
      <c r="N40" s="107"/>
    </row>
    <row r="41" spans="1:41" ht="21.75" hidden="1" customHeight="1" outlineLevel="1">
      <c r="A41" s="110"/>
      <c r="B41" s="113"/>
      <c r="C41" s="115"/>
      <c r="D41" s="119"/>
      <c r="E41" s="116"/>
      <c r="F41" s="12" t="s">
        <v>17</v>
      </c>
      <c r="G41" s="22">
        <f>H41+I41+J41+K41+M41</f>
        <v>0</v>
      </c>
      <c r="H41" s="22">
        <v>0</v>
      </c>
      <c r="I41" s="22">
        <v>0</v>
      </c>
      <c r="J41" s="48">
        <v>0</v>
      </c>
      <c r="K41" s="22">
        <v>0</v>
      </c>
      <c r="L41" s="22">
        <v>0</v>
      </c>
      <c r="M41" s="22">
        <v>0</v>
      </c>
      <c r="N41" s="107"/>
      <c r="O41" s="3"/>
    </row>
    <row r="42" spans="1:41" ht="21.75" hidden="1" customHeight="1" outlineLevel="1">
      <c r="A42" s="108" t="s">
        <v>31</v>
      </c>
      <c r="B42" s="111" t="s">
        <v>32</v>
      </c>
      <c r="C42" s="114" t="s">
        <v>11</v>
      </c>
      <c r="D42" s="117" t="s">
        <v>27</v>
      </c>
      <c r="E42" s="114" t="s">
        <v>153</v>
      </c>
      <c r="F42" s="12" t="s">
        <v>14</v>
      </c>
      <c r="G42" s="22">
        <f t="shared" ref="G42:M42" si="13">G43+G44+G45</f>
        <v>0</v>
      </c>
      <c r="H42" s="22">
        <f t="shared" si="13"/>
        <v>0</v>
      </c>
      <c r="I42" s="22">
        <f t="shared" si="13"/>
        <v>0</v>
      </c>
      <c r="J42" s="48">
        <f t="shared" si="13"/>
        <v>0</v>
      </c>
      <c r="K42" s="22">
        <f t="shared" si="13"/>
        <v>0</v>
      </c>
      <c r="L42" s="22">
        <f>L43+L44+L45</f>
        <v>0</v>
      </c>
      <c r="M42" s="22">
        <f t="shared" si="13"/>
        <v>0</v>
      </c>
      <c r="N42" s="107"/>
      <c r="P42" s="3"/>
    </row>
    <row r="43" spans="1:41" ht="21.75" hidden="1" customHeight="1" outlineLevel="1">
      <c r="A43" s="109"/>
      <c r="B43" s="112"/>
      <c r="C43" s="115"/>
      <c r="D43" s="118"/>
      <c r="E43" s="115"/>
      <c r="F43" s="12" t="s">
        <v>133</v>
      </c>
      <c r="G43" s="22">
        <f>H43+I43+J43+K43+M43</f>
        <v>0</v>
      </c>
      <c r="H43" s="22">
        <v>0</v>
      </c>
      <c r="I43" s="22">
        <v>0</v>
      </c>
      <c r="J43" s="48">
        <v>0</v>
      </c>
      <c r="K43" s="22">
        <v>0</v>
      </c>
      <c r="L43" s="22">
        <v>0</v>
      </c>
      <c r="M43" s="22">
        <v>0</v>
      </c>
      <c r="N43" s="107"/>
    </row>
    <row r="44" spans="1:41" ht="21.75" hidden="1" customHeight="1" outlineLevel="1">
      <c r="A44" s="109"/>
      <c r="B44" s="112"/>
      <c r="C44" s="115"/>
      <c r="D44" s="118"/>
      <c r="E44" s="115"/>
      <c r="F44" s="12" t="s">
        <v>16</v>
      </c>
      <c r="G44" s="22">
        <f>H44+I44+J44+K44+M44</f>
        <v>0</v>
      </c>
      <c r="H44" s="22"/>
      <c r="I44" s="22"/>
      <c r="J44" s="48"/>
      <c r="K44" s="22"/>
      <c r="L44" s="22"/>
      <c r="M44" s="22"/>
      <c r="N44" s="107"/>
      <c r="O44" s="6">
        <f>'[3]9 мес 2021'!$H$25-I44</f>
        <v>8816768</v>
      </c>
    </row>
    <row r="45" spans="1:41" ht="21.75" hidden="1" customHeight="1" outlineLevel="1">
      <c r="A45" s="110"/>
      <c r="B45" s="113"/>
      <c r="C45" s="115"/>
      <c r="D45" s="119"/>
      <c r="E45" s="116"/>
      <c r="F45" s="12" t="s">
        <v>17</v>
      </c>
      <c r="G45" s="22">
        <f>H45+I45+J45+K45+M45</f>
        <v>0</v>
      </c>
      <c r="H45" s="22">
        <v>0</v>
      </c>
      <c r="I45" s="22">
        <v>0</v>
      </c>
      <c r="J45" s="48">
        <v>0</v>
      </c>
      <c r="K45" s="22">
        <v>0</v>
      </c>
      <c r="L45" s="22">
        <v>0</v>
      </c>
      <c r="M45" s="22">
        <v>0</v>
      </c>
      <c r="N45" s="107"/>
      <c r="O45" s="7"/>
    </row>
    <row r="46" spans="1:41" ht="21.75" hidden="1" customHeight="1" outlineLevel="1">
      <c r="A46" s="108" t="s">
        <v>33</v>
      </c>
      <c r="B46" s="111" t="s">
        <v>34</v>
      </c>
      <c r="C46" s="114" t="s">
        <v>11</v>
      </c>
      <c r="D46" s="117" t="s">
        <v>27</v>
      </c>
      <c r="E46" s="114" t="s">
        <v>153</v>
      </c>
      <c r="F46" s="12" t="s">
        <v>14</v>
      </c>
      <c r="G46" s="22">
        <f t="shared" ref="G46:M46" si="14">G47+G48+G49</f>
        <v>0</v>
      </c>
      <c r="H46" s="22">
        <f t="shared" si="14"/>
        <v>0</v>
      </c>
      <c r="I46" s="22">
        <f t="shared" si="14"/>
        <v>0</v>
      </c>
      <c r="J46" s="48">
        <f t="shared" si="14"/>
        <v>0</v>
      </c>
      <c r="K46" s="22">
        <f t="shared" si="14"/>
        <v>0</v>
      </c>
      <c r="L46" s="22">
        <f>L47+L48+L49</f>
        <v>0</v>
      </c>
      <c r="M46" s="22">
        <f t="shared" si="14"/>
        <v>0</v>
      </c>
      <c r="N46" s="107"/>
      <c r="O46" s="7"/>
    </row>
    <row r="47" spans="1:41" ht="21.75" hidden="1" customHeight="1" outlineLevel="1">
      <c r="A47" s="109"/>
      <c r="B47" s="112"/>
      <c r="C47" s="115"/>
      <c r="D47" s="118"/>
      <c r="E47" s="115"/>
      <c r="F47" s="12" t="s">
        <v>133</v>
      </c>
      <c r="G47" s="22">
        <f>H47+I47+J47+K47+M47</f>
        <v>0</v>
      </c>
      <c r="H47" s="22">
        <v>0</v>
      </c>
      <c r="I47" s="22">
        <v>0</v>
      </c>
      <c r="J47" s="48">
        <v>0</v>
      </c>
      <c r="K47" s="22">
        <v>0</v>
      </c>
      <c r="L47" s="22">
        <v>0</v>
      </c>
      <c r="M47" s="22">
        <v>0</v>
      </c>
      <c r="N47" s="107"/>
      <c r="O47" s="7"/>
    </row>
    <row r="48" spans="1:41" ht="21.75" hidden="1" customHeight="1" outlineLevel="1">
      <c r="A48" s="109"/>
      <c r="B48" s="112"/>
      <c r="C48" s="115"/>
      <c r="D48" s="118"/>
      <c r="E48" s="115"/>
      <c r="F48" s="12" t="s">
        <v>16</v>
      </c>
      <c r="G48" s="22">
        <f>H48+I48+J48+K48+M48</f>
        <v>0</v>
      </c>
      <c r="H48" s="22"/>
      <c r="I48" s="22"/>
      <c r="J48" s="48"/>
      <c r="K48" s="22"/>
      <c r="L48" s="22"/>
      <c r="M48" s="22"/>
      <c r="N48" s="107"/>
      <c r="O48" s="6"/>
    </row>
    <row r="49" spans="1:16" ht="21.75" hidden="1" customHeight="1" outlineLevel="1">
      <c r="A49" s="110"/>
      <c r="B49" s="113"/>
      <c r="C49" s="115"/>
      <c r="D49" s="119"/>
      <c r="E49" s="116"/>
      <c r="F49" s="12" t="s">
        <v>17</v>
      </c>
      <c r="G49" s="22">
        <f>H49+I49+J49+K49+M49</f>
        <v>0</v>
      </c>
      <c r="H49" s="22">
        <v>0</v>
      </c>
      <c r="I49" s="22">
        <v>0</v>
      </c>
      <c r="J49" s="48">
        <v>0</v>
      </c>
      <c r="K49" s="22">
        <v>0</v>
      </c>
      <c r="L49" s="22">
        <v>0</v>
      </c>
      <c r="M49" s="22">
        <v>0</v>
      </c>
      <c r="N49" s="107"/>
    </row>
    <row r="50" spans="1:16" ht="21.75" customHeight="1" collapsed="1">
      <c r="A50" s="108" t="s">
        <v>18</v>
      </c>
      <c r="B50" s="195" t="s">
        <v>35</v>
      </c>
      <c r="C50" s="114" t="s">
        <v>11</v>
      </c>
      <c r="D50" s="117" t="s">
        <v>27</v>
      </c>
      <c r="E50" s="114" t="s">
        <v>153</v>
      </c>
      <c r="F50" s="12" t="s">
        <v>14</v>
      </c>
      <c r="G50" s="22">
        <f t="shared" ref="G50:M50" si="15">G51+G52+G53</f>
        <v>2601479064.29</v>
      </c>
      <c r="H50" s="22">
        <f t="shared" si="15"/>
        <v>470828018.72000003</v>
      </c>
      <c r="I50" s="22">
        <f t="shared" si="15"/>
        <v>487676039.38999999</v>
      </c>
      <c r="J50" s="48">
        <f t="shared" si="15"/>
        <v>517542710.49000001</v>
      </c>
      <c r="K50" s="22">
        <f t="shared" si="15"/>
        <v>551287039.10000002</v>
      </c>
      <c r="L50" s="22">
        <f>L51+L52+L53</f>
        <v>563780982.62</v>
      </c>
      <c r="M50" s="22">
        <f t="shared" si="15"/>
        <v>574145256.58999991</v>
      </c>
      <c r="N50" s="107"/>
      <c r="O50" s="3"/>
    </row>
    <row r="51" spans="1:16" ht="21.75" customHeight="1">
      <c r="A51" s="109"/>
      <c r="B51" s="196"/>
      <c r="C51" s="115"/>
      <c r="D51" s="118"/>
      <c r="E51" s="115"/>
      <c r="F51" s="12" t="s">
        <v>133</v>
      </c>
      <c r="G51" s="22">
        <f>H51+I51+J51+K51+M51</f>
        <v>670442244.20000005</v>
      </c>
      <c r="H51" s="22">
        <v>111005611.15000001</v>
      </c>
      <c r="I51" s="22">
        <f>112774045.47+5964026+1921557.81+130535.61</f>
        <v>120790164.89</v>
      </c>
      <c r="J51" s="48">
        <v>137433722.97999999</v>
      </c>
      <c r="K51" s="22">
        <f>'[16]СРБ на план. период_1'!$T$35</f>
        <v>150456372.59</v>
      </c>
      <c r="L51" s="22">
        <v>149270276.62</v>
      </c>
      <c r="M51" s="22">
        <v>150756372.58999997</v>
      </c>
      <c r="N51" s="107"/>
    </row>
    <row r="52" spans="1:16" ht="21.75" customHeight="1">
      <c r="A52" s="109"/>
      <c r="B52" s="196"/>
      <c r="C52" s="115"/>
      <c r="D52" s="118"/>
      <c r="E52" s="115"/>
      <c r="F52" s="12" t="s">
        <v>16</v>
      </c>
      <c r="G52" s="22">
        <f>H52+I52+J52+K52+M52</f>
        <v>1920455420.0899999</v>
      </c>
      <c r="H52" s="22">
        <f>349241007.57</f>
        <v>349241007.56999999</v>
      </c>
      <c r="I52" s="22">
        <f>366885874.5</f>
        <v>366885874.5</v>
      </c>
      <c r="J52" s="48">
        <f>347896678+12327200+2879809.51+12005300+5000000</f>
        <v>380108987.50999999</v>
      </c>
      <c r="K52" s="22">
        <v>400830666.50999999</v>
      </c>
      <c r="L52" s="22">
        <v>414510706</v>
      </c>
      <c r="M52" s="22">
        <v>423388884</v>
      </c>
      <c r="N52" s="107"/>
      <c r="O52" s="3"/>
    </row>
    <row r="53" spans="1:16" ht="21.75" customHeight="1">
      <c r="A53" s="110"/>
      <c r="B53" s="197"/>
      <c r="C53" s="115"/>
      <c r="D53" s="119"/>
      <c r="E53" s="116"/>
      <c r="F53" s="12" t="s">
        <v>17</v>
      </c>
      <c r="G53" s="22">
        <f>H53+I53+J53+K53+M53</f>
        <v>10581400</v>
      </c>
      <c r="H53" s="22">
        <v>10581400</v>
      </c>
      <c r="I53" s="22">
        <v>0</v>
      </c>
      <c r="J53" s="48">
        <v>0</v>
      </c>
      <c r="K53" s="22">
        <v>0</v>
      </c>
      <c r="L53" s="22">
        <v>0</v>
      </c>
      <c r="M53" s="22">
        <v>0</v>
      </c>
      <c r="N53" s="107"/>
      <c r="O53" s="7"/>
      <c r="P53" s="8"/>
    </row>
    <row r="54" spans="1:16" ht="21.75" customHeight="1" collapsed="1">
      <c r="A54" s="108" t="s">
        <v>25</v>
      </c>
      <c r="B54" s="195" t="s">
        <v>40</v>
      </c>
      <c r="C54" s="114" t="s">
        <v>11</v>
      </c>
      <c r="D54" s="117" t="s">
        <v>27</v>
      </c>
      <c r="E54" s="114" t="s">
        <v>153</v>
      </c>
      <c r="F54" s="12" t="s">
        <v>14</v>
      </c>
      <c r="G54" s="22">
        <f t="shared" ref="G54:M54" si="16">G55+G56+G57</f>
        <v>123078900</v>
      </c>
      <c r="H54" s="22">
        <f t="shared" si="16"/>
        <v>0</v>
      </c>
      <c r="I54" s="22">
        <f t="shared" si="16"/>
        <v>30779350</v>
      </c>
      <c r="J54" s="48">
        <f t="shared" si="16"/>
        <v>31110050</v>
      </c>
      <c r="K54" s="22">
        <f t="shared" si="16"/>
        <v>30405510</v>
      </c>
      <c r="L54" s="22">
        <f t="shared" si="16"/>
        <v>30783990</v>
      </c>
      <c r="M54" s="22">
        <f t="shared" si="16"/>
        <v>30783990</v>
      </c>
      <c r="N54" s="107"/>
    </row>
    <row r="55" spans="1:16" ht="21.75" customHeight="1">
      <c r="A55" s="109"/>
      <c r="B55" s="196"/>
      <c r="C55" s="115"/>
      <c r="D55" s="118"/>
      <c r="E55" s="115"/>
      <c r="F55" s="12" t="s">
        <v>133</v>
      </c>
      <c r="G55" s="22">
        <f>H55+I55+J55+K55+M55</f>
        <v>0</v>
      </c>
      <c r="H55" s="22">
        <v>0</v>
      </c>
      <c r="I55" s="22">
        <v>0</v>
      </c>
      <c r="J55" s="48">
        <v>0</v>
      </c>
      <c r="K55" s="22">
        <v>0</v>
      </c>
      <c r="L55" s="22">
        <v>0</v>
      </c>
      <c r="M55" s="22">
        <v>0</v>
      </c>
      <c r="N55" s="107"/>
    </row>
    <row r="56" spans="1:16" ht="21.75" customHeight="1">
      <c r="A56" s="109"/>
      <c r="B56" s="196"/>
      <c r="C56" s="115"/>
      <c r="D56" s="118"/>
      <c r="E56" s="115"/>
      <c r="F56" s="12" t="s">
        <v>16</v>
      </c>
      <c r="G56" s="22">
        <f>H56+I56+J56+K56+M56</f>
        <v>0</v>
      </c>
      <c r="H56" s="22">
        <v>0</v>
      </c>
      <c r="I56" s="22">
        <v>0</v>
      </c>
      <c r="J56" s="48">
        <v>0</v>
      </c>
      <c r="K56" s="22">
        <v>0</v>
      </c>
      <c r="L56" s="22">
        <v>0</v>
      </c>
      <c r="M56" s="22">
        <v>0</v>
      </c>
      <c r="N56" s="107"/>
    </row>
    <row r="57" spans="1:16" ht="21.75" customHeight="1">
      <c r="A57" s="110"/>
      <c r="B57" s="197"/>
      <c r="C57" s="115"/>
      <c r="D57" s="119"/>
      <c r="E57" s="116"/>
      <c r="F57" s="12" t="s">
        <v>17</v>
      </c>
      <c r="G57" s="22">
        <f>H57+I57+J57+K57+M57</f>
        <v>123078900</v>
      </c>
      <c r="H57" s="22">
        <v>0</v>
      </c>
      <c r="I57" s="22">
        <v>30779350</v>
      </c>
      <c r="J57" s="48">
        <v>31110050</v>
      </c>
      <c r="K57" s="22">
        <v>30405510</v>
      </c>
      <c r="L57" s="22">
        <v>30783990</v>
      </c>
      <c r="M57" s="22">
        <v>30783990</v>
      </c>
      <c r="N57" s="107"/>
    </row>
    <row r="58" spans="1:16" ht="21.75" customHeight="1">
      <c r="A58" s="158" t="s">
        <v>44</v>
      </c>
      <c r="B58" s="111" t="s">
        <v>43</v>
      </c>
      <c r="C58" s="114" t="s">
        <v>11</v>
      </c>
      <c r="D58" s="120" t="s">
        <v>37</v>
      </c>
      <c r="E58" s="114" t="s">
        <v>153</v>
      </c>
      <c r="F58" s="12" t="s">
        <v>14</v>
      </c>
      <c r="G58" s="22">
        <f t="shared" ref="G58:M58" si="17">G59+G60+G61</f>
        <v>300000</v>
      </c>
      <c r="H58" s="22">
        <f t="shared" si="17"/>
        <v>60000</v>
      </c>
      <c r="I58" s="22">
        <f t="shared" si="17"/>
        <v>60000</v>
      </c>
      <c r="J58" s="48">
        <f t="shared" si="17"/>
        <v>60000</v>
      </c>
      <c r="K58" s="22">
        <f t="shared" si="17"/>
        <v>60000</v>
      </c>
      <c r="L58" s="22">
        <f t="shared" si="17"/>
        <v>60000</v>
      </c>
      <c r="M58" s="22">
        <f t="shared" si="17"/>
        <v>60000</v>
      </c>
      <c r="N58" s="107"/>
    </row>
    <row r="59" spans="1:16" ht="21.75" customHeight="1">
      <c r="A59" s="159"/>
      <c r="B59" s="112"/>
      <c r="C59" s="115"/>
      <c r="D59" s="121"/>
      <c r="E59" s="115"/>
      <c r="F59" s="12" t="s">
        <v>133</v>
      </c>
      <c r="G59" s="22">
        <f>H59+I59+J59+K59+M59</f>
        <v>300000</v>
      </c>
      <c r="H59" s="22">
        <v>60000</v>
      </c>
      <c r="I59" s="22">
        <v>60000</v>
      </c>
      <c r="J59" s="48">
        <v>60000</v>
      </c>
      <c r="K59" s="22">
        <v>60000</v>
      </c>
      <c r="L59" s="22">
        <v>60000</v>
      </c>
      <c r="M59" s="22">
        <v>60000</v>
      </c>
      <c r="N59" s="107"/>
    </row>
    <row r="60" spans="1:16" ht="21.75" customHeight="1">
      <c r="A60" s="159"/>
      <c r="B60" s="112"/>
      <c r="C60" s="115"/>
      <c r="D60" s="121"/>
      <c r="E60" s="115"/>
      <c r="F60" s="12" t="s">
        <v>16</v>
      </c>
      <c r="G60" s="22">
        <f>H60+I60+J60+K60+M60</f>
        <v>0</v>
      </c>
      <c r="H60" s="22">
        <v>0</v>
      </c>
      <c r="I60" s="22">
        <v>0</v>
      </c>
      <c r="J60" s="48">
        <v>0</v>
      </c>
      <c r="K60" s="22">
        <v>0</v>
      </c>
      <c r="L60" s="22">
        <v>0</v>
      </c>
      <c r="M60" s="22">
        <v>0</v>
      </c>
      <c r="N60" s="107"/>
    </row>
    <row r="61" spans="1:16" ht="21" customHeight="1">
      <c r="A61" s="160"/>
      <c r="B61" s="113"/>
      <c r="C61" s="115"/>
      <c r="D61" s="122"/>
      <c r="E61" s="116"/>
      <c r="F61" s="12" t="s">
        <v>17</v>
      </c>
      <c r="G61" s="22">
        <f>H61+I61+J61+K61+M61</f>
        <v>0</v>
      </c>
      <c r="H61" s="22">
        <v>0</v>
      </c>
      <c r="I61" s="22">
        <v>0</v>
      </c>
      <c r="J61" s="48">
        <v>0</v>
      </c>
      <c r="K61" s="22">
        <v>0</v>
      </c>
      <c r="L61" s="22">
        <v>0</v>
      </c>
      <c r="M61" s="22">
        <v>0</v>
      </c>
      <c r="N61" s="107"/>
    </row>
    <row r="62" spans="1:16" ht="21.75" customHeight="1">
      <c r="A62" s="158" t="s">
        <v>48</v>
      </c>
      <c r="B62" s="195" t="s">
        <v>53</v>
      </c>
      <c r="C62" s="114" t="s">
        <v>11</v>
      </c>
      <c r="D62" s="120" t="s">
        <v>54</v>
      </c>
      <c r="E62" s="114" t="s">
        <v>153</v>
      </c>
      <c r="F62" s="12" t="s">
        <v>14</v>
      </c>
      <c r="G62" s="22">
        <f t="shared" ref="G62:M62" si="18">G63+G64+G65</f>
        <v>1887641.65</v>
      </c>
      <c r="H62" s="22">
        <f t="shared" si="18"/>
        <v>393480</v>
      </c>
      <c r="I62" s="22">
        <f t="shared" si="18"/>
        <v>1094161.6499999999</v>
      </c>
      <c r="J62" s="48">
        <f t="shared" si="18"/>
        <v>400000</v>
      </c>
      <c r="K62" s="22">
        <f t="shared" si="18"/>
        <v>0</v>
      </c>
      <c r="L62" s="22">
        <f t="shared" si="18"/>
        <v>0</v>
      </c>
      <c r="M62" s="22">
        <f t="shared" si="18"/>
        <v>0</v>
      </c>
      <c r="N62" s="107"/>
    </row>
    <row r="63" spans="1:16" ht="21.75" customHeight="1">
      <c r="A63" s="159"/>
      <c r="B63" s="196"/>
      <c r="C63" s="115"/>
      <c r="D63" s="121"/>
      <c r="E63" s="115"/>
      <c r="F63" s="12" t="s">
        <v>133</v>
      </c>
      <c r="G63" s="22">
        <f>H63+I63+J63+K63+M63</f>
        <v>1887641.65</v>
      </c>
      <c r="H63" s="22">
        <v>393480</v>
      </c>
      <c r="I63" s="22">
        <f>20000+1074161.65</f>
        <v>1094161.6499999999</v>
      </c>
      <c r="J63" s="48">
        <f>500000-100000</f>
        <v>400000</v>
      </c>
      <c r="K63" s="22">
        <v>0</v>
      </c>
      <c r="L63" s="22">
        <v>0</v>
      </c>
      <c r="M63" s="22">
        <v>0</v>
      </c>
      <c r="N63" s="107"/>
    </row>
    <row r="64" spans="1:16" ht="21.75" customHeight="1">
      <c r="A64" s="159"/>
      <c r="B64" s="196"/>
      <c r="C64" s="115"/>
      <c r="D64" s="121"/>
      <c r="E64" s="115"/>
      <c r="F64" s="12" t="s">
        <v>16</v>
      </c>
      <c r="G64" s="22">
        <f>H64+I64+J64+K64+M64</f>
        <v>0</v>
      </c>
      <c r="H64" s="22">
        <v>0</v>
      </c>
      <c r="I64" s="22">
        <v>0</v>
      </c>
      <c r="J64" s="48">
        <v>0</v>
      </c>
      <c r="K64" s="22">
        <v>0</v>
      </c>
      <c r="L64" s="22">
        <v>0</v>
      </c>
      <c r="M64" s="22">
        <v>0</v>
      </c>
      <c r="N64" s="107"/>
    </row>
    <row r="65" spans="1:14" ht="21.75" customHeight="1">
      <c r="A65" s="160"/>
      <c r="B65" s="197"/>
      <c r="C65" s="115"/>
      <c r="D65" s="122"/>
      <c r="E65" s="116"/>
      <c r="F65" s="12" t="s">
        <v>17</v>
      </c>
      <c r="G65" s="22">
        <f>H65+I65+J65+K65+M65</f>
        <v>0</v>
      </c>
      <c r="H65" s="22">
        <v>0</v>
      </c>
      <c r="I65" s="22">
        <v>0</v>
      </c>
      <c r="J65" s="48">
        <v>0</v>
      </c>
      <c r="K65" s="22">
        <v>0</v>
      </c>
      <c r="L65" s="22">
        <v>0</v>
      </c>
      <c r="M65" s="22">
        <v>0</v>
      </c>
      <c r="N65" s="107"/>
    </row>
    <row r="66" spans="1:14" ht="21.75" customHeight="1">
      <c r="A66" s="216" t="s">
        <v>56</v>
      </c>
      <c r="B66" s="174" t="s">
        <v>41</v>
      </c>
      <c r="C66" s="177" t="s">
        <v>11</v>
      </c>
      <c r="D66" s="179" t="s">
        <v>42</v>
      </c>
      <c r="E66" s="177" t="s">
        <v>153</v>
      </c>
      <c r="F66" s="49" t="s">
        <v>14</v>
      </c>
      <c r="G66" s="48">
        <f t="shared" ref="G66:M66" si="19">G67+G68+G69</f>
        <v>220242.99</v>
      </c>
      <c r="H66" s="48">
        <f t="shared" si="19"/>
        <v>0</v>
      </c>
      <c r="I66" s="48">
        <f t="shared" si="19"/>
        <v>0</v>
      </c>
      <c r="J66" s="48">
        <f t="shared" si="19"/>
        <v>220242.99</v>
      </c>
      <c r="K66" s="48">
        <f t="shared" si="19"/>
        <v>0</v>
      </c>
      <c r="L66" s="48">
        <f t="shared" si="19"/>
        <v>0</v>
      </c>
      <c r="M66" s="48">
        <f t="shared" si="19"/>
        <v>0</v>
      </c>
      <c r="N66" s="107"/>
    </row>
    <row r="67" spans="1:14" ht="21.75" customHeight="1">
      <c r="A67" s="217"/>
      <c r="B67" s="175"/>
      <c r="C67" s="178"/>
      <c r="D67" s="180"/>
      <c r="E67" s="178"/>
      <c r="F67" s="49" t="s">
        <v>15</v>
      </c>
      <c r="G67" s="48">
        <f>H67+I67+J67+K67+L67</f>
        <v>220242.99</v>
      </c>
      <c r="H67" s="48">
        <v>0</v>
      </c>
      <c r="I67" s="48">
        <v>0</v>
      </c>
      <c r="J67" s="48">
        <v>220242.99</v>
      </c>
      <c r="K67" s="48">
        <v>0</v>
      </c>
      <c r="L67" s="48">
        <v>0</v>
      </c>
      <c r="M67" s="48">
        <v>0</v>
      </c>
      <c r="N67" s="107"/>
    </row>
    <row r="68" spans="1:14" ht="21.75" customHeight="1">
      <c r="A68" s="217"/>
      <c r="B68" s="175"/>
      <c r="C68" s="178"/>
      <c r="D68" s="180"/>
      <c r="E68" s="178"/>
      <c r="F68" s="49" t="s">
        <v>16</v>
      </c>
      <c r="G68" s="48">
        <f>H68+I68+J68+K68+L68</f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107"/>
    </row>
    <row r="69" spans="1:14" ht="21.75" customHeight="1">
      <c r="A69" s="218"/>
      <c r="B69" s="176"/>
      <c r="C69" s="178"/>
      <c r="D69" s="181"/>
      <c r="E69" s="182"/>
      <c r="F69" s="49" t="s">
        <v>17</v>
      </c>
      <c r="G69" s="48">
        <f>H69+I69+J69+K69+L69</f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107"/>
    </row>
    <row r="70" spans="1:14" ht="21.75" customHeight="1" collapsed="1">
      <c r="A70" s="158" t="s">
        <v>94</v>
      </c>
      <c r="B70" s="111" t="s">
        <v>45</v>
      </c>
      <c r="C70" s="114" t="s">
        <v>11</v>
      </c>
      <c r="D70" s="117" t="s">
        <v>42</v>
      </c>
      <c r="E70" s="114" t="s">
        <v>153</v>
      </c>
      <c r="F70" s="12" t="s">
        <v>14</v>
      </c>
      <c r="G70" s="22">
        <f t="shared" ref="G70:M70" si="20">G71+G72+G73</f>
        <v>500000</v>
      </c>
      <c r="H70" s="22">
        <f t="shared" si="20"/>
        <v>90000</v>
      </c>
      <c r="I70" s="22">
        <f t="shared" si="20"/>
        <v>100000</v>
      </c>
      <c r="J70" s="22">
        <f t="shared" si="20"/>
        <v>100000</v>
      </c>
      <c r="K70" s="22">
        <f t="shared" si="20"/>
        <v>105000</v>
      </c>
      <c r="L70" s="22">
        <f t="shared" si="20"/>
        <v>105000</v>
      </c>
      <c r="M70" s="22">
        <f t="shared" si="20"/>
        <v>105000</v>
      </c>
      <c r="N70" s="107"/>
    </row>
    <row r="71" spans="1:14" ht="21.75" customHeight="1">
      <c r="A71" s="159"/>
      <c r="B71" s="112"/>
      <c r="C71" s="115"/>
      <c r="D71" s="118"/>
      <c r="E71" s="115"/>
      <c r="F71" s="12" t="s">
        <v>133</v>
      </c>
      <c r="G71" s="22">
        <f>H71+I71+J71+K71+M71</f>
        <v>500000</v>
      </c>
      <c r="H71" s="22">
        <v>90000</v>
      </c>
      <c r="I71" s="22">
        <f>100000</f>
        <v>100000</v>
      </c>
      <c r="J71" s="22">
        <v>100000</v>
      </c>
      <c r="K71" s="22">
        <v>105000</v>
      </c>
      <c r="L71" s="22">
        <v>105000</v>
      </c>
      <c r="M71" s="22">
        <v>105000</v>
      </c>
      <c r="N71" s="107"/>
    </row>
    <row r="72" spans="1:14" ht="21.75" customHeight="1">
      <c r="A72" s="159"/>
      <c r="B72" s="112"/>
      <c r="C72" s="115"/>
      <c r="D72" s="118"/>
      <c r="E72" s="115"/>
      <c r="F72" s="12" t="s">
        <v>16</v>
      </c>
      <c r="G72" s="22">
        <f>H72+I72+J72+K72+M72</f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107"/>
    </row>
    <row r="73" spans="1:14" ht="21.75" customHeight="1">
      <c r="A73" s="160"/>
      <c r="B73" s="113"/>
      <c r="C73" s="115"/>
      <c r="D73" s="119"/>
      <c r="E73" s="116"/>
      <c r="F73" s="12" t="s">
        <v>17</v>
      </c>
      <c r="G73" s="22">
        <f>H73+I73+J73+K73+M73</f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107"/>
    </row>
    <row r="74" spans="1:14" ht="21.75" customHeight="1">
      <c r="A74" s="108" t="s">
        <v>102</v>
      </c>
      <c r="B74" s="111" t="s">
        <v>36</v>
      </c>
      <c r="C74" s="114" t="s">
        <v>11</v>
      </c>
      <c r="D74" s="120" t="s">
        <v>37</v>
      </c>
      <c r="E74" s="114" t="s">
        <v>153</v>
      </c>
      <c r="F74" s="12" t="s">
        <v>14</v>
      </c>
      <c r="G74" s="22">
        <f t="shared" ref="G74:M74" si="21">G75+G76+G77</f>
        <v>4661070.7300000004</v>
      </c>
      <c r="H74" s="22">
        <f t="shared" si="21"/>
        <v>1481975</v>
      </c>
      <c r="I74" s="22">
        <f t="shared" si="21"/>
        <v>653058.44999999995</v>
      </c>
      <c r="J74" s="48">
        <f t="shared" si="21"/>
        <v>888490</v>
      </c>
      <c r="K74" s="22">
        <f t="shared" si="21"/>
        <v>1068773.6400000001</v>
      </c>
      <c r="L74" s="22">
        <f t="shared" si="21"/>
        <v>568773.64</v>
      </c>
      <c r="M74" s="22">
        <f t="shared" si="21"/>
        <v>568773.64</v>
      </c>
      <c r="N74" s="107"/>
    </row>
    <row r="75" spans="1:14" ht="21.75" customHeight="1">
      <c r="A75" s="109"/>
      <c r="B75" s="112"/>
      <c r="C75" s="115"/>
      <c r="D75" s="121"/>
      <c r="E75" s="115"/>
      <c r="F75" s="12" t="s">
        <v>133</v>
      </c>
      <c r="G75" s="22">
        <f>H75+I75+J75+K75+M75</f>
        <v>4661070.7300000004</v>
      </c>
      <c r="H75" s="22">
        <v>1481975</v>
      </c>
      <c r="I75" s="22">
        <f>1481975-602271.91-226644.64</f>
        <v>653058.44999999995</v>
      </c>
      <c r="J75" s="48">
        <v>888490</v>
      </c>
      <c r="K75" s="22">
        <v>1068773.6400000001</v>
      </c>
      <c r="L75" s="22">
        <v>568773.64</v>
      </c>
      <c r="M75" s="22">
        <v>568773.64</v>
      </c>
      <c r="N75" s="107"/>
    </row>
    <row r="76" spans="1:14" ht="21.75" customHeight="1">
      <c r="A76" s="109"/>
      <c r="B76" s="112"/>
      <c r="C76" s="115"/>
      <c r="D76" s="121"/>
      <c r="E76" s="115"/>
      <c r="F76" s="12" t="s">
        <v>16</v>
      </c>
      <c r="G76" s="22">
        <f>H76+I76+J76+K76+M76</f>
        <v>0</v>
      </c>
      <c r="H76" s="22">
        <v>0</v>
      </c>
      <c r="I76" s="22">
        <v>0</v>
      </c>
      <c r="J76" s="48">
        <v>0</v>
      </c>
      <c r="K76" s="22">
        <v>0</v>
      </c>
      <c r="L76" s="22">
        <v>0</v>
      </c>
      <c r="M76" s="22">
        <v>0</v>
      </c>
      <c r="N76" s="107"/>
    </row>
    <row r="77" spans="1:14" ht="21.75" customHeight="1">
      <c r="A77" s="110"/>
      <c r="B77" s="113"/>
      <c r="C77" s="115"/>
      <c r="D77" s="122"/>
      <c r="E77" s="116"/>
      <c r="F77" s="12" t="s">
        <v>17</v>
      </c>
      <c r="G77" s="22">
        <f>H77+I77+J77+K77+M77</f>
        <v>0</v>
      </c>
      <c r="H77" s="22">
        <v>0</v>
      </c>
      <c r="I77" s="22">
        <v>0</v>
      </c>
      <c r="J77" s="48">
        <v>0</v>
      </c>
      <c r="K77" s="22">
        <v>0</v>
      </c>
      <c r="L77" s="22">
        <v>0</v>
      </c>
      <c r="M77" s="22">
        <v>0</v>
      </c>
      <c r="N77" s="107"/>
    </row>
    <row r="78" spans="1:14" ht="21.75" customHeight="1" collapsed="1">
      <c r="A78" s="108" t="s">
        <v>124</v>
      </c>
      <c r="B78" s="111" t="s">
        <v>125</v>
      </c>
      <c r="C78" s="114" t="s">
        <v>11</v>
      </c>
      <c r="D78" s="114" t="s">
        <v>113</v>
      </c>
      <c r="E78" s="114" t="s">
        <v>153</v>
      </c>
      <c r="F78" s="12" t="s">
        <v>14</v>
      </c>
      <c r="G78" s="22">
        <f t="shared" ref="G78:M78" si="22">G79+G80+G81</f>
        <v>245901.6</v>
      </c>
      <c r="H78" s="22">
        <f t="shared" si="22"/>
        <v>0</v>
      </c>
      <c r="I78" s="22">
        <f t="shared" si="22"/>
        <v>0</v>
      </c>
      <c r="J78" s="48">
        <f t="shared" si="22"/>
        <v>149349.60000000003</v>
      </c>
      <c r="K78" s="22">
        <f t="shared" si="22"/>
        <v>48276</v>
      </c>
      <c r="L78" s="22">
        <f t="shared" si="22"/>
        <v>48276</v>
      </c>
      <c r="M78" s="22">
        <f t="shared" si="22"/>
        <v>48276</v>
      </c>
      <c r="N78" s="107"/>
    </row>
    <row r="79" spans="1:14" ht="21.75" customHeight="1">
      <c r="A79" s="109"/>
      <c r="B79" s="112"/>
      <c r="C79" s="115"/>
      <c r="D79" s="115"/>
      <c r="E79" s="115"/>
      <c r="F79" s="12" t="s">
        <v>133</v>
      </c>
      <c r="G79" s="22">
        <f>H79+I79+J79+K79+M79</f>
        <v>149352</v>
      </c>
      <c r="H79" s="22">
        <v>0</v>
      </c>
      <c r="I79" s="22">
        <v>0</v>
      </c>
      <c r="J79" s="48">
        <f>'[4]остатки средств в ФК_3'!$AI$100+'[4]остатки средств в ФК_3'!$AI$98</f>
        <v>52800.000000000015</v>
      </c>
      <c r="K79" s="22">
        <v>48276</v>
      </c>
      <c r="L79" s="22">
        <v>48276</v>
      </c>
      <c r="M79" s="22">
        <v>48276</v>
      </c>
      <c r="N79" s="107"/>
    </row>
    <row r="80" spans="1:14" ht="21.75" customHeight="1">
      <c r="A80" s="109"/>
      <c r="B80" s="112"/>
      <c r="C80" s="115"/>
      <c r="D80" s="115"/>
      <c r="E80" s="115"/>
      <c r="F80" s="12" t="s">
        <v>16</v>
      </c>
      <c r="G80" s="22">
        <f>H80+I80+J80+K80+M80</f>
        <v>96549.6</v>
      </c>
      <c r="H80" s="22">
        <v>0</v>
      </c>
      <c r="I80" s="22">
        <v>0</v>
      </c>
      <c r="J80" s="48">
        <f>'[4]остатки средств в ФК_3'!$AH$100</f>
        <v>96549.6</v>
      </c>
      <c r="K80" s="48"/>
      <c r="L80" s="48"/>
      <c r="M80" s="48"/>
      <c r="N80" s="107"/>
    </row>
    <row r="81" spans="1:15" ht="21.75" customHeight="1">
      <c r="A81" s="110"/>
      <c r="B81" s="113"/>
      <c r="C81" s="116"/>
      <c r="D81" s="116"/>
      <c r="E81" s="116"/>
      <c r="F81" s="12" t="s">
        <v>17</v>
      </c>
      <c r="G81" s="22">
        <f>H81+I81+J81+K81+M81</f>
        <v>0</v>
      </c>
      <c r="H81" s="22">
        <v>0</v>
      </c>
      <c r="I81" s="22">
        <v>0</v>
      </c>
      <c r="J81" s="48">
        <v>0</v>
      </c>
      <c r="K81" s="22">
        <v>0</v>
      </c>
      <c r="L81" s="22">
        <v>0</v>
      </c>
      <c r="M81" s="22">
        <v>0</v>
      </c>
      <c r="N81" s="107"/>
    </row>
    <row r="82" spans="1:15" ht="21.75" customHeight="1">
      <c r="A82" s="108" t="s">
        <v>128</v>
      </c>
      <c r="B82" s="195" t="s">
        <v>22</v>
      </c>
      <c r="C82" s="114" t="s">
        <v>11</v>
      </c>
      <c r="D82" s="117" t="s">
        <v>27</v>
      </c>
      <c r="E82" s="114" t="s">
        <v>153</v>
      </c>
      <c r="F82" s="12" t="s">
        <v>14</v>
      </c>
      <c r="G82" s="22">
        <f t="shared" ref="G82:M82" si="23">G83+G84+G85</f>
        <v>5474764.5199999996</v>
      </c>
      <c r="H82" s="22">
        <f t="shared" si="23"/>
        <v>1006307</v>
      </c>
      <c r="I82" s="22">
        <f t="shared" si="23"/>
        <v>1385373.84</v>
      </c>
      <c r="J82" s="48">
        <f t="shared" si="23"/>
        <v>881623.68</v>
      </c>
      <c r="K82" s="22">
        <f t="shared" si="23"/>
        <v>1100730</v>
      </c>
      <c r="L82" s="22">
        <f>L83+L84+L85</f>
        <v>1100730</v>
      </c>
      <c r="M82" s="22">
        <f t="shared" si="23"/>
        <v>1100730</v>
      </c>
      <c r="N82" s="107"/>
    </row>
    <row r="83" spans="1:15" ht="21.75" customHeight="1">
      <c r="A83" s="109"/>
      <c r="B83" s="196"/>
      <c r="C83" s="115"/>
      <c r="D83" s="118"/>
      <c r="E83" s="115"/>
      <c r="F83" s="12" t="s">
        <v>133</v>
      </c>
      <c r="G83" s="22">
        <f>H83+I83+J83+K83+M83</f>
        <v>5474764.5199999996</v>
      </c>
      <c r="H83" s="22">
        <v>1006307</v>
      </c>
      <c r="I83" s="22">
        <f>1199420.42+157723.37+28230.05</f>
        <v>1385373.84</v>
      </c>
      <c r="J83" s="48">
        <f>965822.81-130616.86+22367.74+24049.99</f>
        <v>881623.68</v>
      </c>
      <c r="K83" s="22">
        <v>1100730</v>
      </c>
      <c r="L83" s="22">
        <v>1100730</v>
      </c>
      <c r="M83" s="22">
        <v>1100730</v>
      </c>
      <c r="N83" s="107"/>
    </row>
    <row r="84" spans="1:15" ht="21.75" customHeight="1">
      <c r="A84" s="109"/>
      <c r="B84" s="196"/>
      <c r="C84" s="115"/>
      <c r="D84" s="118"/>
      <c r="E84" s="115"/>
      <c r="F84" s="12" t="s">
        <v>16</v>
      </c>
      <c r="G84" s="22">
        <f>H84+I84+J84+K84+M84</f>
        <v>0</v>
      </c>
      <c r="H84" s="22">
        <v>0</v>
      </c>
      <c r="I84" s="22">
        <v>0</v>
      </c>
      <c r="J84" s="48">
        <v>0</v>
      </c>
      <c r="K84" s="22">
        <v>0</v>
      </c>
      <c r="L84" s="22">
        <v>0</v>
      </c>
      <c r="M84" s="22">
        <v>0</v>
      </c>
      <c r="N84" s="107"/>
    </row>
    <row r="85" spans="1:15" ht="21.75" customHeight="1">
      <c r="A85" s="110"/>
      <c r="B85" s="197"/>
      <c r="C85" s="115"/>
      <c r="D85" s="119"/>
      <c r="E85" s="116"/>
      <c r="F85" s="12" t="s">
        <v>17</v>
      </c>
      <c r="G85" s="22">
        <f>H85+I85+J85+K85+M85</f>
        <v>0</v>
      </c>
      <c r="H85" s="22">
        <v>0</v>
      </c>
      <c r="I85" s="22">
        <v>0</v>
      </c>
      <c r="J85" s="48">
        <v>0</v>
      </c>
      <c r="K85" s="22">
        <v>0</v>
      </c>
      <c r="L85" s="22">
        <v>0</v>
      </c>
      <c r="M85" s="22">
        <v>0</v>
      </c>
      <c r="N85" s="107"/>
    </row>
    <row r="86" spans="1:15" ht="21.75" customHeight="1">
      <c r="A86" s="108" t="s">
        <v>144</v>
      </c>
      <c r="B86" s="195" t="s">
        <v>23</v>
      </c>
      <c r="C86" s="114" t="s">
        <v>11</v>
      </c>
      <c r="D86" s="117" t="s">
        <v>27</v>
      </c>
      <c r="E86" s="114" t="s">
        <v>153</v>
      </c>
      <c r="F86" s="12" t="s">
        <v>14</v>
      </c>
      <c r="G86" s="22">
        <f t="shared" ref="G86:M86" si="24">G87+G88+G89</f>
        <v>167983423.48999998</v>
      </c>
      <c r="H86" s="22">
        <f t="shared" si="24"/>
        <v>31798849</v>
      </c>
      <c r="I86" s="22">
        <f t="shared" si="24"/>
        <v>36091735.869999997</v>
      </c>
      <c r="J86" s="48">
        <f t="shared" si="24"/>
        <v>39884600.390000001</v>
      </c>
      <c r="K86" s="22">
        <f t="shared" si="24"/>
        <v>31831278.23</v>
      </c>
      <c r="L86" s="22">
        <f>L87+L88+L89</f>
        <v>34750000</v>
      </c>
      <c r="M86" s="22">
        <f t="shared" si="24"/>
        <v>28376960</v>
      </c>
      <c r="N86" s="107"/>
    </row>
    <row r="87" spans="1:15" ht="21.75" customHeight="1">
      <c r="A87" s="109"/>
      <c r="B87" s="196"/>
      <c r="C87" s="115"/>
      <c r="D87" s="118"/>
      <c r="E87" s="115"/>
      <c r="F87" s="12" t="s">
        <v>133</v>
      </c>
      <c r="G87" s="22">
        <f>H87+I87+J87+K87+M87</f>
        <v>388968.69</v>
      </c>
      <c r="H87" s="22">
        <v>100000</v>
      </c>
      <c r="I87" s="22">
        <f>101833.11+23737.45</f>
        <v>125570.56</v>
      </c>
      <c r="J87" s="48">
        <v>99792.13</v>
      </c>
      <c r="K87" s="22">
        <v>63606</v>
      </c>
      <c r="L87" s="22">
        <v>0</v>
      </c>
      <c r="M87" s="22">
        <v>0</v>
      </c>
      <c r="N87" s="107"/>
    </row>
    <row r="88" spans="1:15" ht="21.75" customHeight="1">
      <c r="A88" s="109"/>
      <c r="B88" s="196"/>
      <c r="C88" s="115"/>
      <c r="D88" s="118"/>
      <c r="E88" s="115"/>
      <c r="F88" s="12" t="s">
        <v>16</v>
      </c>
      <c r="G88" s="22">
        <f>H88+I88+J88+K88+M88</f>
        <v>167594454.79999998</v>
      </c>
      <c r="H88" s="22">
        <v>31698849</v>
      </c>
      <c r="I88" s="22">
        <f>35963535.87+2629.44</f>
        <v>35966165.309999995</v>
      </c>
      <c r="J88" s="48">
        <f>'[2]остатки средств в ФК_8'!$R$34+2040.87</f>
        <v>39784808.259999998</v>
      </c>
      <c r="K88" s="22">
        <v>31767672.23</v>
      </c>
      <c r="L88" s="22">
        <v>34750000</v>
      </c>
      <c r="M88" s="22">
        <f>'[16]СРБ на план. период_1'!$V$34</f>
        <v>28376960</v>
      </c>
      <c r="N88" s="107"/>
    </row>
    <row r="89" spans="1:15" ht="21.75" customHeight="1">
      <c r="A89" s="110"/>
      <c r="B89" s="197"/>
      <c r="C89" s="115"/>
      <c r="D89" s="119"/>
      <c r="E89" s="116"/>
      <c r="F89" s="12" t="s">
        <v>17</v>
      </c>
      <c r="G89" s="22">
        <f>H89+I89+J89+K89+M89</f>
        <v>0</v>
      </c>
      <c r="H89" s="22">
        <v>0</v>
      </c>
      <c r="I89" s="22">
        <v>0</v>
      </c>
      <c r="J89" s="48">
        <v>0</v>
      </c>
      <c r="K89" s="22">
        <v>0</v>
      </c>
      <c r="L89" s="22">
        <v>0</v>
      </c>
      <c r="M89" s="22">
        <v>0</v>
      </c>
      <c r="N89" s="107"/>
    </row>
    <row r="90" spans="1:15" ht="21.75" hidden="1" customHeight="1" outlineLevel="1">
      <c r="A90" s="108" t="s">
        <v>38</v>
      </c>
      <c r="B90" s="111" t="s">
        <v>39</v>
      </c>
      <c r="C90" s="114" t="s">
        <v>11</v>
      </c>
      <c r="D90" s="117" t="s">
        <v>27</v>
      </c>
      <c r="E90" s="114" t="s">
        <v>153</v>
      </c>
      <c r="F90" s="12" t="s">
        <v>14</v>
      </c>
      <c r="G90" s="22">
        <f t="shared" ref="G90:M90" si="25">G91+G92+G93</f>
        <v>0</v>
      </c>
      <c r="H90" s="22">
        <f t="shared" si="25"/>
        <v>0</v>
      </c>
      <c r="I90" s="22">
        <f t="shared" si="25"/>
        <v>0</v>
      </c>
      <c r="J90" s="48">
        <f t="shared" si="25"/>
        <v>0</v>
      </c>
      <c r="K90" s="22">
        <f t="shared" si="25"/>
        <v>0</v>
      </c>
      <c r="L90" s="22">
        <f>L91+L92+L93</f>
        <v>0</v>
      </c>
      <c r="M90" s="22">
        <f t="shared" si="25"/>
        <v>0</v>
      </c>
      <c r="N90" s="107"/>
    </row>
    <row r="91" spans="1:15" ht="21.75" hidden="1" customHeight="1" outlineLevel="1">
      <c r="A91" s="109"/>
      <c r="B91" s="112"/>
      <c r="C91" s="115"/>
      <c r="D91" s="118"/>
      <c r="E91" s="115"/>
      <c r="F91" s="12" t="s">
        <v>133</v>
      </c>
      <c r="G91" s="22">
        <f>H91+I91+J91+K91+M91</f>
        <v>0</v>
      </c>
      <c r="H91" s="22">
        <v>0</v>
      </c>
      <c r="I91" s="22">
        <v>0</v>
      </c>
      <c r="J91" s="48">
        <v>0</v>
      </c>
      <c r="K91" s="22">
        <v>0</v>
      </c>
      <c r="L91" s="22">
        <v>0</v>
      </c>
      <c r="M91" s="22">
        <v>0</v>
      </c>
      <c r="N91" s="107"/>
    </row>
    <row r="92" spans="1:15" ht="21.75" hidden="1" customHeight="1" outlineLevel="1">
      <c r="A92" s="109"/>
      <c r="B92" s="112"/>
      <c r="C92" s="115"/>
      <c r="D92" s="118"/>
      <c r="E92" s="115"/>
      <c r="F92" s="12" t="s">
        <v>16</v>
      </c>
      <c r="G92" s="22">
        <f>H92+I92+J92+K92+M92</f>
        <v>0</v>
      </c>
      <c r="H92" s="22">
        <v>0</v>
      </c>
      <c r="I92" s="22">
        <v>0</v>
      </c>
      <c r="J92" s="48">
        <v>0</v>
      </c>
      <c r="K92" s="22">
        <v>0</v>
      </c>
      <c r="L92" s="22">
        <v>0</v>
      </c>
      <c r="M92" s="22">
        <v>0</v>
      </c>
      <c r="N92" s="107"/>
    </row>
    <row r="93" spans="1:15" ht="21.75" hidden="1" customHeight="1" outlineLevel="1">
      <c r="A93" s="110"/>
      <c r="B93" s="113"/>
      <c r="C93" s="115"/>
      <c r="D93" s="119"/>
      <c r="E93" s="116"/>
      <c r="F93" s="12" t="s">
        <v>17</v>
      </c>
      <c r="G93" s="22">
        <f>H93+I93+J93+K93+M93</f>
        <v>0</v>
      </c>
      <c r="H93" s="22">
        <v>0</v>
      </c>
      <c r="I93" s="22">
        <v>0</v>
      </c>
      <c r="J93" s="48">
        <v>0</v>
      </c>
      <c r="K93" s="22">
        <v>0</v>
      </c>
      <c r="L93" s="22">
        <v>0</v>
      </c>
      <c r="M93" s="22">
        <v>0</v>
      </c>
      <c r="N93" s="107"/>
    </row>
    <row r="94" spans="1:15" ht="21.75" hidden="1" customHeight="1" outlineLevel="1">
      <c r="A94" s="108" t="s">
        <v>46</v>
      </c>
      <c r="B94" s="111" t="s">
        <v>47</v>
      </c>
      <c r="C94" s="114" t="s">
        <v>11</v>
      </c>
      <c r="D94" s="117" t="s">
        <v>27</v>
      </c>
      <c r="E94" s="114" t="s">
        <v>153</v>
      </c>
      <c r="F94" s="12" t="s">
        <v>14</v>
      </c>
      <c r="G94" s="22">
        <f t="shared" ref="G94:M94" si="26">G95+G96+G97</f>
        <v>0</v>
      </c>
      <c r="H94" s="22">
        <f t="shared" si="26"/>
        <v>0</v>
      </c>
      <c r="I94" s="22">
        <f t="shared" si="26"/>
        <v>0</v>
      </c>
      <c r="J94" s="22">
        <f t="shared" si="26"/>
        <v>0</v>
      </c>
      <c r="K94" s="22">
        <f t="shared" si="26"/>
        <v>0</v>
      </c>
      <c r="L94" s="22">
        <f>L95+L96+L97</f>
        <v>0</v>
      </c>
      <c r="M94" s="22">
        <f t="shared" si="26"/>
        <v>0</v>
      </c>
      <c r="N94" s="107"/>
    </row>
    <row r="95" spans="1:15" ht="21.75" hidden="1" customHeight="1" outlineLevel="1">
      <c r="A95" s="109"/>
      <c r="B95" s="112"/>
      <c r="C95" s="115"/>
      <c r="D95" s="118"/>
      <c r="E95" s="115"/>
      <c r="F95" s="12" t="s">
        <v>133</v>
      </c>
      <c r="G95" s="22">
        <f>H95+I95+J95+K95+M95</f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107"/>
    </row>
    <row r="96" spans="1:15" ht="21.75" hidden="1" customHeight="1" outlineLevel="1">
      <c r="A96" s="109"/>
      <c r="B96" s="112"/>
      <c r="C96" s="115"/>
      <c r="D96" s="118"/>
      <c r="E96" s="115"/>
      <c r="F96" s="12" t="s">
        <v>16</v>
      </c>
      <c r="G96" s="22">
        <f>H96+I96+J96+K96+M96</f>
        <v>0</v>
      </c>
      <c r="H96" s="22"/>
      <c r="I96" s="22"/>
      <c r="J96" s="22"/>
      <c r="K96" s="22"/>
      <c r="L96" s="22"/>
      <c r="M96" s="22"/>
      <c r="N96" s="107"/>
      <c r="O96" s="9"/>
    </row>
    <row r="97" spans="1:16" ht="21.75" hidden="1" customHeight="1" outlineLevel="1">
      <c r="A97" s="110"/>
      <c r="B97" s="113"/>
      <c r="C97" s="115"/>
      <c r="D97" s="119"/>
      <c r="E97" s="116"/>
      <c r="F97" s="12" t="s">
        <v>17</v>
      </c>
      <c r="G97" s="22">
        <f>H97+I97+J97+K97+M97</f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167"/>
    </row>
    <row r="98" spans="1:16" ht="21.75" customHeight="1" collapsed="1">
      <c r="A98" s="183"/>
      <c r="B98" s="186" t="s">
        <v>49</v>
      </c>
      <c r="C98" s="189" t="s">
        <v>11</v>
      </c>
      <c r="D98" s="192" t="s">
        <v>50</v>
      </c>
      <c r="E98" s="189" t="s">
        <v>153</v>
      </c>
      <c r="F98" s="37" t="s">
        <v>14</v>
      </c>
      <c r="G98" s="38">
        <f t="shared" ref="G98:M98" si="27">G99+G100+G101</f>
        <v>507627596.42000002</v>
      </c>
      <c r="H98" s="38">
        <f>H99+H100+H101</f>
        <v>84734080.780000001</v>
      </c>
      <c r="I98" s="38">
        <f>I99+I100+I101</f>
        <v>96308847.780000001</v>
      </c>
      <c r="J98" s="38">
        <f>J99+J100+J101</f>
        <v>101161763.69</v>
      </c>
      <c r="K98" s="38">
        <f t="shared" si="27"/>
        <v>111369849.59</v>
      </c>
      <c r="L98" s="38">
        <f>L99+L100+L101</f>
        <v>112959582.03</v>
      </c>
      <c r="M98" s="38">
        <f t="shared" si="27"/>
        <v>114053054.58</v>
      </c>
      <c r="N98" s="152" t="s">
        <v>51</v>
      </c>
    </row>
    <row r="99" spans="1:16" ht="21.75" customHeight="1">
      <c r="A99" s="184"/>
      <c r="B99" s="187"/>
      <c r="C99" s="190"/>
      <c r="D99" s="193"/>
      <c r="E99" s="190"/>
      <c r="F99" s="37" t="s">
        <v>133</v>
      </c>
      <c r="G99" s="38">
        <f>H99+I99+J99+K99+M99</f>
        <v>107049906.11</v>
      </c>
      <c r="H99" s="38">
        <f t="shared" ref="H99:M101" si="28">H103+H119+H107+H111+H115+H123</f>
        <v>18875528.780000001</v>
      </c>
      <c r="I99" s="38">
        <f t="shared" si="28"/>
        <v>18939692.490000002</v>
      </c>
      <c r="J99" s="38">
        <f t="shared" si="28"/>
        <v>20821117.829999998</v>
      </c>
      <c r="K99" s="38">
        <f t="shared" si="28"/>
        <v>24995167.82</v>
      </c>
      <c r="L99" s="38">
        <f t="shared" si="28"/>
        <v>23519028.940000001</v>
      </c>
      <c r="M99" s="38">
        <f t="shared" si="28"/>
        <v>23418399.190000001</v>
      </c>
      <c r="N99" s="153"/>
    </row>
    <row r="100" spans="1:16" ht="21.75" customHeight="1">
      <c r="A100" s="184"/>
      <c r="B100" s="187"/>
      <c r="C100" s="190"/>
      <c r="D100" s="193"/>
      <c r="E100" s="190"/>
      <c r="F100" s="37" t="s">
        <v>16</v>
      </c>
      <c r="G100" s="38">
        <f>H100+I100+J100+K100+M100</f>
        <v>400577690.31</v>
      </c>
      <c r="H100" s="38">
        <f t="shared" si="28"/>
        <v>65858552</v>
      </c>
      <c r="I100" s="38">
        <f t="shared" si="28"/>
        <v>77369155.290000007</v>
      </c>
      <c r="J100" s="38">
        <f t="shared" si="28"/>
        <v>80340645.859999999</v>
      </c>
      <c r="K100" s="38">
        <f t="shared" si="28"/>
        <v>86374681.769999996</v>
      </c>
      <c r="L100" s="38">
        <f t="shared" si="28"/>
        <v>89440553.090000004</v>
      </c>
      <c r="M100" s="38">
        <f t="shared" si="28"/>
        <v>90634655.390000001</v>
      </c>
      <c r="N100" s="153"/>
    </row>
    <row r="101" spans="1:16" ht="21.75" customHeight="1">
      <c r="A101" s="185"/>
      <c r="B101" s="188"/>
      <c r="C101" s="191"/>
      <c r="D101" s="194"/>
      <c r="E101" s="191"/>
      <c r="F101" s="37" t="s">
        <v>17</v>
      </c>
      <c r="G101" s="38">
        <f>H101+I101+J101+K101+M101</f>
        <v>0</v>
      </c>
      <c r="H101" s="38">
        <f t="shared" si="28"/>
        <v>0</v>
      </c>
      <c r="I101" s="38">
        <f t="shared" si="28"/>
        <v>0</v>
      </c>
      <c r="J101" s="38">
        <f t="shared" si="28"/>
        <v>0</v>
      </c>
      <c r="K101" s="38">
        <f t="shared" si="28"/>
        <v>0</v>
      </c>
      <c r="L101" s="38">
        <f t="shared" si="28"/>
        <v>0</v>
      </c>
      <c r="M101" s="38">
        <f t="shared" si="28"/>
        <v>0</v>
      </c>
      <c r="N101" s="153"/>
    </row>
    <row r="102" spans="1:16" ht="21.75" customHeight="1">
      <c r="A102" s="108" t="s">
        <v>18</v>
      </c>
      <c r="B102" s="111" t="s">
        <v>52</v>
      </c>
      <c r="C102" s="114" t="s">
        <v>11</v>
      </c>
      <c r="D102" s="117" t="s">
        <v>42</v>
      </c>
      <c r="E102" s="114" t="s">
        <v>153</v>
      </c>
      <c r="F102" s="12" t="s">
        <v>14</v>
      </c>
      <c r="G102" s="22">
        <f t="shared" ref="G102:M102" si="29">G103+G104+G105</f>
        <v>425179351.14458436</v>
      </c>
      <c r="H102" s="22">
        <f t="shared" si="29"/>
        <v>75848880.460000008</v>
      </c>
      <c r="I102" s="22">
        <f t="shared" si="29"/>
        <v>78759959.739999995</v>
      </c>
      <c r="J102" s="48">
        <f t="shared" si="29"/>
        <v>81872994.930000007</v>
      </c>
      <c r="K102" s="22">
        <f t="shared" si="29"/>
        <v>92851833.820000008</v>
      </c>
      <c r="L102" s="22">
        <f>L103+L104+L105</f>
        <v>94216299.94458437</v>
      </c>
      <c r="M102" s="22">
        <f t="shared" si="29"/>
        <v>95845682.19458437</v>
      </c>
      <c r="N102" s="153"/>
    </row>
    <row r="103" spans="1:16" ht="21.75" customHeight="1">
      <c r="A103" s="109"/>
      <c r="B103" s="112"/>
      <c r="C103" s="115"/>
      <c r="D103" s="118"/>
      <c r="E103" s="115"/>
      <c r="F103" s="12" t="s">
        <v>133</v>
      </c>
      <c r="G103" s="22">
        <f>H103+I103+J103+K103+M103</f>
        <v>92434758.050000012</v>
      </c>
      <c r="H103" s="22">
        <v>17880557.460000001</v>
      </c>
      <c r="I103" s="22">
        <f>15484283.05-117000+1049417.39</f>
        <v>16416700.440000001</v>
      </c>
      <c r="J103" s="48">
        <f>17127247+366899</f>
        <v>17494146</v>
      </c>
      <c r="K103" s="22">
        <v>21113787.390000001</v>
      </c>
      <c r="L103" s="22">
        <v>19634116.510000002</v>
      </c>
      <c r="M103" s="22">
        <v>19529566.760000002</v>
      </c>
      <c r="N103" s="153"/>
      <c r="O103" s="10"/>
      <c r="P103" s="7"/>
    </row>
    <row r="104" spans="1:16" ht="21.75" customHeight="1">
      <c r="A104" s="109"/>
      <c r="B104" s="112"/>
      <c r="C104" s="115"/>
      <c r="D104" s="118"/>
      <c r="E104" s="115"/>
      <c r="F104" s="12" t="s">
        <v>16</v>
      </c>
      <c r="G104" s="22">
        <f>H104+I104+J104+K104+M104</f>
        <v>332744593.09458435</v>
      </c>
      <c r="H104" s="22">
        <f>57968323</f>
        <v>57968323</v>
      </c>
      <c r="I104" s="22">
        <f>62343259.3</f>
        <v>62343259.299999997</v>
      </c>
      <c r="J104" s="48">
        <f>64378848.93</f>
        <v>64378848.93</v>
      </c>
      <c r="K104" s="22">
        <v>71738046.430000007</v>
      </c>
      <c r="L104" s="22">
        <v>74582183.434584364</v>
      </c>
      <c r="M104" s="22">
        <v>76316115.434584364</v>
      </c>
      <c r="N104" s="153"/>
    </row>
    <row r="105" spans="1:16" ht="21.75" customHeight="1">
      <c r="A105" s="110"/>
      <c r="B105" s="113"/>
      <c r="C105" s="115"/>
      <c r="D105" s="119"/>
      <c r="E105" s="116"/>
      <c r="F105" s="12" t="s">
        <v>17</v>
      </c>
      <c r="G105" s="22">
        <f>H105+I105+J105+K105+M105</f>
        <v>0</v>
      </c>
      <c r="H105" s="22">
        <v>0</v>
      </c>
      <c r="I105" s="22">
        <v>0</v>
      </c>
      <c r="J105" s="48">
        <v>0</v>
      </c>
      <c r="K105" s="22">
        <v>0</v>
      </c>
      <c r="L105" s="22">
        <v>0</v>
      </c>
      <c r="M105" s="22">
        <v>0</v>
      </c>
      <c r="N105" s="153"/>
    </row>
    <row r="106" spans="1:16" ht="21.75" customHeight="1" outlineLevel="1">
      <c r="A106" s="108" t="s">
        <v>25</v>
      </c>
      <c r="B106" s="111" t="s">
        <v>109</v>
      </c>
      <c r="C106" s="114" t="s">
        <v>11</v>
      </c>
      <c r="D106" s="117" t="s">
        <v>42</v>
      </c>
      <c r="E106" s="114" t="s">
        <v>153</v>
      </c>
      <c r="F106" s="12" t="s">
        <v>14</v>
      </c>
      <c r="G106" s="22">
        <f t="shared" ref="G106:M106" si="30">G107+G108+G109</f>
        <v>0</v>
      </c>
      <c r="H106" s="22">
        <f t="shared" si="30"/>
        <v>0</v>
      </c>
      <c r="I106" s="22">
        <f t="shared" si="30"/>
        <v>0</v>
      </c>
      <c r="J106" s="22">
        <f t="shared" si="30"/>
        <v>0</v>
      </c>
      <c r="K106" s="22">
        <f t="shared" si="30"/>
        <v>0</v>
      </c>
      <c r="L106" s="22">
        <f t="shared" si="30"/>
        <v>0</v>
      </c>
      <c r="M106" s="22">
        <f t="shared" si="30"/>
        <v>0</v>
      </c>
      <c r="N106" s="153"/>
    </row>
    <row r="107" spans="1:16" ht="21.75" customHeight="1" outlineLevel="1">
      <c r="A107" s="109"/>
      <c r="B107" s="112"/>
      <c r="C107" s="115"/>
      <c r="D107" s="118"/>
      <c r="E107" s="115"/>
      <c r="F107" s="12" t="s">
        <v>15</v>
      </c>
      <c r="G107" s="22">
        <f>H107+I107+J107+K107+M107</f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153"/>
    </row>
    <row r="108" spans="1:16" ht="21.75" customHeight="1" outlineLevel="1">
      <c r="A108" s="109"/>
      <c r="B108" s="112"/>
      <c r="C108" s="115"/>
      <c r="D108" s="118"/>
      <c r="E108" s="115"/>
      <c r="F108" s="12" t="s">
        <v>16</v>
      </c>
      <c r="G108" s="22">
        <f>H108+I108+J108+K108+M108</f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153"/>
    </row>
    <row r="109" spans="1:16" ht="21.75" customHeight="1" outlineLevel="1">
      <c r="A109" s="110"/>
      <c r="B109" s="113"/>
      <c r="C109" s="115"/>
      <c r="D109" s="119"/>
      <c r="E109" s="116"/>
      <c r="F109" s="12" t="s">
        <v>17</v>
      </c>
      <c r="G109" s="22">
        <f>H109+I109+J109+K109+M109</f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153"/>
    </row>
    <row r="110" spans="1:16" ht="21.75" customHeight="1" outlineLevel="1">
      <c r="A110" s="108" t="s">
        <v>44</v>
      </c>
      <c r="B110" s="111" t="s">
        <v>110</v>
      </c>
      <c r="C110" s="114" t="s">
        <v>11</v>
      </c>
      <c r="D110" s="117" t="s">
        <v>42</v>
      </c>
      <c r="E110" s="114" t="s">
        <v>153</v>
      </c>
      <c r="F110" s="12" t="s">
        <v>14</v>
      </c>
      <c r="G110" s="22">
        <f t="shared" ref="G110:M110" si="31">G111+G112+G113</f>
        <v>0</v>
      </c>
      <c r="H110" s="22">
        <f t="shared" si="31"/>
        <v>0</v>
      </c>
      <c r="I110" s="22">
        <f t="shared" si="31"/>
        <v>0</v>
      </c>
      <c r="J110" s="22">
        <f t="shared" si="31"/>
        <v>0</v>
      </c>
      <c r="K110" s="22">
        <f t="shared" si="31"/>
        <v>0</v>
      </c>
      <c r="L110" s="22">
        <f t="shared" si="31"/>
        <v>0</v>
      </c>
      <c r="M110" s="22">
        <f t="shared" si="31"/>
        <v>0</v>
      </c>
      <c r="N110" s="153"/>
    </row>
    <row r="111" spans="1:16" ht="21.75" customHeight="1" outlineLevel="1">
      <c r="A111" s="109"/>
      <c r="B111" s="112"/>
      <c r="C111" s="115"/>
      <c r="D111" s="118"/>
      <c r="E111" s="115"/>
      <c r="F111" s="12" t="s">
        <v>15</v>
      </c>
      <c r="G111" s="23">
        <f>H111+I111+J111+K111+M111</f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153"/>
    </row>
    <row r="112" spans="1:16" ht="21.75" customHeight="1" outlineLevel="1">
      <c r="A112" s="109"/>
      <c r="B112" s="112"/>
      <c r="C112" s="115"/>
      <c r="D112" s="118"/>
      <c r="E112" s="115"/>
      <c r="F112" s="12" t="s">
        <v>16</v>
      </c>
      <c r="G112" s="23">
        <f>H112+I112+J112+K112+M112</f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153"/>
    </row>
    <row r="113" spans="1:14" ht="21.75" customHeight="1" outlineLevel="1">
      <c r="A113" s="110"/>
      <c r="B113" s="113"/>
      <c r="C113" s="115"/>
      <c r="D113" s="119"/>
      <c r="E113" s="116"/>
      <c r="F113" s="12" t="s">
        <v>17</v>
      </c>
      <c r="G113" s="23">
        <f>H113+I113+J113+K113+M113</f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153"/>
    </row>
    <row r="114" spans="1:14" ht="21.75" customHeight="1">
      <c r="A114" s="108" t="s">
        <v>112</v>
      </c>
      <c r="B114" s="195" t="s">
        <v>156</v>
      </c>
      <c r="C114" s="114" t="s">
        <v>11</v>
      </c>
      <c r="D114" s="117" t="s">
        <v>55</v>
      </c>
      <c r="E114" s="114" t="s">
        <v>153</v>
      </c>
      <c r="F114" s="12" t="s">
        <v>14</v>
      </c>
      <c r="G114" s="22">
        <f t="shared" ref="G114:M114" si="32">G115+G116+G117</f>
        <v>62842050.93541564</v>
      </c>
      <c r="H114" s="22">
        <f t="shared" si="32"/>
        <v>4920882.5</v>
      </c>
      <c r="I114" s="22">
        <f t="shared" si="32"/>
        <v>13636058.439999999</v>
      </c>
      <c r="J114" s="48">
        <f t="shared" si="32"/>
        <v>14165280</v>
      </c>
      <c r="K114" s="22">
        <f t="shared" si="32"/>
        <v>14957350</v>
      </c>
      <c r="L114" s="22">
        <f t="shared" si="32"/>
        <v>15054579.995415632</v>
      </c>
      <c r="M114" s="22">
        <f t="shared" si="32"/>
        <v>15162479.995415632</v>
      </c>
      <c r="N114" s="153"/>
    </row>
    <row r="115" spans="1:14" ht="21.75" customHeight="1">
      <c r="A115" s="109"/>
      <c r="B115" s="196"/>
      <c r="C115" s="115"/>
      <c r="D115" s="118"/>
      <c r="E115" s="115"/>
      <c r="F115" s="12" t="s">
        <v>15</v>
      </c>
      <c r="G115" s="22">
        <f>H115+I115+J115+K115+M115</f>
        <v>14266347.029999999</v>
      </c>
      <c r="H115" s="22">
        <f>845990.48+96482.96-233.44+4193.5</f>
        <v>946433.5</v>
      </c>
      <c r="I115" s="22">
        <f>2724868.3-76260.5*3-76260.06</f>
        <v>2419826.7399999998</v>
      </c>
      <c r="J115" s="48">
        <v>3245713.93</v>
      </c>
      <c r="K115" s="22">
        <v>3823460.43</v>
      </c>
      <c r="L115" s="22">
        <v>3826992.43</v>
      </c>
      <c r="M115" s="22">
        <v>3830912.43</v>
      </c>
      <c r="N115" s="153"/>
    </row>
    <row r="116" spans="1:14" ht="21.75" customHeight="1">
      <c r="A116" s="109"/>
      <c r="B116" s="196"/>
      <c r="C116" s="115"/>
      <c r="D116" s="118"/>
      <c r="E116" s="115"/>
      <c r="F116" s="12" t="s">
        <v>16</v>
      </c>
      <c r="G116" s="22">
        <f>H116+I116+J116+K116+M116</f>
        <v>48575703.905415639</v>
      </c>
      <c r="H116" s="22">
        <f>3768960+205489</f>
        <v>3974449</v>
      </c>
      <c r="I116" s="22">
        <v>11216231.699999999</v>
      </c>
      <c r="J116" s="48">
        <v>10919566.07</v>
      </c>
      <c r="K116" s="22">
        <v>11133889.57</v>
      </c>
      <c r="L116" s="22">
        <v>11227587.565415632</v>
      </c>
      <c r="M116" s="22">
        <v>11331567.565415632</v>
      </c>
      <c r="N116" s="153"/>
    </row>
    <row r="117" spans="1:14" ht="21.75" customHeight="1">
      <c r="A117" s="110"/>
      <c r="B117" s="197"/>
      <c r="C117" s="115"/>
      <c r="D117" s="119"/>
      <c r="E117" s="116"/>
      <c r="F117" s="12" t="s">
        <v>17</v>
      </c>
      <c r="G117" s="22">
        <f>H117+I117+J117+K117+M117</f>
        <v>0</v>
      </c>
      <c r="H117" s="22">
        <v>0</v>
      </c>
      <c r="I117" s="22">
        <v>0</v>
      </c>
      <c r="J117" s="48">
        <v>0</v>
      </c>
      <c r="K117" s="22">
        <v>0</v>
      </c>
      <c r="L117" s="22">
        <v>0</v>
      </c>
      <c r="M117" s="22">
        <v>0</v>
      </c>
      <c r="N117" s="153"/>
    </row>
    <row r="118" spans="1:14" ht="21.75" customHeight="1">
      <c r="A118" s="108" t="s">
        <v>128</v>
      </c>
      <c r="B118" s="195" t="s">
        <v>22</v>
      </c>
      <c r="C118" s="114" t="s">
        <v>11</v>
      </c>
      <c r="D118" s="117" t="s">
        <v>42</v>
      </c>
      <c r="E118" s="114" t="s">
        <v>153</v>
      </c>
      <c r="F118" s="12" t="s">
        <v>14</v>
      </c>
      <c r="G118" s="22">
        <f t="shared" ref="G118:M118" si="33">G119+G120+G121</f>
        <v>348801.03</v>
      </c>
      <c r="H118" s="22">
        <f t="shared" si="33"/>
        <v>48537.82</v>
      </c>
      <c r="I118" s="22">
        <f t="shared" si="33"/>
        <v>103165.31</v>
      </c>
      <c r="J118" s="48">
        <f t="shared" si="33"/>
        <v>81257.899999999994</v>
      </c>
      <c r="K118" s="22">
        <f t="shared" si="33"/>
        <v>57920</v>
      </c>
      <c r="L118" s="22">
        <f>L119+L120+L121</f>
        <v>57920</v>
      </c>
      <c r="M118" s="22">
        <f t="shared" si="33"/>
        <v>57920</v>
      </c>
      <c r="N118" s="153"/>
    </row>
    <row r="119" spans="1:14" ht="21.75" customHeight="1">
      <c r="A119" s="109"/>
      <c r="B119" s="196"/>
      <c r="C119" s="115"/>
      <c r="D119" s="118"/>
      <c r="E119" s="115"/>
      <c r="F119" s="12" t="s">
        <v>133</v>
      </c>
      <c r="G119" s="22">
        <f>H119+I119+J119+K119+M119</f>
        <v>348801.03</v>
      </c>
      <c r="H119" s="22">
        <f>48538-0.18</f>
        <v>48537.82</v>
      </c>
      <c r="I119" s="22">
        <f>94165.31+9000</f>
        <v>103165.31</v>
      </c>
      <c r="J119" s="48">
        <v>81257.899999999994</v>
      </c>
      <c r="K119" s="22">
        <v>57920</v>
      </c>
      <c r="L119" s="22">
        <v>57920</v>
      </c>
      <c r="M119" s="22">
        <v>57920</v>
      </c>
      <c r="N119" s="153"/>
    </row>
    <row r="120" spans="1:14" ht="21.75" customHeight="1">
      <c r="A120" s="109"/>
      <c r="B120" s="196"/>
      <c r="C120" s="115"/>
      <c r="D120" s="118"/>
      <c r="E120" s="115"/>
      <c r="F120" s="12" t="s">
        <v>16</v>
      </c>
      <c r="G120" s="22">
        <f>H120+I120+J120+K120+M120</f>
        <v>0</v>
      </c>
      <c r="H120" s="22">
        <v>0</v>
      </c>
      <c r="I120" s="22">
        <v>0</v>
      </c>
      <c r="J120" s="48">
        <v>0</v>
      </c>
      <c r="K120" s="22">
        <v>0</v>
      </c>
      <c r="L120" s="22">
        <v>0</v>
      </c>
      <c r="M120" s="22">
        <v>0</v>
      </c>
      <c r="N120" s="153"/>
    </row>
    <row r="121" spans="1:14" ht="21.75" customHeight="1">
      <c r="A121" s="110"/>
      <c r="B121" s="197"/>
      <c r="C121" s="115"/>
      <c r="D121" s="119"/>
      <c r="E121" s="116"/>
      <c r="F121" s="12" t="s">
        <v>17</v>
      </c>
      <c r="G121" s="22">
        <f>H121+I121+J121+K121+M121</f>
        <v>0</v>
      </c>
      <c r="H121" s="22">
        <v>0</v>
      </c>
      <c r="I121" s="22">
        <v>0</v>
      </c>
      <c r="J121" s="48">
        <v>0</v>
      </c>
      <c r="K121" s="22">
        <v>0</v>
      </c>
      <c r="L121" s="22">
        <v>0</v>
      </c>
      <c r="M121" s="22">
        <v>0</v>
      </c>
      <c r="N121" s="153"/>
    </row>
    <row r="122" spans="1:14" ht="21.75" customHeight="1">
      <c r="A122" s="108" t="s">
        <v>144</v>
      </c>
      <c r="B122" s="195" t="s">
        <v>23</v>
      </c>
      <c r="C122" s="114" t="s">
        <v>11</v>
      </c>
      <c r="D122" s="117" t="s">
        <v>147</v>
      </c>
      <c r="E122" s="114" t="s">
        <v>153</v>
      </c>
      <c r="F122" s="12" t="s">
        <v>14</v>
      </c>
      <c r="G122" s="22">
        <f t="shared" ref="G122:M122" si="34">G123+G124+G125</f>
        <v>19257393.309999999</v>
      </c>
      <c r="H122" s="22">
        <f t="shared" si="34"/>
        <v>3915780</v>
      </c>
      <c r="I122" s="22">
        <f t="shared" si="34"/>
        <v>3809664.29</v>
      </c>
      <c r="J122" s="48">
        <f t="shared" si="34"/>
        <v>5042230.8599999994</v>
      </c>
      <c r="K122" s="22">
        <f t="shared" si="34"/>
        <v>3502745.77</v>
      </c>
      <c r="L122" s="22">
        <f>L123+L124+L125</f>
        <v>3630782.09</v>
      </c>
      <c r="M122" s="22">
        <f t="shared" si="34"/>
        <v>2986972.3899999997</v>
      </c>
      <c r="N122" s="153"/>
    </row>
    <row r="123" spans="1:14" ht="21.75" customHeight="1">
      <c r="A123" s="109"/>
      <c r="B123" s="196"/>
      <c r="C123" s="115"/>
      <c r="D123" s="118"/>
      <c r="E123" s="115"/>
      <c r="F123" s="12" t="s">
        <v>133</v>
      </c>
      <c r="G123" s="22">
        <f>H123+I123+J123+K123+M123</f>
        <v>0</v>
      </c>
      <c r="H123" s="22">
        <v>0</v>
      </c>
      <c r="I123" s="22">
        <v>0</v>
      </c>
      <c r="J123" s="48">
        <v>0</v>
      </c>
      <c r="K123" s="22">
        <v>0</v>
      </c>
      <c r="L123" s="22">
        <v>0</v>
      </c>
      <c r="M123" s="22">
        <v>0</v>
      </c>
      <c r="N123" s="153"/>
    </row>
    <row r="124" spans="1:14" ht="21.75" customHeight="1">
      <c r="A124" s="109"/>
      <c r="B124" s="196"/>
      <c r="C124" s="115"/>
      <c r="D124" s="118"/>
      <c r="E124" s="115"/>
      <c r="F124" s="12" t="s">
        <v>16</v>
      </c>
      <c r="G124" s="22">
        <f>H124+I124+J124+K124+M124</f>
        <v>19257393.309999999</v>
      </c>
      <c r="H124" s="22">
        <f>1513280+2402500</f>
        <v>3915780</v>
      </c>
      <c r="I124" s="22">
        <f>1178210+2631454.29</f>
        <v>3809664.29</v>
      </c>
      <c r="J124" s="48">
        <f>'[2]остатки средств в ФК_8'!$R$74+'[2]остатки средств в ФК_8'!$R$16</f>
        <v>5042230.8599999994</v>
      </c>
      <c r="K124" s="22">
        <v>3502745.77</v>
      </c>
      <c r="L124" s="22">
        <v>3630782.09</v>
      </c>
      <c r="M124" s="22">
        <f>'[16]СРБ на план. период_1'!$V$66+'[16]СРБ на план. период_1'!$V$13</f>
        <v>2986972.3899999997</v>
      </c>
      <c r="N124" s="153"/>
    </row>
    <row r="125" spans="1:14" ht="21.75" customHeight="1">
      <c r="A125" s="110"/>
      <c r="B125" s="197"/>
      <c r="C125" s="115"/>
      <c r="D125" s="119"/>
      <c r="E125" s="116"/>
      <c r="F125" s="12" t="s">
        <v>17</v>
      </c>
      <c r="G125" s="22">
        <f>H125+I125+J125+K125+M125</f>
        <v>0</v>
      </c>
      <c r="H125" s="22">
        <v>0</v>
      </c>
      <c r="I125" s="22">
        <v>0</v>
      </c>
      <c r="J125" s="48">
        <v>0</v>
      </c>
      <c r="K125" s="22">
        <v>0</v>
      </c>
      <c r="L125" s="22">
        <v>0</v>
      </c>
      <c r="M125" s="22">
        <v>0</v>
      </c>
      <c r="N125" s="153"/>
    </row>
    <row r="126" spans="1:14" ht="21.75" customHeight="1">
      <c r="A126" s="183"/>
      <c r="B126" s="186" t="s">
        <v>57</v>
      </c>
      <c r="C126" s="189" t="s">
        <v>11</v>
      </c>
      <c r="D126" s="192" t="s">
        <v>55</v>
      </c>
      <c r="E126" s="189" t="s">
        <v>153</v>
      </c>
      <c r="F126" s="37" t="s">
        <v>14</v>
      </c>
      <c r="G126" s="38">
        <f t="shared" ref="G126:M126" si="35">G127+G128+G129</f>
        <v>106602214.7</v>
      </c>
      <c r="H126" s="38">
        <f>H127+H128+H129</f>
        <v>11501858.800000001</v>
      </c>
      <c r="I126" s="38">
        <f>I127+I128+I129</f>
        <v>20053625.789999999</v>
      </c>
      <c r="J126" s="38">
        <f>J127+J128+J129</f>
        <v>23607892.009999998</v>
      </c>
      <c r="K126" s="38">
        <f t="shared" si="35"/>
        <v>27963673.77</v>
      </c>
      <c r="L126" s="38">
        <f>L127+L128+L129</f>
        <v>24153926.329999998</v>
      </c>
      <c r="M126" s="38">
        <f t="shared" si="35"/>
        <v>23475164.329999998</v>
      </c>
      <c r="N126" s="106"/>
    </row>
    <row r="127" spans="1:14" ht="21.75" customHeight="1">
      <c r="A127" s="184"/>
      <c r="B127" s="187"/>
      <c r="C127" s="190"/>
      <c r="D127" s="193"/>
      <c r="E127" s="190"/>
      <c r="F127" s="37" t="s">
        <v>133</v>
      </c>
      <c r="G127" s="38">
        <f>H127+I127+J127+K127+M127</f>
        <v>20818843.09</v>
      </c>
      <c r="H127" s="38">
        <f t="shared" ref="H127:I129" si="36">+H131+H135+H139+H143+H147+H151</f>
        <v>1291281.29</v>
      </c>
      <c r="I127" s="38">
        <f t="shared" si="36"/>
        <v>2153726.31</v>
      </c>
      <c r="J127" s="38">
        <f>+J131+J135+J139+J143+J147+J151+J155</f>
        <v>5780842.8499999996</v>
      </c>
      <c r="K127" s="38">
        <f>+K131+K135+K139+K143+K147+K151+K155</f>
        <v>7104224.1900000004</v>
      </c>
      <c r="L127" s="38">
        <f>+L131+L135+L139+L143+L147+L151+L155</f>
        <v>4489443.82</v>
      </c>
      <c r="M127" s="38">
        <f>+M131+M135+M139+M143+M147+M151+M155</f>
        <v>4488768.45</v>
      </c>
      <c r="N127" s="107"/>
    </row>
    <row r="128" spans="1:14" ht="21.75" customHeight="1">
      <c r="A128" s="184"/>
      <c r="B128" s="187"/>
      <c r="C128" s="190"/>
      <c r="D128" s="193"/>
      <c r="E128" s="190"/>
      <c r="F128" s="37" t="s">
        <v>16</v>
      </c>
      <c r="G128" s="38">
        <f>H128+I128+J128+K128+M128</f>
        <v>16930620.719999999</v>
      </c>
      <c r="H128" s="38">
        <f t="shared" si="36"/>
        <v>3811477.51</v>
      </c>
      <c r="I128" s="38">
        <f t="shared" si="36"/>
        <v>3351399.4800000004</v>
      </c>
      <c r="J128" s="38">
        <f t="shared" ref="J128:M129" si="37">+J132+J136+J140+J144+J148+J152+J156</f>
        <v>2980398.27</v>
      </c>
      <c r="K128" s="38">
        <f t="shared" si="37"/>
        <v>3670049.58</v>
      </c>
      <c r="L128" s="38">
        <f t="shared" si="37"/>
        <v>3020382.51</v>
      </c>
      <c r="M128" s="38">
        <f t="shared" si="37"/>
        <v>3117295.88</v>
      </c>
      <c r="N128" s="107"/>
    </row>
    <row r="129" spans="1:15" ht="21.75" customHeight="1">
      <c r="A129" s="185"/>
      <c r="B129" s="188"/>
      <c r="C129" s="191"/>
      <c r="D129" s="194"/>
      <c r="E129" s="191"/>
      <c r="F129" s="37" t="s">
        <v>17</v>
      </c>
      <c r="G129" s="38">
        <f>H129+I129+J129+K129+M129</f>
        <v>68852750.890000001</v>
      </c>
      <c r="H129" s="38">
        <f t="shared" si="36"/>
        <v>6399100</v>
      </c>
      <c r="I129" s="38">
        <f t="shared" si="36"/>
        <v>14548499.999999998</v>
      </c>
      <c r="J129" s="38">
        <f t="shared" si="37"/>
        <v>14846650.890000001</v>
      </c>
      <c r="K129" s="38">
        <f t="shared" si="37"/>
        <v>17189400</v>
      </c>
      <c r="L129" s="38">
        <f t="shared" si="37"/>
        <v>16644100</v>
      </c>
      <c r="M129" s="38">
        <f t="shared" si="37"/>
        <v>15869100</v>
      </c>
      <c r="N129" s="107"/>
    </row>
    <row r="130" spans="1:15" ht="21.75" customHeight="1">
      <c r="A130" s="108" t="s">
        <v>78</v>
      </c>
      <c r="B130" s="111" t="s">
        <v>64</v>
      </c>
      <c r="C130" s="114" t="s">
        <v>11</v>
      </c>
      <c r="D130" s="120" t="s">
        <v>65</v>
      </c>
      <c r="E130" s="114" t="s">
        <v>153</v>
      </c>
      <c r="F130" s="12" t="s">
        <v>14</v>
      </c>
      <c r="G130" s="22">
        <f t="shared" ref="G130:M130" si="38">G131+G132+G133</f>
        <v>3240284.2800000003</v>
      </c>
      <c r="H130" s="22">
        <f t="shared" si="38"/>
        <v>547300</v>
      </c>
      <c r="I130" s="22">
        <f t="shared" si="38"/>
        <v>708294.28</v>
      </c>
      <c r="J130" s="22">
        <f t="shared" si="38"/>
        <v>721420</v>
      </c>
      <c r="K130" s="22">
        <f t="shared" si="38"/>
        <v>639900</v>
      </c>
      <c r="L130" s="22">
        <f>L131+L132+L133</f>
        <v>638490</v>
      </c>
      <c r="M130" s="22">
        <f t="shared" si="38"/>
        <v>623370</v>
      </c>
      <c r="N130" s="106" t="s">
        <v>66</v>
      </c>
    </row>
    <row r="131" spans="1:15" ht="21.75" customHeight="1">
      <c r="A131" s="109"/>
      <c r="B131" s="112"/>
      <c r="C131" s="115"/>
      <c r="D131" s="121"/>
      <c r="E131" s="115"/>
      <c r="F131" s="12" t="s">
        <v>133</v>
      </c>
      <c r="G131" s="22">
        <f>H131+I131+J131+K131+M131</f>
        <v>2072394.28</v>
      </c>
      <c r="H131" s="22">
        <v>408000</v>
      </c>
      <c r="I131" s="22">
        <f>433440+44154.28</f>
        <v>477594.28</v>
      </c>
      <c r="J131" s="22">
        <f>526320-61920</f>
        <v>464400</v>
      </c>
      <c r="K131" s="22">
        <v>361200</v>
      </c>
      <c r="L131" s="22">
        <v>361200</v>
      </c>
      <c r="M131" s="22">
        <v>361200</v>
      </c>
      <c r="N131" s="107"/>
    </row>
    <row r="132" spans="1:15" ht="21.75" customHeight="1">
      <c r="A132" s="109"/>
      <c r="B132" s="112"/>
      <c r="C132" s="115"/>
      <c r="D132" s="121"/>
      <c r="E132" s="115"/>
      <c r="F132" s="12" t="s">
        <v>16</v>
      </c>
      <c r="G132" s="22">
        <f>H132+I132+J132+K132+M132</f>
        <v>1167890</v>
      </c>
      <c r="H132" s="22">
        <v>139300</v>
      </c>
      <c r="I132" s="22">
        <v>230700</v>
      </c>
      <c r="J132" s="22">
        <v>257020</v>
      </c>
      <c r="K132" s="22">
        <v>278700</v>
      </c>
      <c r="L132" s="22">
        <v>277290</v>
      </c>
      <c r="M132" s="22">
        <v>262170</v>
      </c>
      <c r="N132" s="107"/>
    </row>
    <row r="133" spans="1:15" ht="21.75" customHeight="1">
      <c r="A133" s="110"/>
      <c r="B133" s="113"/>
      <c r="C133" s="115"/>
      <c r="D133" s="122"/>
      <c r="E133" s="116"/>
      <c r="F133" s="12" t="s">
        <v>17</v>
      </c>
      <c r="G133" s="22">
        <f>H133+I133+J133+K133+M133</f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167"/>
    </row>
    <row r="134" spans="1:15" ht="21.75" customHeight="1">
      <c r="A134" s="108" t="s">
        <v>81</v>
      </c>
      <c r="B134" s="111" t="s">
        <v>67</v>
      </c>
      <c r="C134" s="114" t="s">
        <v>11</v>
      </c>
      <c r="D134" s="117" t="s">
        <v>147</v>
      </c>
      <c r="E134" s="114" t="s">
        <v>153</v>
      </c>
      <c r="F134" s="12" t="s">
        <v>14</v>
      </c>
      <c r="G134" s="22">
        <f t="shared" ref="G134:M134" si="39">G135+G136+G137</f>
        <v>7492612.9000000004</v>
      </c>
      <c r="H134" s="22">
        <f t="shared" si="39"/>
        <v>104312.9</v>
      </c>
      <c r="I134" s="22">
        <f t="shared" si="39"/>
        <v>1803468</v>
      </c>
      <c r="J134" s="22">
        <f t="shared" si="39"/>
        <v>1803468</v>
      </c>
      <c r="K134" s="22">
        <f t="shared" si="39"/>
        <v>1993788</v>
      </c>
      <c r="L134" s="22">
        <f>L135+L136+L137</f>
        <v>1787576</v>
      </c>
      <c r="M134" s="22">
        <f t="shared" si="39"/>
        <v>1787576</v>
      </c>
      <c r="N134" s="106" t="s">
        <v>68</v>
      </c>
    </row>
    <row r="135" spans="1:15" ht="21.75" customHeight="1">
      <c r="A135" s="109"/>
      <c r="B135" s="112"/>
      <c r="C135" s="115"/>
      <c r="D135" s="118"/>
      <c r="E135" s="115"/>
      <c r="F135" s="12" t="s">
        <v>133</v>
      </c>
      <c r="G135" s="22">
        <f>H135+I135+J135+K135+M135</f>
        <v>3901568.9</v>
      </c>
      <c r="H135" s="22">
        <v>104312.9</v>
      </c>
      <c r="I135" s="22">
        <f>500000+401734</f>
        <v>901734</v>
      </c>
      <c r="J135" s="22">
        <v>901734</v>
      </c>
      <c r="K135" s="22">
        <v>1100000</v>
      </c>
      <c r="L135" s="22">
        <v>893788</v>
      </c>
      <c r="M135" s="22">
        <v>893788</v>
      </c>
      <c r="N135" s="107"/>
      <c r="O135" s="11"/>
    </row>
    <row r="136" spans="1:15" ht="21.75" customHeight="1">
      <c r="A136" s="109"/>
      <c r="B136" s="112"/>
      <c r="C136" s="115"/>
      <c r="D136" s="118"/>
      <c r="E136" s="115"/>
      <c r="F136" s="12" t="s">
        <v>16</v>
      </c>
      <c r="G136" s="22">
        <f>H136+I136+J136+K136+M136</f>
        <v>3591044</v>
      </c>
      <c r="H136" s="22"/>
      <c r="I136" s="22">
        <v>901734</v>
      </c>
      <c r="J136" s="22">
        <v>901734</v>
      </c>
      <c r="K136" s="22">
        <v>893788</v>
      </c>
      <c r="L136" s="22">
        <v>893788</v>
      </c>
      <c r="M136" s="22">
        <v>893788</v>
      </c>
      <c r="N136" s="107"/>
    </row>
    <row r="137" spans="1:15" ht="21.75" customHeight="1">
      <c r="A137" s="110"/>
      <c r="B137" s="113"/>
      <c r="C137" s="115"/>
      <c r="D137" s="119"/>
      <c r="E137" s="116"/>
      <c r="F137" s="12" t="s">
        <v>17</v>
      </c>
      <c r="G137" s="22">
        <f>H137+I137+J137+K137+M137</f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167"/>
    </row>
    <row r="138" spans="1:15" ht="21.75" customHeight="1">
      <c r="A138" s="108" t="s">
        <v>83</v>
      </c>
      <c r="B138" s="111" t="s">
        <v>69</v>
      </c>
      <c r="C138" s="114" t="s">
        <v>11</v>
      </c>
      <c r="D138" s="117" t="s">
        <v>147</v>
      </c>
      <c r="E138" s="114" t="s">
        <v>153</v>
      </c>
      <c r="F138" s="12" t="s">
        <v>14</v>
      </c>
      <c r="G138" s="22">
        <f t="shared" ref="G138:M138" si="40">G139+G140+G141</f>
        <v>4037679.9699999997</v>
      </c>
      <c r="H138" s="22">
        <f t="shared" si="40"/>
        <v>2568957</v>
      </c>
      <c r="I138" s="22">
        <f t="shared" si="40"/>
        <v>1360722.97</v>
      </c>
      <c r="J138" s="22">
        <f t="shared" si="40"/>
        <v>0</v>
      </c>
      <c r="K138" s="22">
        <f t="shared" si="40"/>
        <v>108000</v>
      </c>
      <c r="L138" s="22">
        <f>L139+L140+L141</f>
        <v>0</v>
      </c>
      <c r="M138" s="22">
        <f t="shared" si="40"/>
        <v>0</v>
      </c>
      <c r="N138" s="106" t="s">
        <v>70</v>
      </c>
    </row>
    <row r="139" spans="1:15" ht="21.75" customHeight="1">
      <c r="A139" s="109"/>
      <c r="B139" s="112"/>
      <c r="C139" s="115"/>
      <c r="D139" s="118"/>
      <c r="E139" s="115"/>
      <c r="F139" s="12" t="s">
        <v>133</v>
      </c>
      <c r="G139" s="22">
        <f>H139+I139+J139+K139+M139</f>
        <v>1636903.99</v>
      </c>
      <c r="H139" s="22">
        <v>770687.1</v>
      </c>
      <c r="I139" s="22">
        <f>670000-411783.11+500000</f>
        <v>758216.89</v>
      </c>
      <c r="J139" s="22">
        <f>257165-257165</f>
        <v>0</v>
      </c>
      <c r="K139" s="22">
        <v>108000</v>
      </c>
      <c r="L139" s="22">
        <v>0</v>
      </c>
      <c r="M139" s="22">
        <v>0</v>
      </c>
      <c r="N139" s="107"/>
      <c r="O139" s="11"/>
    </row>
    <row r="140" spans="1:15" ht="21.75" customHeight="1">
      <c r="A140" s="109"/>
      <c r="B140" s="112"/>
      <c r="C140" s="115"/>
      <c r="D140" s="118"/>
      <c r="E140" s="115"/>
      <c r="F140" s="12" t="s">
        <v>16</v>
      </c>
      <c r="G140" s="22">
        <f>H140+I140+J140+K140+M140</f>
        <v>2400775.98</v>
      </c>
      <c r="H140" s="22">
        <v>1798269.9</v>
      </c>
      <c r="I140" s="22">
        <v>602506.07999999996</v>
      </c>
      <c r="J140" s="22">
        <f>600051-600051</f>
        <v>0</v>
      </c>
      <c r="K140" s="22">
        <v>0</v>
      </c>
      <c r="L140" s="22">
        <v>0</v>
      </c>
      <c r="M140" s="22">
        <v>0</v>
      </c>
      <c r="N140" s="107"/>
    </row>
    <row r="141" spans="1:15" ht="21.75" customHeight="1">
      <c r="A141" s="110"/>
      <c r="B141" s="113"/>
      <c r="C141" s="115"/>
      <c r="D141" s="119"/>
      <c r="E141" s="116"/>
      <c r="F141" s="12" t="s">
        <v>17</v>
      </c>
      <c r="G141" s="22">
        <f>H141+I141+J141+K141+M141</f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167"/>
    </row>
    <row r="142" spans="1:15" ht="21.75" customHeight="1">
      <c r="A142" s="108" t="s">
        <v>120</v>
      </c>
      <c r="B142" s="111" t="s">
        <v>72</v>
      </c>
      <c r="C142" s="114" t="s">
        <v>11</v>
      </c>
      <c r="D142" s="117" t="s">
        <v>42</v>
      </c>
      <c r="E142" s="114" t="s">
        <v>153</v>
      </c>
      <c r="F142" s="12" t="s">
        <v>14</v>
      </c>
      <c r="G142" s="22">
        <f t="shared" ref="G142:M142" si="41">G143+G144+G145</f>
        <v>77943557.030000001</v>
      </c>
      <c r="H142" s="22">
        <f t="shared" si="41"/>
        <v>8281288.9000000004</v>
      </c>
      <c r="I142" s="22">
        <f t="shared" si="41"/>
        <v>16181140.539999999</v>
      </c>
      <c r="J142" s="22">
        <f t="shared" si="41"/>
        <v>16514372.370000001</v>
      </c>
      <c r="K142" s="22">
        <f t="shared" si="41"/>
        <v>19118469.050000001</v>
      </c>
      <c r="L142" s="22">
        <f>L143+L144+L145</f>
        <v>18511916.43</v>
      </c>
      <c r="M142" s="22">
        <f t="shared" si="41"/>
        <v>17848286.170000002</v>
      </c>
      <c r="N142" s="106" t="s">
        <v>73</v>
      </c>
    </row>
    <row r="143" spans="1:15" ht="21.75" customHeight="1">
      <c r="A143" s="109"/>
      <c r="B143" s="112"/>
      <c r="C143" s="115"/>
      <c r="D143" s="118"/>
      <c r="E143" s="115"/>
      <c r="F143" s="12" t="s">
        <v>133</v>
      </c>
      <c r="G143" s="22">
        <f>H143+I143+J143+K143+M143</f>
        <v>79511.399999999994</v>
      </c>
      <c r="H143" s="22">
        <v>8281.2900000000009</v>
      </c>
      <c r="I143" s="22">
        <v>16181.139999999996</v>
      </c>
      <c r="J143" s="48">
        <f>17660.82+421.39</f>
        <v>18082.21</v>
      </c>
      <c r="K143" s="48">
        <v>19118.47</v>
      </c>
      <c r="L143" s="48">
        <v>18511.919999999998</v>
      </c>
      <c r="M143" s="48">
        <v>17848.29</v>
      </c>
      <c r="N143" s="107"/>
    </row>
    <row r="144" spans="1:15" ht="21.75" customHeight="1">
      <c r="A144" s="109"/>
      <c r="B144" s="112"/>
      <c r="C144" s="115"/>
      <c r="D144" s="118"/>
      <c r="E144" s="115"/>
      <c r="F144" s="12" t="s">
        <v>16</v>
      </c>
      <c r="G144" s="22">
        <f>H144+I144+J144+K144+M144</f>
        <v>9011294.7400000002</v>
      </c>
      <c r="H144" s="22">
        <f>1873906.61+1</f>
        <v>1873907.61</v>
      </c>
      <c r="I144" s="22">
        <v>1616459.4000000001</v>
      </c>
      <c r="J144" s="48">
        <f>'[4]остатки средств в ФК_3'!$AH$112</f>
        <v>1649639.27</v>
      </c>
      <c r="K144" s="48">
        <v>1909950.58</v>
      </c>
      <c r="L144" s="48">
        <v>1849304.51</v>
      </c>
      <c r="M144" s="48">
        <v>1961337.88</v>
      </c>
      <c r="N144" s="107"/>
    </row>
    <row r="145" spans="1:14" ht="21.75" customHeight="1">
      <c r="A145" s="110"/>
      <c r="B145" s="113"/>
      <c r="C145" s="115"/>
      <c r="D145" s="119"/>
      <c r="E145" s="116"/>
      <c r="F145" s="12" t="s">
        <v>17</v>
      </c>
      <c r="G145" s="22">
        <f>H145+I145+J145+K145+M145</f>
        <v>68852750.890000001</v>
      </c>
      <c r="H145" s="22">
        <v>6399100</v>
      </c>
      <c r="I145" s="22">
        <v>14548499.999999998</v>
      </c>
      <c r="J145" s="48">
        <f>'[4]остатки средств в ФК_3'!$AG$112</f>
        <v>14846650.890000001</v>
      </c>
      <c r="K145" s="48">
        <v>17189400</v>
      </c>
      <c r="L145" s="48">
        <v>16644100</v>
      </c>
      <c r="M145" s="48">
        <v>15869100</v>
      </c>
      <c r="N145" s="167"/>
    </row>
    <row r="146" spans="1:14" ht="21.75" customHeight="1">
      <c r="A146" s="108" t="s">
        <v>86</v>
      </c>
      <c r="B146" s="111" t="s">
        <v>74</v>
      </c>
      <c r="C146" s="114" t="s">
        <v>11</v>
      </c>
      <c r="D146" s="117" t="s">
        <v>42</v>
      </c>
      <c r="E146" s="114" t="s">
        <v>153</v>
      </c>
      <c r="F146" s="12" t="s">
        <v>14</v>
      </c>
      <c r="G146" s="22">
        <f t="shared" ref="G146:M146" si="42">G147+G148+G149</f>
        <v>9021293.0300000012</v>
      </c>
      <c r="H146" s="22">
        <f t="shared" si="42"/>
        <v>0</v>
      </c>
      <c r="I146" s="22">
        <f t="shared" si="42"/>
        <v>0</v>
      </c>
      <c r="J146" s="22">
        <f t="shared" si="42"/>
        <v>2749897.15</v>
      </c>
      <c r="K146" s="22">
        <f t="shared" si="42"/>
        <v>3885684.72</v>
      </c>
      <c r="L146" s="22">
        <f>L147+L148+L149</f>
        <v>2385722.9</v>
      </c>
      <c r="M146" s="22">
        <f t="shared" si="42"/>
        <v>2385711.16</v>
      </c>
      <c r="N146" s="106" t="s">
        <v>75</v>
      </c>
    </row>
    <row r="147" spans="1:14" ht="21.75" customHeight="1">
      <c r="A147" s="109"/>
      <c r="B147" s="112"/>
      <c r="C147" s="115"/>
      <c r="D147" s="118"/>
      <c r="E147" s="115"/>
      <c r="F147" s="12" t="s">
        <v>133</v>
      </c>
      <c r="G147" s="22">
        <f>H147+I147+J147+K147+M147</f>
        <v>9021293.0300000012</v>
      </c>
      <c r="H147" s="22"/>
      <c r="I147" s="22"/>
      <c r="J147" s="22">
        <v>2749897.15</v>
      </c>
      <c r="K147" s="22">
        <v>3885684.72</v>
      </c>
      <c r="L147" s="22">
        <v>2385722.9</v>
      </c>
      <c r="M147" s="22">
        <v>2385711.16</v>
      </c>
      <c r="N147" s="107"/>
    </row>
    <row r="148" spans="1:14" ht="21.75" customHeight="1">
      <c r="A148" s="109"/>
      <c r="B148" s="112"/>
      <c r="C148" s="115"/>
      <c r="D148" s="118"/>
      <c r="E148" s="115"/>
      <c r="F148" s="12" t="s">
        <v>16</v>
      </c>
      <c r="G148" s="22">
        <f>H148+I148+J148+K148+M148</f>
        <v>0</v>
      </c>
      <c r="H148" s="22"/>
      <c r="I148" s="22"/>
      <c r="J148" s="22">
        <v>0</v>
      </c>
      <c r="K148" s="22">
        <v>0</v>
      </c>
      <c r="L148" s="22">
        <v>0</v>
      </c>
      <c r="M148" s="22">
        <v>0</v>
      </c>
      <c r="N148" s="107"/>
    </row>
    <row r="149" spans="1:14" ht="21.75" customHeight="1">
      <c r="A149" s="110"/>
      <c r="B149" s="113"/>
      <c r="C149" s="115"/>
      <c r="D149" s="119"/>
      <c r="E149" s="116"/>
      <c r="F149" s="12" t="s">
        <v>17</v>
      </c>
      <c r="G149" s="22">
        <f>H149+I149+J149+K149+M149</f>
        <v>0</v>
      </c>
      <c r="H149" s="22"/>
      <c r="I149" s="22"/>
      <c r="J149" s="22">
        <v>0</v>
      </c>
      <c r="K149" s="22">
        <v>0</v>
      </c>
      <c r="L149" s="22">
        <v>0</v>
      </c>
      <c r="M149" s="22">
        <v>0</v>
      </c>
      <c r="N149" s="167"/>
    </row>
    <row r="150" spans="1:14" ht="21.75" customHeight="1">
      <c r="A150" s="108" t="s">
        <v>121</v>
      </c>
      <c r="B150" s="111" t="s">
        <v>76</v>
      </c>
      <c r="C150" s="114" t="s">
        <v>11</v>
      </c>
      <c r="D150" s="117" t="s">
        <v>42</v>
      </c>
      <c r="E150" s="114" t="s">
        <v>153</v>
      </c>
      <c r="F150" s="12" t="s">
        <v>14</v>
      </c>
      <c r="G150" s="22">
        <f t="shared" ref="G150:M150" si="43">G151+G152+G153</f>
        <v>4107171.49</v>
      </c>
      <c r="H150" s="22">
        <f t="shared" si="43"/>
        <v>0</v>
      </c>
      <c r="I150" s="22">
        <f t="shared" si="43"/>
        <v>0</v>
      </c>
      <c r="J150" s="22">
        <f t="shared" si="43"/>
        <v>1646729.49</v>
      </c>
      <c r="K150" s="22">
        <f t="shared" si="43"/>
        <v>1630221</v>
      </c>
      <c r="L150" s="22">
        <f>L151+L152+L153</f>
        <v>830221</v>
      </c>
      <c r="M150" s="22">
        <f t="shared" si="43"/>
        <v>830221</v>
      </c>
      <c r="N150" s="106" t="s">
        <v>77</v>
      </c>
    </row>
    <row r="151" spans="1:14" ht="21.75" customHeight="1">
      <c r="A151" s="109"/>
      <c r="B151" s="112"/>
      <c r="C151" s="115"/>
      <c r="D151" s="118"/>
      <c r="E151" s="115"/>
      <c r="F151" s="12" t="s">
        <v>133</v>
      </c>
      <c r="G151" s="22">
        <f>H151+I151+J151+K151+M151</f>
        <v>4107171.49</v>
      </c>
      <c r="H151" s="22"/>
      <c r="I151" s="22"/>
      <c r="J151" s="22">
        <v>1646729.49</v>
      </c>
      <c r="K151" s="22">
        <v>1630221</v>
      </c>
      <c r="L151" s="22">
        <v>830221</v>
      </c>
      <c r="M151" s="22">
        <v>830221</v>
      </c>
      <c r="N151" s="107"/>
    </row>
    <row r="152" spans="1:14" ht="21.75" customHeight="1">
      <c r="A152" s="109"/>
      <c r="B152" s="112"/>
      <c r="C152" s="115"/>
      <c r="D152" s="118"/>
      <c r="E152" s="115"/>
      <c r="F152" s="12" t="s">
        <v>16</v>
      </c>
      <c r="G152" s="22">
        <f>H152+I152+J152+K152+M152</f>
        <v>0</v>
      </c>
      <c r="H152" s="22"/>
      <c r="I152" s="22"/>
      <c r="J152" s="22">
        <v>0</v>
      </c>
      <c r="K152" s="22">
        <v>0</v>
      </c>
      <c r="L152" s="22">
        <v>0</v>
      </c>
      <c r="M152" s="22">
        <v>0</v>
      </c>
      <c r="N152" s="107"/>
    </row>
    <row r="153" spans="1:14" ht="21.75" customHeight="1">
      <c r="A153" s="110"/>
      <c r="B153" s="113"/>
      <c r="C153" s="115"/>
      <c r="D153" s="119"/>
      <c r="E153" s="116"/>
      <c r="F153" s="12" t="s">
        <v>17</v>
      </c>
      <c r="G153" s="22">
        <f>H153+I153+J153+K153+M153</f>
        <v>0</v>
      </c>
      <c r="H153" s="22"/>
      <c r="I153" s="22"/>
      <c r="J153" s="22">
        <v>0</v>
      </c>
      <c r="K153" s="22">
        <v>0</v>
      </c>
      <c r="L153" s="22">
        <v>0</v>
      </c>
      <c r="M153" s="22">
        <v>0</v>
      </c>
      <c r="N153" s="167"/>
    </row>
    <row r="154" spans="1:14" ht="21.75" customHeight="1">
      <c r="A154" s="108" t="s">
        <v>89</v>
      </c>
      <c r="B154" s="174" t="s">
        <v>136</v>
      </c>
      <c r="C154" s="177" t="s">
        <v>11</v>
      </c>
      <c r="D154" s="179" t="s">
        <v>42</v>
      </c>
      <c r="E154" s="177" t="s">
        <v>153</v>
      </c>
      <c r="F154" s="49" t="s">
        <v>14</v>
      </c>
      <c r="G154" s="48">
        <f t="shared" ref="G154:M154" si="44">G155+G156+G157</f>
        <v>759616</v>
      </c>
      <c r="H154" s="48">
        <f t="shared" si="44"/>
        <v>0</v>
      </c>
      <c r="I154" s="48">
        <f t="shared" si="44"/>
        <v>0</v>
      </c>
      <c r="J154" s="48">
        <f t="shared" si="44"/>
        <v>172005</v>
      </c>
      <c r="K154" s="48">
        <f t="shared" si="44"/>
        <v>587611</v>
      </c>
      <c r="L154" s="48">
        <f t="shared" si="44"/>
        <v>0</v>
      </c>
      <c r="M154" s="48">
        <f t="shared" si="44"/>
        <v>0</v>
      </c>
      <c r="N154" s="123" t="s">
        <v>137</v>
      </c>
    </row>
    <row r="155" spans="1:14" ht="21.75" customHeight="1">
      <c r="A155" s="109"/>
      <c r="B155" s="175"/>
      <c r="C155" s="178"/>
      <c r="D155" s="180"/>
      <c r="E155" s="178"/>
      <c r="F155" s="49" t="s">
        <v>15</v>
      </c>
      <c r="G155" s="48">
        <f>H155+I155+J155+K155+L155</f>
        <v>0</v>
      </c>
      <c r="H155" s="48"/>
      <c r="I155" s="48"/>
      <c r="J155" s="48">
        <v>0</v>
      </c>
      <c r="K155" s="48">
        <v>0</v>
      </c>
      <c r="L155" s="48">
        <v>0</v>
      </c>
      <c r="M155" s="48">
        <v>0</v>
      </c>
      <c r="N155" s="124"/>
    </row>
    <row r="156" spans="1:14" ht="21.75" customHeight="1">
      <c r="A156" s="109"/>
      <c r="B156" s="175"/>
      <c r="C156" s="178"/>
      <c r="D156" s="180"/>
      <c r="E156" s="178"/>
      <c r="F156" s="49" t="s">
        <v>16</v>
      </c>
      <c r="G156" s="48">
        <f>H156+I156+J156+K156+L156</f>
        <v>759616</v>
      </c>
      <c r="H156" s="48"/>
      <c r="I156" s="48"/>
      <c r="J156" s="48">
        <v>172005</v>
      </c>
      <c r="K156" s="48">
        <v>587611</v>
      </c>
      <c r="L156" s="48">
        <v>0</v>
      </c>
      <c r="M156" s="48">
        <v>0</v>
      </c>
      <c r="N156" s="124"/>
    </row>
    <row r="157" spans="1:14" ht="21.75" customHeight="1">
      <c r="A157" s="110"/>
      <c r="B157" s="176"/>
      <c r="C157" s="178"/>
      <c r="D157" s="181"/>
      <c r="E157" s="182"/>
      <c r="F157" s="49" t="s">
        <v>17</v>
      </c>
      <c r="G157" s="48">
        <f>H157+I157+J157+K157+L157</f>
        <v>0</v>
      </c>
      <c r="H157" s="48"/>
      <c r="I157" s="48"/>
      <c r="J157" s="48">
        <v>0</v>
      </c>
      <c r="K157" s="48">
        <v>0</v>
      </c>
      <c r="L157" s="48">
        <v>0</v>
      </c>
      <c r="M157" s="48">
        <v>0</v>
      </c>
      <c r="N157" s="125"/>
    </row>
    <row r="158" spans="1:14" ht="22.5" customHeight="1">
      <c r="A158" s="126"/>
      <c r="B158" s="129" t="s">
        <v>143</v>
      </c>
      <c r="C158" s="132" t="s">
        <v>11</v>
      </c>
      <c r="D158" s="166" t="s">
        <v>12</v>
      </c>
      <c r="E158" s="132" t="s">
        <v>153</v>
      </c>
      <c r="F158" s="34" t="s">
        <v>14</v>
      </c>
      <c r="G158" s="35">
        <f t="shared" ref="G158:M158" si="45">G159+G160+G161</f>
        <v>350062010.94</v>
      </c>
      <c r="H158" s="35">
        <f>H159+H160+H161</f>
        <v>33765416.269999996</v>
      </c>
      <c r="I158" s="35">
        <f>I159+I160+I161</f>
        <v>51849700.129999995</v>
      </c>
      <c r="J158" s="35">
        <f>J159+J160+J161</f>
        <v>175908008.94999999</v>
      </c>
      <c r="K158" s="35">
        <f t="shared" si="45"/>
        <v>83401561.980000004</v>
      </c>
      <c r="L158" s="35">
        <f>L159+L160+L161</f>
        <v>5032773.8599999994</v>
      </c>
      <c r="M158" s="35">
        <f t="shared" si="45"/>
        <v>5137323.6099999994</v>
      </c>
      <c r="N158" s="161"/>
    </row>
    <row r="159" spans="1:14" ht="22.5" customHeight="1">
      <c r="A159" s="127"/>
      <c r="B159" s="130"/>
      <c r="C159" s="133"/>
      <c r="D159" s="172"/>
      <c r="E159" s="133"/>
      <c r="F159" s="34" t="s">
        <v>133</v>
      </c>
      <c r="G159" s="35">
        <f>H159+I159+J159+K159+M159</f>
        <v>60203099.280000001</v>
      </c>
      <c r="H159" s="35">
        <f>H163+H195+H207+H211+H199+H203+H219+H223+H215+H171+H183+H175+H179+H187+H191+H167</f>
        <v>11096398.129999999</v>
      </c>
      <c r="I159" s="35">
        <f t="shared" ref="I159:M159" si="46">I163+I195+I207+I211+I199+I203+I219+I223+I215+I171+I183+I175+I179+I187+I191+I167</f>
        <v>13999034.969999999</v>
      </c>
      <c r="J159" s="35">
        <f t="shared" si="46"/>
        <v>16915030.59</v>
      </c>
      <c r="K159" s="35">
        <f t="shared" si="46"/>
        <v>13055311.98</v>
      </c>
      <c r="L159" s="35">
        <f t="shared" si="46"/>
        <v>5032773.8599999994</v>
      </c>
      <c r="M159" s="35">
        <f t="shared" si="46"/>
        <v>5137323.6099999994</v>
      </c>
      <c r="N159" s="162"/>
    </row>
    <row r="160" spans="1:14" ht="22.5" customHeight="1">
      <c r="A160" s="127"/>
      <c r="B160" s="130"/>
      <c r="C160" s="133"/>
      <c r="D160" s="172"/>
      <c r="E160" s="133"/>
      <c r="F160" s="34" t="s">
        <v>16</v>
      </c>
      <c r="G160" s="35">
        <f>H160+I160+J160+K160+M160</f>
        <v>101724995.23</v>
      </c>
      <c r="H160" s="35">
        <f t="shared" ref="H160:M161" si="47">H164+H196+H208+H212+H200+H204+H220+H224+H216+H172+H184+H176+H180+H188+H192+H168</f>
        <v>19227384.140000001</v>
      </c>
      <c r="I160" s="35">
        <f t="shared" si="47"/>
        <v>17200900.700000003</v>
      </c>
      <c r="J160" s="35">
        <f t="shared" si="47"/>
        <v>24353296.359999999</v>
      </c>
      <c r="K160" s="35">
        <f t="shared" si="47"/>
        <v>40943414.030000001</v>
      </c>
      <c r="L160" s="35">
        <f t="shared" si="47"/>
        <v>0</v>
      </c>
      <c r="M160" s="35">
        <f t="shared" si="47"/>
        <v>0</v>
      </c>
      <c r="N160" s="162"/>
    </row>
    <row r="161" spans="1:26" ht="22.5" customHeight="1">
      <c r="A161" s="128"/>
      <c r="B161" s="131"/>
      <c r="C161" s="134"/>
      <c r="D161" s="173"/>
      <c r="E161" s="134"/>
      <c r="F161" s="34" t="s">
        <v>17</v>
      </c>
      <c r="G161" s="35">
        <f>H161+I161+J161+K161+M161</f>
        <v>188133916.43000001</v>
      </c>
      <c r="H161" s="35">
        <f t="shared" si="47"/>
        <v>3441634</v>
      </c>
      <c r="I161" s="35">
        <f t="shared" si="47"/>
        <v>20649764.459999997</v>
      </c>
      <c r="J161" s="35">
        <f t="shared" si="47"/>
        <v>134639682</v>
      </c>
      <c r="K161" s="35">
        <f t="shared" si="47"/>
        <v>29402835.969999999</v>
      </c>
      <c r="L161" s="35">
        <f t="shared" si="47"/>
        <v>0</v>
      </c>
      <c r="M161" s="35">
        <f t="shared" si="47"/>
        <v>0</v>
      </c>
      <c r="N161" s="163"/>
      <c r="Z161" s="3"/>
    </row>
    <row r="162" spans="1:26" ht="21.75" customHeight="1">
      <c r="A162" s="108" t="s">
        <v>18</v>
      </c>
      <c r="B162" s="111" t="s">
        <v>79</v>
      </c>
      <c r="C162" s="114" t="s">
        <v>11</v>
      </c>
      <c r="D162" s="117" t="s">
        <v>42</v>
      </c>
      <c r="E162" s="114" t="s">
        <v>153</v>
      </c>
      <c r="F162" s="12" t="s">
        <v>14</v>
      </c>
      <c r="G162" s="22">
        <f t="shared" ref="G162:M162" si="48">G163+G164+G165</f>
        <v>61868253.679999992</v>
      </c>
      <c r="H162" s="22">
        <f t="shared" si="48"/>
        <v>14048396.27</v>
      </c>
      <c r="I162" s="22">
        <f t="shared" si="48"/>
        <v>23290645.129999999</v>
      </c>
      <c r="J162" s="48">
        <f t="shared" si="48"/>
        <v>10367208.279999999</v>
      </c>
      <c r="K162" s="22">
        <f t="shared" si="48"/>
        <v>13852004</v>
      </c>
      <c r="L162" s="22">
        <f>L163+L164+L165</f>
        <v>310000</v>
      </c>
      <c r="M162" s="22">
        <f t="shared" si="48"/>
        <v>310000</v>
      </c>
      <c r="N162" s="106" t="s">
        <v>148</v>
      </c>
    </row>
    <row r="163" spans="1:26" ht="21.75" customHeight="1">
      <c r="A163" s="109"/>
      <c r="B163" s="112"/>
      <c r="C163" s="115"/>
      <c r="D163" s="118"/>
      <c r="E163" s="115"/>
      <c r="F163" s="12" t="s">
        <v>133</v>
      </c>
      <c r="G163" s="22">
        <f>H163+I163+J163+K163+M163</f>
        <v>25264870.379999995</v>
      </c>
      <c r="H163" s="22">
        <v>4977603.13</v>
      </c>
      <c r="I163" s="22">
        <f>7673601.18+600000+400000-13542.21+500000</f>
        <v>9160058.9699999988</v>
      </c>
      <c r="J163" s="48">
        <f>'[6]иные 22.12.2022'!$M$22+'[6]иные 22.12.2022'!$N$22+'[6]иные 22.12.2022'!$AM$22+'[6]иные 22.12.2022'!$AN$22+'[6]иные 22.12.2022'!$AW$22+'[6]иные 22.12.2022'!$AX$22+'[6]иные 22.12.2022'!$BC$22+'[6]иные 22.12.2022'!$BQ$22+'[6]иные 22.12.2022'!$BR$22+'[6]иные 22.12.2022'!$BV$22+'[6]иные 22.12.2022'!$BX$22</f>
        <v>10367208.279999999</v>
      </c>
      <c r="K163" s="22">
        <f>450000</f>
        <v>450000</v>
      </c>
      <c r="L163" s="22">
        <f>60000+250000</f>
        <v>310000</v>
      </c>
      <c r="M163" s="22">
        <v>310000</v>
      </c>
      <c r="N163" s="107"/>
      <c r="P163" s="3">
        <f>1759000+1400000+4507295+1195000</f>
        <v>8861295</v>
      </c>
      <c r="Q163" s="3">
        <f>P163-O163</f>
        <v>8861295</v>
      </c>
    </row>
    <row r="164" spans="1:26" ht="21.75" customHeight="1">
      <c r="A164" s="109"/>
      <c r="B164" s="112"/>
      <c r="C164" s="115"/>
      <c r="D164" s="118"/>
      <c r="E164" s="115"/>
      <c r="F164" s="12" t="s">
        <v>16</v>
      </c>
      <c r="G164" s="22">
        <f>H164+I164+J164+K164+M164</f>
        <v>36603383.299999997</v>
      </c>
      <c r="H164" s="22">
        <f>3714220.8+5356572.34</f>
        <v>9070793.1400000006</v>
      </c>
      <c r="I164" s="22">
        <v>14130586.16</v>
      </c>
      <c r="J164" s="48">
        <f>1500000-1500000</f>
        <v>0</v>
      </c>
      <c r="K164" s="22">
        <f>16686400+1076000-1370000-490396-2500000</f>
        <v>13402004</v>
      </c>
      <c r="L164" s="22">
        <v>0</v>
      </c>
      <c r="M164" s="22">
        <v>0</v>
      </c>
      <c r="N164" s="107"/>
      <c r="Q164" s="3"/>
    </row>
    <row r="165" spans="1:26" ht="21.75" customHeight="1">
      <c r="A165" s="110"/>
      <c r="B165" s="113"/>
      <c r="C165" s="116"/>
      <c r="D165" s="119"/>
      <c r="E165" s="116"/>
      <c r="F165" s="12" t="s">
        <v>17</v>
      </c>
      <c r="G165" s="22">
        <f>H165+I165+J165+K165+M165</f>
        <v>0</v>
      </c>
      <c r="H165" s="22">
        <v>0</v>
      </c>
      <c r="I165" s="22">
        <v>0</v>
      </c>
      <c r="J165" s="48">
        <v>0</v>
      </c>
      <c r="K165" s="22">
        <v>0</v>
      </c>
      <c r="L165" s="22">
        <v>0</v>
      </c>
      <c r="M165" s="22">
        <v>0</v>
      </c>
      <c r="N165" s="107"/>
      <c r="O165" s="3"/>
    </row>
    <row r="166" spans="1:26" ht="21.75" customHeight="1">
      <c r="A166" s="108" t="s">
        <v>25</v>
      </c>
      <c r="B166" s="111" t="s">
        <v>119</v>
      </c>
      <c r="C166" s="114" t="s">
        <v>11</v>
      </c>
      <c r="D166" s="117" t="s">
        <v>80</v>
      </c>
      <c r="E166" s="114" t="s">
        <v>153</v>
      </c>
      <c r="F166" s="12" t="s">
        <v>14</v>
      </c>
      <c r="G166" s="22">
        <f t="shared" ref="G166:K166" si="49">G167+G168+G169</f>
        <v>207594448.94</v>
      </c>
      <c r="H166" s="22">
        <f t="shared" si="49"/>
        <v>0</v>
      </c>
      <c r="I166" s="22">
        <f t="shared" si="49"/>
        <v>0</v>
      </c>
      <c r="J166" s="48">
        <f t="shared" si="49"/>
        <v>160296473.78</v>
      </c>
      <c r="K166" s="22">
        <f t="shared" si="49"/>
        <v>47297975.159999996</v>
      </c>
      <c r="L166" s="22">
        <f>L167+L168+L169</f>
        <v>0</v>
      </c>
      <c r="M166" s="22">
        <f t="shared" ref="M166" si="50">M167+M168+M169</f>
        <v>0</v>
      </c>
      <c r="N166" s="107"/>
    </row>
    <row r="167" spans="1:26" ht="21.75" customHeight="1">
      <c r="A167" s="109"/>
      <c r="B167" s="112"/>
      <c r="C167" s="115"/>
      <c r="D167" s="118"/>
      <c r="E167" s="115"/>
      <c r="F167" s="12" t="s">
        <v>133</v>
      </c>
      <c r="G167" s="22">
        <f>H167+I167+J167+K167+M167</f>
        <v>7162202.0599999996</v>
      </c>
      <c r="H167" s="22">
        <v>0</v>
      </c>
      <c r="I167" s="22">
        <v>0</v>
      </c>
      <c r="J167" s="48">
        <v>3291454.2199999997</v>
      </c>
      <c r="K167" s="22">
        <f>337451+3533296.84</f>
        <v>3870747.84</v>
      </c>
      <c r="L167" s="22">
        <v>0</v>
      </c>
      <c r="M167" s="22">
        <v>0</v>
      </c>
      <c r="N167" s="107"/>
      <c r="P167" s="3">
        <f>1759000+1400000+4507295+1195000</f>
        <v>8861295</v>
      </c>
      <c r="Q167" s="3">
        <f>P167-O167</f>
        <v>8861295</v>
      </c>
    </row>
    <row r="168" spans="1:26" ht="21.75" customHeight="1">
      <c r="A168" s="109"/>
      <c r="B168" s="112"/>
      <c r="C168" s="115"/>
      <c r="D168" s="118"/>
      <c r="E168" s="115"/>
      <c r="F168" s="12" t="s">
        <v>16</v>
      </c>
      <c r="G168" s="22">
        <f>H168+I168+J168+K168+M168</f>
        <v>37994164.879999995</v>
      </c>
      <c r="H168" s="22">
        <v>0</v>
      </c>
      <c r="I168" s="22">
        <v>0</v>
      </c>
      <c r="J168" s="48">
        <v>22365337.559999999</v>
      </c>
      <c r="K168" s="22">
        <v>15628827.32</v>
      </c>
      <c r="L168" s="22">
        <v>0</v>
      </c>
      <c r="M168" s="22">
        <v>0</v>
      </c>
      <c r="N168" s="107"/>
      <c r="Q168" s="3"/>
    </row>
    <row r="169" spans="1:26" ht="21.75" customHeight="1">
      <c r="A169" s="110"/>
      <c r="B169" s="113"/>
      <c r="C169" s="115"/>
      <c r="D169" s="119"/>
      <c r="E169" s="116"/>
      <c r="F169" s="12" t="s">
        <v>17</v>
      </c>
      <c r="G169" s="22">
        <f>H169+I169+J169+K169+M169</f>
        <v>162438082</v>
      </c>
      <c r="H169" s="22">
        <v>0</v>
      </c>
      <c r="I169" s="22">
        <v>0</v>
      </c>
      <c r="J169" s="48">
        <v>134639682</v>
      </c>
      <c r="K169" s="22">
        <v>27798400</v>
      </c>
      <c r="L169" s="22">
        <v>0</v>
      </c>
      <c r="M169" s="22">
        <v>0</v>
      </c>
      <c r="N169" s="107"/>
      <c r="O169" s="3"/>
    </row>
    <row r="170" spans="1:26" ht="21.75" customHeight="1">
      <c r="A170" s="108" t="s">
        <v>25</v>
      </c>
      <c r="B170" s="111" t="s">
        <v>155</v>
      </c>
      <c r="C170" s="114" t="s">
        <v>11</v>
      </c>
      <c r="D170" s="117" t="s">
        <v>80</v>
      </c>
      <c r="E170" s="114" t="s">
        <v>153</v>
      </c>
      <c r="F170" s="12" t="s">
        <v>14</v>
      </c>
      <c r="G170" s="22">
        <f t="shared" ref="G170:M170" si="51">G171+G172+G173</f>
        <v>1106622.68</v>
      </c>
      <c r="H170" s="22">
        <f t="shared" si="51"/>
        <v>0</v>
      </c>
      <c r="I170" s="22">
        <f t="shared" si="51"/>
        <v>0</v>
      </c>
      <c r="J170" s="48">
        <f t="shared" si="51"/>
        <v>0</v>
      </c>
      <c r="K170" s="22">
        <f t="shared" si="51"/>
        <v>1106622.68</v>
      </c>
      <c r="L170" s="22">
        <f>L171+L172+L173</f>
        <v>0</v>
      </c>
      <c r="M170" s="22">
        <f t="shared" si="51"/>
        <v>0</v>
      </c>
      <c r="N170" s="107"/>
    </row>
    <row r="171" spans="1:26" ht="21.75" customHeight="1">
      <c r="A171" s="109"/>
      <c r="B171" s="112"/>
      <c r="C171" s="115"/>
      <c r="D171" s="118"/>
      <c r="E171" s="115"/>
      <c r="F171" s="12" t="s">
        <v>133</v>
      </c>
      <c r="G171" s="22">
        <f>H171+I171+J171+K171+M171</f>
        <v>0</v>
      </c>
      <c r="H171" s="22">
        <v>0</v>
      </c>
      <c r="I171" s="22">
        <v>0</v>
      </c>
      <c r="J171" s="48">
        <v>0</v>
      </c>
      <c r="K171" s="22"/>
      <c r="L171" s="22">
        <v>0</v>
      </c>
      <c r="M171" s="22">
        <v>0</v>
      </c>
      <c r="N171" s="107"/>
      <c r="P171" s="3">
        <f>1759000+1400000+4507295+1195000</f>
        <v>8861295</v>
      </c>
      <c r="Q171" s="3">
        <f>P171-O171</f>
        <v>8861295</v>
      </c>
    </row>
    <row r="172" spans="1:26" ht="21.75" customHeight="1">
      <c r="A172" s="109"/>
      <c r="B172" s="112"/>
      <c r="C172" s="115"/>
      <c r="D172" s="118"/>
      <c r="E172" s="115"/>
      <c r="F172" s="12" t="s">
        <v>16</v>
      </c>
      <c r="G172" s="22">
        <f>H172+I172+J172+K172+M172</f>
        <v>1106622.68</v>
      </c>
      <c r="H172" s="22">
        <v>0</v>
      </c>
      <c r="I172" s="22">
        <v>0</v>
      </c>
      <c r="J172" s="48">
        <v>0</v>
      </c>
      <c r="K172" s="22">
        <v>1106622.68</v>
      </c>
      <c r="L172" s="22">
        <v>0</v>
      </c>
      <c r="M172" s="22">
        <v>0</v>
      </c>
      <c r="N172" s="107"/>
      <c r="Q172" s="3"/>
    </row>
    <row r="173" spans="1:26" ht="21.75" customHeight="1">
      <c r="A173" s="110"/>
      <c r="B173" s="113"/>
      <c r="C173" s="115"/>
      <c r="D173" s="119"/>
      <c r="E173" s="116"/>
      <c r="F173" s="12" t="s">
        <v>17</v>
      </c>
      <c r="G173" s="22">
        <f>H173+I173+J173+K173+M173</f>
        <v>0</v>
      </c>
      <c r="H173" s="22">
        <v>0</v>
      </c>
      <c r="I173" s="22">
        <v>0</v>
      </c>
      <c r="J173" s="48">
        <v>0</v>
      </c>
      <c r="K173" s="22"/>
      <c r="L173" s="22">
        <v>0</v>
      </c>
      <c r="M173" s="22">
        <v>0</v>
      </c>
      <c r="N173" s="107"/>
      <c r="O173" s="3"/>
    </row>
    <row r="174" spans="1:26" ht="21.75" customHeight="1">
      <c r="A174" s="108" t="s">
        <v>44</v>
      </c>
      <c r="B174" s="111" t="s">
        <v>59</v>
      </c>
      <c r="C174" s="114" t="s">
        <v>11</v>
      </c>
      <c r="D174" s="120" t="s">
        <v>60</v>
      </c>
      <c r="E174" s="114" t="s">
        <v>153</v>
      </c>
      <c r="F174" s="12" t="s">
        <v>14</v>
      </c>
      <c r="G174" s="22">
        <f t="shared" ref="G174:M174" si="52">G175+G176+G177</f>
        <v>22025521</v>
      </c>
      <c r="H174" s="22">
        <f t="shared" si="52"/>
        <v>12027171</v>
      </c>
      <c r="I174" s="22">
        <f t="shared" si="52"/>
        <v>2498350</v>
      </c>
      <c r="J174" s="22">
        <f t="shared" si="52"/>
        <v>0</v>
      </c>
      <c r="K174" s="22">
        <f t="shared" si="52"/>
        <v>7500000</v>
      </c>
      <c r="L174" s="22">
        <f t="shared" si="52"/>
        <v>0</v>
      </c>
      <c r="M174" s="22">
        <f t="shared" si="52"/>
        <v>0</v>
      </c>
      <c r="N174" s="107"/>
    </row>
    <row r="175" spans="1:26" ht="21.75" customHeight="1">
      <c r="A175" s="109"/>
      <c r="B175" s="112"/>
      <c r="C175" s="115"/>
      <c r="D175" s="121"/>
      <c r="E175" s="115"/>
      <c r="F175" s="12" t="s">
        <v>133</v>
      </c>
      <c r="G175" s="22">
        <f>H175+I175+J175+K175+M175</f>
        <v>2477901</v>
      </c>
      <c r="H175" s="22">
        <v>900000</v>
      </c>
      <c r="I175" s="22">
        <v>77901</v>
      </c>
      <c r="J175" s="22">
        <v>0</v>
      </c>
      <c r="K175" s="22">
        <v>1500000</v>
      </c>
      <c r="L175" s="22">
        <v>0</v>
      </c>
      <c r="M175" s="22">
        <v>0</v>
      </c>
      <c r="N175" s="107"/>
    </row>
    <row r="176" spans="1:26" ht="21.75" customHeight="1">
      <c r="A176" s="109"/>
      <c r="B176" s="112"/>
      <c r="C176" s="115"/>
      <c r="D176" s="121"/>
      <c r="E176" s="115"/>
      <c r="F176" s="12" t="s">
        <v>16</v>
      </c>
      <c r="G176" s="22">
        <f>H176+I176+J176+K176+M176</f>
        <v>13745422.969999999</v>
      </c>
      <c r="H176" s="22">
        <v>7685537</v>
      </c>
      <c r="I176" s="22">
        <f>464321.94+1200000</f>
        <v>1664321.94</v>
      </c>
      <c r="J176" s="22">
        <v>0</v>
      </c>
      <c r="K176" s="22">
        <v>4395564.03</v>
      </c>
      <c r="L176" s="22">
        <v>0</v>
      </c>
      <c r="M176" s="22">
        <v>0</v>
      </c>
      <c r="N176" s="107"/>
    </row>
    <row r="177" spans="1:17" ht="21.75" customHeight="1">
      <c r="A177" s="110"/>
      <c r="B177" s="113"/>
      <c r="C177" s="115"/>
      <c r="D177" s="122"/>
      <c r="E177" s="116"/>
      <c r="F177" s="12" t="s">
        <v>17</v>
      </c>
      <c r="G177" s="22">
        <f>H177+I177+J177+K177+M177</f>
        <v>5802197.0300000003</v>
      </c>
      <c r="H177" s="22">
        <v>3441634</v>
      </c>
      <c r="I177" s="22">
        <v>756127.06</v>
      </c>
      <c r="J177" s="22">
        <v>0</v>
      </c>
      <c r="K177" s="22">
        <v>1604435.97</v>
      </c>
      <c r="L177" s="22">
        <v>0</v>
      </c>
      <c r="M177" s="22">
        <v>0</v>
      </c>
      <c r="N177" s="107"/>
    </row>
    <row r="178" spans="1:17" s="31" customFormat="1" ht="21.75" customHeight="1">
      <c r="A178" s="108" t="s">
        <v>78</v>
      </c>
      <c r="B178" s="111" t="s">
        <v>61</v>
      </c>
      <c r="C178" s="114" t="s">
        <v>11</v>
      </c>
      <c r="D178" s="168" t="s">
        <v>62</v>
      </c>
      <c r="E178" s="114" t="s">
        <v>153</v>
      </c>
      <c r="F178" s="12" t="s">
        <v>14</v>
      </c>
      <c r="G178" s="22">
        <f t="shared" ref="G178:M178" si="53">G179+G180+G181</f>
        <v>21151290</v>
      </c>
      <c r="H178" s="22">
        <f t="shared" si="53"/>
        <v>0</v>
      </c>
      <c r="I178" s="22">
        <f t="shared" si="53"/>
        <v>21151290</v>
      </c>
      <c r="J178" s="22">
        <f t="shared" si="53"/>
        <v>0</v>
      </c>
      <c r="K178" s="22">
        <f t="shared" si="53"/>
        <v>0</v>
      </c>
      <c r="L178" s="22">
        <f t="shared" si="53"/>
        <v>0</v>
      </c>
      <c r="M178" s="22">
        <f t="shared" si="53"/>
        <v>0</v>
      </c>
      <c r="N178" s="107"/>
    </row>
    <row r="179" spans="1:17" s="31" customFormat="1" ht="21.75" customHeight="1">
      <c r="A179" s="109"/>
      <c r="B179" s="112"/>
      <c r="C179" s="115"/>
      <c r="D179" s="169"/>
      <c r="E179" s="115"/>
      <c r="F179" s="12" t="s">
        <v>133</v>
      </c>
      <c r="G179" s="22">
        <f>H179+I179+J179+K179+M179</f>
        <v>851660</v>
      </c>
      <c r="H179" s="22">
        <v>0</v>
      </c>
      <c r="I179" s="22">
        <f>20320+351340+480000</f>
        <v>851660</v>
      </c>
      <c r="J179" s="22">
        <v>0</v>
      </c>
      <c r="K179" s="22">
        <v>0</v>
      </c>
      <c r="L179" s="22">
        <v>0</v>
      </c>
      <c r="M179" s="22">
        <v>0</v>
      </c>
      <c r="N179" s="107"/>
      <c r="P179" s="32">
        <f>1759000+1400000+4507295+1195000</f>
        <v>8861295</v>
      </c>
      <c r="Q179" s="32">
        <f>P179-O179</f>
        <v>8861295</v>
      </c>
    </row>
    <row r="180" spans="1:17" s="31" customFormat="1" ht="21.75" customHeight="1">
      <c r="A180" s="109"/>
      <c r="B180" s="112"/>
      <c r="C180" s="115"/>
      <c r="D180" s="169"/>
      <c r="E180" s="115"/>
      <c r="F180" s="12" t="s">
        <v>16</v>
      </c>
      <c r="G180" s="22">
        <f>H180+I180+J180+K180+M180</f>
        <v>405992.6</v>
      </c>
      <c r="H180" s="22">
        <v>0</v>
      </c>
      <c r="I180" s="22">
        <v>405992.6</v>
      </c>
      <c r="J180" s="22">
        <v>0</v>
      </c>
      <c r="K180" s="22">
        <v>0</v>
      </c>
      <c r="L180" s="22">
        <v>0</v>
      </c>
      <c r="M180" s="22">
        <v>0</v>
      </c>
      <c r="N180" s="107"/>
      <c r="Q180" s="32"/>
    </row>
    <row r="181" spans="1:17" s="31" customFormat="1" ht="21.75" customHeight="1">
      <c r="A181" s="110"/>
      <c r="B181" s="113"/>
      <c r="C181" s="116"/>
      <c r="D181" s="170"/>
      <c r="E181" s="116"/>
      <c r="F181" s="12" t="s">
        <v>17</v>
      </c>
      <c r="G181" s="22">
        <f>H181+I181+J181+K181+M181</f>
        <v>19893637.399999999</v>
      </c>
      <c r="H181" s="22">
        <v>0</v>
      </c>
      <c r="I181" s="22">
        <v>19893637.399999999</v>
      </c>
      <c r="J181" s="22">
        <v>0</v>
      </c>
      <c r="K181" s="22">
        <v>0</v>
      </c>
      <c r="L181" s="22">
        <v>0</v>
      </c>
      <c r="M181" s="22">
        <v>0</v>
      </c>
      <c r="N181" s="107"/>
      <c r="O181" s="32"/>
    </row>
    <row r="182" spans="1:17" ht="21.75" customHeight="1">
      <c r="A182" s="108" t="s">
        <v>81</v>
      </c>
      <c r="B182" s="111" t="s">
        <v>58</v>
      </c>
      <c r="C182" s="114" t="s">
        <v>11</v>
      </c>
      <c r="D182" s="120" t="s">
        <v>37</v>
      </c>
      <c r="E182" s="114" t="s">
        <v>153</v>
      </c>
      <c r="F182" s="12" t="s">
        <v>14</v>
      </c>
      <c r="G182" s="22">
        <f t="shared" ref="G182:M182" si="54">G183+G184+G185</f>
        <v>58058</v>
      </c>
      <c r="H182" s="22">
        <f t="shared" si="54"/>
        <v>58058</v>
      </c>
      <c r="I182" s="22">
        <f t="shared" si="54"/>
        <v>0</v>
      </c>
      <c r="J182" s="22">
        <f t="shared" si="54"/>
        <v>0</v>
      </c>
      <c r="K182" s="22">
        <f t="shared" si="54"/>
        <v>0</v>
      </c>
      <c r="L182" s="22">
        <f t="shared" si="54"/>
        <v>0</v>
      </c>
      <c r="M182" s="22">
        <f t="shared" si="54"/>
        <v>0</v>
      </c>
      <c r="N182" s="107"/>
    </row>
    <row r="183" spans="1:17" ht="21.75" customHeight="1">
      <c r="A183" s="109"/>
      <c r="B183" s="112"/>
      <c r="C183" s="115"/>
      <c r="D183" s="121"/>
      <c r="E183" s="115"/>
      <c r="F183" s="12" t="s">
        <v>133</v>
      </c>
      <c r="G183" s="22">
        <f>H183+I183+J183+K183+M183</f>
        <v>58058</v>
      </c>
      <c r="H183" s="22">
        <v>58058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107"/>
    </row>
    <row r="184" spans="1:17" ht="21.75" customHeight="1">
      <c r="A184" s="109"/>
      <c r="B184" s="112"/>
      <c r="C184" s="115"/>
      <c r="D184" s="121"/>
      <c r="E184" s="115"/>
      <c r="F184" s="12" t="s">
        <v>16</v>
      </c>
      <c r="G184" s="22">
        <f>H184+I184+J184+K184+M184</f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107"/>
    </row>
    <row r="185" spans="1:17" ht="21.75" customHeight="1">
      <c r="A185" s="110"/>
      <c r="B185" s="113"/>
      <c r="C185" s="115"/>
      <c r="D185" s="122"/>
      <c r="E185" s="116"/>
      <c r="F185" s="12" t="s">
        <v>17</v>
      </c>
      <c r="G185" s="22">
        <f>H185+I185+J185+K185+M185</f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107"/>
    </row>
    <row r="186" spans="1:17" ht="21.75" customHeight="1">
      <c r="A186" s="108" t="s">
        <v>83</v>
      </c>
      <c r="B186" s="111" t="s">
        <v>63</v>
      </c>
      <c r="C186" s="114" t="s">
        <v>11</v>
      </c>
      <c r="D186" s="120" t="s">
        <v>37</v>
      </c>
      <c r="E186" s="114" t="s">
        <v>153</v>
      </c>
      <c r="F186" s="12" t="s">
        <v>14</v>
      </c>
      <c r="G186" s="22">
        <f t="shared" ref="G186:M186" si="55">G187+G188+G189</f>
        <v>676415</v>
      </c>
      <c r="H186" s="22">
        <f t="shared" si="55"/>
        <v>0</v>
      </c>
      <c r="I186" s="22">
        <f t="shared" si="55"/>
        <v>676415</v>
      </c>
      <c r="J186" s="22">
        <f t="shared" si="55"/>
        <v>0</v>
      </c>
      <c r="K186" s="22">
        <f t="shared" si="55"/>
        <v>0</v>
      </c>
      <c r="L186" s="22">
        <f t="shared" si="55"/>
        <v>0</v>
      </c>
      <c r="M186" s="22">
        <f t="shared" si="55"/>
        <v>0</v>
      </c>
      <c r="N186" s="107"/>
    </row>
    <row r="187" spans="1:17" ht="21.75" customHeight="1">
      <c r="A187" s="109"/>
      <c r="B187" s="112"/>
      <c r="C187" s="115"/>
      <c r="D187" s="121"/>
      <c r="E187" s="115"/>
      <c r="F187" s="12" t="s">
        <v>133</v>
      </c>
      <c r="G187" s="22">
        <f>H187+I187+J187+K187+M187</f>
        <v>676415</v>
      </c>
      <c r="H187" s="22">
        <v>0</v>
      </c>
      <c r="I187" s="22">
        <v>676415</v>
      </c>
      <c r="J187" s="22">
        <v>0</v>
      </c>
      <c r="K187" s="22">
        <v>0</v>
      </c>
      <c r="L187" s="22">
        <v>0</v>
      </c>
      <c r="M187" s="22">
        <v>0</v>
      </c>
      <c r="N187" s="107"/>
    </row>
    <row r="188" spans="1:17" ht="21.75" customHeight="1">
      <c r="A188" s="109"/>
      <c r="B188" s="112"/>
      <c r="C188" s="115"/>
      <c r="D188" s="121"/>
      <c r="E188" s="115"/>
      <c r="F188" s="12" t="s">
        <v>16</v>
      </c>
      <c r="G188" s="22">
        <f>H188+I188+J188+K188+M188</f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107"/>
    </row>
    <row r="189" spans="1:17" ht="21.75" customHeight="1">
      <c r="A189" s="110"/>
      <c r="B189" s="113"/>
      <c r="C189" s="115"/>
      <c r="D189" s="122"/>
      <c r="E189" s="116"/>
      <c r="F189" s="12" t="s">
        <v>17</v>
      </c>
      <c r="G189" s="22">
        <f>H189+I189+J189+K189+M189</f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107"/>
    </row>
    <row r="190" spans="1:17" ht="21.75" customHeight="1">
      <c r="A190" s="108" t="s">
        <v>120</v>
      </c>
      <c r="B190" s="111" t="s">
        <v>71</v>
      </c>
      <c r="C190" s="114" t="s">
        <v>11</v>
      </c>
      <c r="D190" s="117" t="s">
        <v>149</v>
      </c>
      <c r="E190" s="114" t="s">
        <v>153</v>
      </c>
      <c r="F190" s="12" t="s">
        <v>14</v>
      </c>
      <c r="G190" s="22">
        <f>G191+G192+G193</f>
        <v>227000</v>
      </c>
      <c r="H190" s="22">
        <v>0</v>
      </c>
      <c r="I190" s="22">
        <f>I191+I192+I193</f>
        <v>0</v>
      </c>
      <c r="J190" s="22">
        <f>J191+J192+J193</f>
        <v>0</v>
      </c>
      <c r="K190" s="22">
        <v>0</v>
      </c>
      <c r="L190" s="22">
        <f>L191+L192+L193</f>
        <v>0</v>
      </c>
      <c r="M190" s="22">
        <f>M191+M192+M193</f>
        <v>0</v>
      </c>
      <c r="N190" s="107"/>
    </row>
    <row r="191" spans="1:17" ht="21.75" customHeight="1">
      <c r="A191" s="109"/>
      <c r="B191" s="112"/>
      <c r="C191" s="115"/>
      <c r="D191" s="118"/>
      <c r="E191" s="115"/>
      <c r="F191" s="12" t="s">
        <v>133</v>
      </c>
      <c r="G191" s="22">
        <f>H191+I191+J191+K191+M191</f>
        <v>227000</v>
      </c>
      <c r="H191" s="22">
        <v>227000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107"/>
    </row>
    <row r="192" spans="1:17" ht="21.75" customHeight="1">
      <c r="A192" s="109"/>
      <c r="B192" s="112"/>
      <c r="C192" s="115"/>
      <c r="D192" s="118"/>
      <c r="E192" s="115"/>
      <c r="F192" s="12" t="s">
        <v>16</v>
      </c>
      <c r="G192" s="22">
        <f>H192+I192+J192+K192+M192</f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107"/>
    </row>
    <row r="193" spans="1:23" ht="21.75" customHeight="1">
      <c r="A193" s="110"/>
      <c r="B193" s="113"/>
      <c r="C193" s="115"/>
      <c r="D193" s="119"/>
      <c r="E193" s="116"/>
      <c r="F193" s="12" t="s">
        <v>17</v>
      </c>
      <c r="G193" s="22">
        <f>H193+I193+J193+K193+M193</f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107"/>
    </row>
    <row r="194" spans="1:23" ht="21.75" customHeight="1">
      <c r="A194" s="108" t="s">
        <v>86</v>
      </c>
      <c r="B194" s="111" t="s">
        <v>82</v>
      </c>
      <c r="C194" s="114" t="s">
        <v>11</v>
      </c>
      <c r="D194" s="117" t="s">
        <v>42</v>
      </c>
      <c r="E194" s="114" t="s">
        <v>153</v>
      </c>
      <c r="F194" s="12" t="s">
        <v>14</v>
      </c>
      <c r="G194" s="22">
        <f t="shared" ref="G194:M194" si="56">G195+G196+G197</f>
        <v>4525000</v>
      </c>
      <c r="H194" s="22">
        <f t="shared" si="56"/>
        <v>2525000</v>
      </c>
      <c r="I194" s="22">
        <f t="shared" si="56"/>
        <v>2000000</v>
      </c>
      <c r="J194" s="22">
        <f t="shared" si="56"/>
        <v>0</v>
      </c>
      <c r="K194" s="22">
        <f t="shared" si="56"/>
        <v>0</v>
      </c>
      <c r="L194" s="22">
        <f>L195+L196+L197</f>
        <v>0</v>
      </c>
      <c r="M194" s="22">
        <f t="shared" si="56"/>
        <v>0</v>
      </c>
      <c r="N194" s="107"/>
      <c r="O194" s="3"/>
      <c r="W194" s="3" t="e">
        <f>#REF!+#REF!+#REF!+#REF!</f>
        <v>#REF!</v>
      </c>
    </row>
    <row r="195" spans="1:23" ht="21.75" customHeight="1">
      <c r="A195" s="109"/>
      <c r="B195" s="112"/>
      <c r="C195" s="115"/>
      <c r="D195" s="118"/>
      <c r="E195" s="115"/>
      <c r="F195" s="12" t="s">
        <v>133</v>
      </c>
      <c r="G195" s="22">
        <f>H195+I195+J195+K195+M195</f>
        <v>2052500</v>
      </c>
      <c r="H195" s="22">
        <f>1000000+47250+5250</f>
        <v>1052500</v>
      </c>
      <c r="I195" s="22">
        <v>1000000</v>
      </c>
      <c r="J195" s="22">
        <v>0</v>
      </c>
      <c r="K195" s="22">
        <v>0</v>
      </c>
      <c r="L195" s="22">
        <v>0</v>
      </c>
      <c r="M195" s="22">
        <v>0</v>
      </c>
      <c r="N195" s="107"/>
    </row>
    <row r="196" spans="1:23" ht="21.75" customHeight="1">
      <c r="A196" s="109"/>
      <c r="B196" s="112"/>
      <c r="C196" s="115"/>
      <c r="D196" s="118"/>
      <c r="E196" s="115"/>
      <c r="F196" s="12" t="s">
        <v>16</v>
      </c>
      <c r="G196" s="22">
        <f>H196+I196+J196+K196+M196</f>
        <v>2472500</v>
      </c>
      <c r="H196" s="22">
        <f>1000000+472500</f>
        <v>1472500</v>
      </c>
      <c r="I196" s="22">
        <v>1000000</v>
      </c>
      <c r="J196" s="22">
        <v>0</v>
      </c>
      <c r="K196" s="22">
        <v>0</v>
      </c>
      <c r="L196" s="22">
        <v>0</v>
      </c>
      <c r="M196" s="22">
        <v>0</v>
      </c>
      <c r="N196" s="107"/>
    </row>
    <row r="197" spans="1:23" ht="21.75" customHeight="1">
      <c r="A197" s="110"/>
      <c r="B197" s="113"/>
      <c r="C197" s="116"/>
      <c r="D197" s="119"/>
      <c r="E197" s="116"/>
      <c r="F197" s="12" t="s">
        <v>17</v>
      </c>
      <c r="G197" s="22">
        <f>H197+I197+J197+K197+M197</f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107"/>
    </row>
    <row r="198" spans="1:23" s="10" customFormat="1" ht="21.75" customHeight="1">
      <c r="A198" s="108" t="s">
        <v>121</v>
      </c>
      <c r="B198" s="111" t="s">
        <v>92</v>
      </c>
      <c r="C198" s="114" t="s">
        <v>11</v>
      </c>
      <c r="D198" s="117" t="s">
        <v>42</v>
      </c>
      <c r="E198" s="114" t="s">
        <v>153</v>
      </c>
      <c r="F198" s="12" t="s">
        <v>14</v>
      </c>
      <c r="G198" s="22">
        <f t="shared" ref="G198:M198" si="57">G199+G200+G201</f>
        <v>10636538.800000001</v>
      </c>
      <c r="H198" s="22">
        <f t="shared" si="57"/>
        <v>1316716</v>
      </c>
      <c r="I198" s="22">
        <f t="shared" si="57"/>
        <v>0</v>
      </c>
      <c r="J198" s="22">
        <f t="shared" si="57"/>
        <v>2487958.7999999998</v>
      </c>
      <c r="K198" s="22">
        <f t="shared" si="57"/>
        <v>6831864</v>
      </c>
      <c r="L198" s="22">
        <f t="shared" si="57"/>
        <v>0</v>
      </c>
      <c r="M198" s="22">
        <f t="shared" si="57"/>
        <v>0</v>
      </c>
      <c r="N198" s="107"/>
    </row>
    <row r="199" spans="1:23" s="10" customFormat="1" ht="21.75" customHeight="1">
      <c r="A199" s="109"/>
      <c r="B199" s="112"/>
      <c r="C199" s="115"/>
      <c r="D199" s="118"/>
      <c r="E199" s="115"/>
      <c r="F199" s="12" t="s">
        <v>133</v>
      </c>
      <c r="G199" s="22">
        <f>H199+I199+J199+K199+M199</f>
        <v>4188101</v>
      </c>
      <c r="H199" s="22">
        <f>368777+87460</f>
        <v>456237</v>
      </c>
      <c r="I199" s="22">
        <v>0</v>
      </c>
      <c r="J199" s="22">
        <f>+'[7]остатки средств в ФК_2'!$R$52</f>
        <v>750000</v>
      </c>
      <c r="K199" s="22">
        <v>2981864</v>
      </c>
      <c r="L199" s="22">
        <v>0</v>
      </c>
      <c r="M199" s="22">
        <v>0</v>
      </c>
      <c r="N199" s="107"/>
    </row>
    <row r="200" spans="1:23" s="10" customFormat="1" ht="21.75" customHeight="1">
      <c r="A200" s="109"/>
      <c r="B200" s="112"/>
      <c r="C200" s="115"/>
      <c r="D200" s="118"/>
      <c r="E200" s="115"/>
      <c r="F200" s="12" t="s">
        <v>16</v>
      </c>
      <c r="G200" s="22">
        <f>H200+I200+J200+K200+M200</f>
        <v>6448437.7999999998</v>
      </c>
      <c r="H200" s="22">
        <v>860479</v>
      </c>
      <c r="I200" s="22">
        <v>0</v>
      </c>
      <c r="J200" s="22">
        <f>'[8]остатки средств в ФК_2'!$Y$46</f>
        <v>1737958.8</v>
      </c>
      <c r="K200" s="22">
        <v>3850000</v>
      </c>
      <c r="L200" s="22">
        <v>0</v>
      </c>
      <c r="M200" s="22">
        <v>0</v>
      </c>
      <c r="N200" s="107"/>
    </row>
    <row r="201" spans="1:23" s="10" customFormat="1" ht="21.75" customHeight="1">
      <c r="A201" s="110"/>
      <c r="B201" s="113"/>
      <c r="C201" s="116"/>
      <c r="D201" s="119"/>
      <c r="E201" s="116"/>
      <c r="F201" s="12" t="s">
        <v>17</v>
      </c>
      <c r="G201" s="22">
        <f>H201+I201+J201+K201+M201</f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107"/>
    </row>
    <row r="202" spans="1:23" ht="21.75" customHeight="1">
      <c r="A202" s="108" t="s">
        <v>89</v>
      </c>
      <c r="B202" s="111" t="s">
        <v>90</v>
      </c>
      <c r="C202" s="114" t="s">
        <v>11</v>
      </c>
      <c r="D202" s="117" t="s">
        <v>42</v>
      </c>
      <c r="E202" s="114" t="s">
        <v>153</v>
      </c>
      <c r="F202" s="12" t="s">
        <v>14</v>
      </c>
      <c r="G202" s="22">
        <f t="shared" ref="G202:M202" si="58">G203+G204+G205</f>
        <v>0</v>
      </c>
      <c r="H202" s="22">
        <f t="shared" si="58"/>
        <v>0</v>
      </c>
      <c r="I202" s="22">
        <f t="shared" si="58"/>
        <v>0</v>
      </c>
      <c r="J202" s="22">
        <f t="shared" si="58"/>
        <v>0</v>
      </c>
      <c r="K202" s="22">
        <f t="shared" si="58"/>
        <v>0</v>
      </c>
      <c r="L202" s="22">
        <f t="shared" si="58"/>
        <v>0</v>
      </c>
      <c r="M202" s="22">
        <f t="shared" si="58"/>
        <v>0</v>
      </c>
      <c r="N202" s="107"/>
    </row>
    <row r="203" spans="1:23" ht="21.75" customHeight="1">
      <c r="A203" s="109"/>
      <c r="B203" s="112"/>
      <c r="C203" s="115"/>
      <c r="D203" s="118"/>
      <c r="E203" s="115"/>
      <c r="F203" s="12" t="s">
        <v>15</v>
      </c>
      <c r="G203" s="22">
        <f>H203+I203+J203+K203+M203</f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107"/>
    </row>
    <row r="204" spans="1:23" ht="21.75" customHeight="1">
      <c r="A204" s="109"/>
      <c r="B204" s="112"/>
      <c r="C204" s="115"/>
      <c r="D204" s="118"/>
      <c r="E204" s="115"/>
      <c r="F204" s="12" t="s">
        <v>16</v>
      </c>
      <c r="G204" s="22">
        <f>H204+I204+J204+K204+M204</f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107"/>
    </row>
    <row r="205" spans="1:23" ht="21.75" customHeight="1">
      <c r="A205" s="110"/>
      <c r="B205" s="113"/>
      <c r="C205" s="116"/>
      <c r="D205" s="119"/>
      <c r="E205" s="116"/>
      <c r="F205" s="12" t="s">
        <v>17</v>
      </c>
      <c r="G205" s="22">
        <f>H205+I205+J205+K205+M205</f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107"/>
    </row>
    <row r="206" spans="1:23" ht="21.75" customHeight="1">
      <c r="A206" s="108" t="s">
        <v>94</v>
      </c>
      <c r="B206" s="111" t="s">
        <v>84</v>
      </c>
      <c r="C206" s="114" t="s">
        <v>11</v>
      </c>
      <c r="D206" s="117" t="s">
        <v>12</v>
      </c>
      <c r="E206" s="114" t="s">
        <v>153</v>
      </c>
      <c r="F206" s="12" t="s">
        <v>14</v>
      </c>
      <c r="G206" s="22">
        <f t="shared" ref="G206:M206" si="59">G207+G208+G209</f>
        <v>12787862.84</v>
      </c>
      <c r="H206" s="22">
        <f t="shared" si="59"/>
        <v>3038075</v>
      </c>
      <c r="I206" s="22">
        <f t="shared" si="59"/>
        <v>2233000</v>
      </c>
      <c r="J206" s="22">
        <f t="shared" si="59"/>
        <v>2146368.09</v>
      </c>
      <c r="K206" s="22">
        <f t="shared" si="59"/>
        <v>2643096.14</v>
      </c>
      <c r="L206" s="22">
        <f>L207+L208+L209</f>
        <v>2622773.86</v>
      </c>
      <c r="M206" s="22">
        <f t="shared" si="59"/>
        <v>2727323.61</v>
      </c>
      <c r="N206" s="107"/>
    </row>
    <row r="207" spans="1:23" ht="21.75" customHeight="1">
      <c r="A207" s="109"/>
      <c r="B207" s="112"/>
      <c r="C207" s="115"/>
      <c r="D207" s="118"/>
      <c r="E207" s="115"/>
      <c r="F207" s="12" t="s">
        <v>133</v>
      </c>
      <c r="G207" s="22">
        <f t="shared" ref="G207:G217" si="60">H207+I207+J207+K207+M207</f>
        <v>12159391.84</v>
      </c>
      <c r="H207" s="22">
        <f>3200000-300000-62034+62034</f>
        <v>2900000</v>
      </c>
      <c r="I207" s="22">
        <f>1933000+300000</f>
        <v>2233000</v>
      </c>
      <c r="J207" s="22">
        <v>2146368.09</v>
      </c>
      <c r="K207" s="22">
        <v>2152700.14</v>
      </c>
      <c r="L207" s="22">
        <v>2622773.86</v>
      </c>
      <c r="M207" s="22">
        <v>2727323.61</v>
      </c>
      <c r="N207" s="107"/>
    </row>
    <row r="208" spans="1:23" ht="21.75" customHeight="1">
      <c r="A208" s="109"/>
      <c r="B208" s="112"/>
      <c r="C208" s="115"/>
      <c r="D208" s="118"/>
      <c r="E208" s="115"/>
      <c r="F208" s="12" t="s">
        <v>16</v>
      </c>
      <c r="G208" s="22">
        <f t="shared" si="60"/>
        <v>628471</v>
      </c>
      <c r="H208" s="22">
        <v>138075</v>
      </c>
      <c r="I208" s="22">
        <v>0</v>
      </c>
      <c r="J208" s="22">
        <v>0</v>
      </c>
      <c r="K208" s="22">
        <v>490396</v>
      </c>
      <c r="L208" s="22">
        <v>0</v>
      </c>
      <c r="M208" s="22">
        <v>0</v>
      </c>
      <c r="N208" s="107"/>
      <c r="P208" s="3"/>
    </row>
    <row r="209" spans="1:16" ht="21.75" customHeight="1">
      <c r="A209" s="110"/>
      <c r="B209" s="113"/>
      <c r="C209" s="116"/>
      <c r="D209" s="119"/>
      <c r="E209" s="116"/>
      <c r="F209" s="12" t="s">
        <v>17</v>
      </c>
      <c r="G209" s="22">
        <f t="shared" si="60"/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107"/>
      <c r="P209" s="3"/>
    </row>
    <row r="210" spans="1:16" ht="21.75" customHeight="1">
      <c r="A210" s="171" t="s">
        <v>102</v>
      </c>
      <c r="B210" s="111" t="s">
        <v>87</v>
      </c>
      <c r="C210" s="114" t="s">
        <v>11</v>
      </c>
      <c r="D210" s="117" t="s">
        <v>42</v>
      </c>
      <c r="E210" s="114" t="s">
        <v>153</v>
      </c>
      <c r="F210" s="12" t="s">
        <v>14</v>
      </c>
      <c r="G210" s="22">
        <f t="shared" ref="G210:M210" si="61">G211+G212+G213</f>
        <v>7405000</v>
      </c>
      <c r="H210" s="22">
        <f t="shared" si="61"/>
        <v>525000</v>
      </c>
      <c r="I210" s="22">
        <f t="shared" si="61"/>
        <v>0</v>
      </c>
      <c r="J210" s="22">
        <f t="shared" si="61"/>
        <v>610000</v>
      </c>
      <c r="K210" s="22">
        <f t="shared" si="61"/>
        <v>4170000</v>
      </c>
      <c r="L210" s="22">
        <f>L211+L212+L213</f>
        <v>2100000</v>
      </c>
      <c r="M210" s="22">
        <f t="shared" si="61"/>
        <v>2100000</v>
      </c>
      <c r="N210" s="107"/>
    </row>
    <row r="211" spans="1:16" ht="21.75" customHeight="1">
      <c r="A211" s="109"/>
      <c r="B211" s="112"/>
      <c r="C211" s="115"/>
      <c r="D211" s="118"/>
      <c r="E211" s="115"/>
      <c r="F211" s="12" t="s">
        <v>133</v>
      </c>
      <c r="G211" s="22">
        <f t="shared" si="60"/>
        <v>5085000</v>
      </c>
      <c r="H211" s="22">
        <f>700000+300000-475000</f>
        <v>525000</v>
      </c>
      <c r="I211" s="22">
        <v>0</v>
      </c>
      <c r="J211" s="22">
        <f>500000+600000-140000-600000</f>
        <v>360000</v>
      </c>
      <c r="K211" s="22">
        <v>2100000</v>
      </c>
      <c r="L211" s="22">
        <v>2100000</v>
      </c>
      <c r="M211" s="22">
        <v>2100000</v>
      </c>
      <c r="N211" s="107"/>
      <c r="P211" s="2">
        <v>854209197.39999998</v>
      </c>
    </row>
    <row r="212" spans="1:16" ht="21.75" customHeight="1">
      <c r="A212" s="109"/>
      <c r="B212" s="112"/>
      <c r="C212" s="115"/>
      <c r="D212" s="118"/>
      <c r="E212" s="115"/>
      <c r="F212" s="12" t="s">
        <v>16</v>
      </c>
      <c r="G212" s="22">
        <f t="shared" si="60"/>
        <v>2320000</v>
      </c>
      <c r="H212" s="22">
        <v>0</v>
      </c>
      <c r="I212" s="22">
        <v>0</v>
      </c>
      <c r="J212" s="22">
        <v>250000</v>
      </c>
      <c r="K212" s="22">
        <v>2070000</v>
      </c>
      <c r="L212" s="22">
        <v>0</v>
      </c>
      <c r="M212" s="22">
        <v>0</v>
      </c>
      <c r="N212" s="107"/>
      <c r="P212" s="2">
        <v>852492090</v>
      </c>
    </row>
    <row r="213" spans="1:16" ht="21.75" customHeight="1">
      <c r="A213" s="110"/>
      <c r="B213" s="113"/>
      <c r="C213" s="116"/>
      <c r="D213" s="119"/>
      <c r="E213" s="116"/>
      <c r="F213" s="12" t="s">
        <v>17</v>
      </c>
      <c r="G213" s="22">
        <f t="shared" si="60"/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107"/>
      <c r="P213" s="2">
        <f>P211-P212</f>
        <v>1717107.3999999762</v>
      </c>
    </row>
    <row r="214" spans="1:16" ht="21.75" hidden="1" customHeight="1" outlineLevel="1">
      <c r="A214" s="54"/>
      <c r="B214" s="111" t="s">
        <v>88</v>
      </c>
      <c r="C214" s="114" t="s">
        <v>11</v>
      </c>
      <c r="D214" s="114"/>
      <c r="E214" s="114" t="s">
        <v>153</v>
      </c>
      <c r="F214" s="12" t="s">
        <v>14</v>
      </c>
      <c r="G214" s="22">
        <f t="shared" ref="G214:M214" si="62">G215+G216+G217</f>
        <v>0</v>
      </c>
      <c r="H214" s="22">
        <f t="shared" si="62"/>
        <v>0</v>
      </c>
      <c r="I214" s="22">
        <f t="shared" si="62"/>
        <v>0</v>
      </c>
      <c r="J214" s="22">
        <f t="shared" si="62"/>
        <v>0</v>
      </c>
      <c r="K214" s="22">
        <f t="shared" si="62"/>
        <v>0</v>
      </c>
      <c r="L214" s="22">
        <f>L215+L216+L217</f>
        <v>0</v>
      </c>
      <c r="M214" s="22">
        <f t="shared" si="62"/>
        <v>0</v>
      </c>
      <c r="N214" s="107"/>
    </row>
    <row r="215" spans="1:16" ht="21.75" hidden="1" customHeight="1" outlineLevel="1">
      <c r="A215" s="53" t="s">
        <v>89</v>
      </c>
      <c r="B215" s="112"/>
      <c r="C215" s="115"/>
      <c r="D215" s="115"/>
      <c r="E215" s="115"/>
      <c r="F215" s="12" t="s">
        <v>15</v>
      </c>
      <c r="G215" s="22">
        <f t="shared" si="60"/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107"/>
    </row>
    <row r="216" spans="1:16" ht="21.75" hidden="1" customHeight="1" outlineLevel="1">
      <c r="A216" s="54"/>
      <c r="B216" s="112"/>
      <c r="C216" s="115"/>
      <c r="D216" s="115"/>
      <c r="E216" s="115"/>
      <c r="F216" s="12" t="s">
        <v>16</v>
      </c>
      <c r="G216" s="22">
        <f t="shared" si="60"/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107"/>
    </row>
    <row r="217" spans="1:16" ht="21.75" hidden="1" customHeight="1" outlineLevel="1">
      <c r="A217" s="54"/>
      <c r="B217" s="113"/>
      <c r="C217" s="116"/>
      <c r="D217" s="116"/>
      <c r="E217" s="116"/>
      <c r="F217" s="12" t="s">
        <v>17</v>
      </c>
      <c r="G217" s="22">
        <f t="shared" si="60"/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107"/>
    </row>
    <row r="218" spans="1:16" ht="21.75" hidden="1" customHeight="1" outlineLevel="1">
      <c r="A218" s="108" t="s">
        <v>91</v>
      </c>
      <c r="B218" s="111" t="s">
        <v>90</v>
      </c>
      <c r="C218" s="114" t="s">
        <v>11</v>
      </c>
      <c r="D218" s="114"/>
      <c r="E218" s="114" t="s">
        <v>153</v>
      </c>
      <c r="F218" s="12" t="s">
        <v>14</v>
      </c>
      <c r="G218" s="22">
        <f t="shared" ref="G218:M218" si="63">G219+G220+G221</f>
        <v>0</v>
      </c>
      <c r="H218" s="22">
        <f t="shared" si="63"/>
        <v>0</v>
      </c>
      <c r="I218" s="22">
        <f t="shared" si="63"/>
        <v>0</v>
      </c>
      <c r="J218" s="22">
        <f t="shared" si="63"/>
        <v>0</v>
      </c>
      <c r="K218" s="22">
        <f t="shared" si="63"/>
        <v>0</v>
      </c>
      <c r="L218" s="22">
        <f>L219+L220+L221</f>
        <v>0</v>
      </c>
      <c r="M218" s="22">
        <f t="shared" si="63"/>
        <v>0</v>
      </c>
      <c r="N218" s="107"/>
    </row>
    <row r="219" spans="1:16" ht="21.75" hidden="1" customHeight="1" outlineLevel="1">
      <c r="A219" s="109"/>
      <c r="B219" s="112"/>
      <c r="C219" s="115"/>
      <c r="D219" s="115"/>
      <c r="E219" s="115"/>
      <c r="F219" s="12" t="s">
        <v>15</v>
      </c>
      <c r="G219" s="22">
        <f>H219+I219+J219+K219+M219</f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107"/>
    </row>
    <row r="220" spans="1:16" ht="21.75" hidden="1" customHeight="1" outlineLevel="1">
      <c r="A220" s="109"/>
      <c r="B220" s="112"/>
      <c r="C220" s="115"/>
      <c r="D220" s="115"/>
      <c r="E220" s="115"/>
      <c r="F220" s="12" t="s">
        <v>16</v>
      </c>
      <c r="G220" s="22">
        <f>H220+I220+J220+K220+M220</f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107"/>
    </row>
    <row r="221" spans="1:16" ht="21.75" hidden="1" customHeight="1" outlineLevel="1">
      <c r="A221" s="110"/>
      <c r="B221" s="113"/>
      <c r="C221" s="116"/>
      <c r="D221" s="116"/>
      <c r="E221" s="116"/>
      <c r="F221" s="12" t="s">
        <v>17</v>
      </c>
      <c r="G221" s="22">
        <f>H221+I221+J221+K221+M221</f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107"/>
    </row>
    <row r="222" spans="1:16" ht="21.75" hidden="1" customHeight="1" outlineLevel="1">
      <c r="A222" s="54"/>
      <c r="B222" s="111" t="s">
        <v>85</v>
      </c>
      <c r="C222" s="114" t="s">
        <v>11</v>
      </c>
      <c r="D222" s="114"/>
      <c r="E222" s="114" t="s">
        <v>153</v>
      </c>
      <c r="F222" s="12" t="s">
        <v>14</v>
      </c>
      <c r="G222" s="22">
        <f t="shared" ref="G222:M222" si="64">G223+G224+G225</f>
        <v>0</v>
      </c>
      <c r="H222" s="22">
        <f t="shared" si="64"/>
        <v>0</v>
      </c>
      <c r="I222" s="22">
        <f t="shared" si="64"/>
        <v>0</v>
      </c>
      <c r="J222" s="22">
        <f t="shared" si="64"/>
        <v>0</v>
      </c>
      <c r="K222" s="22">
        <f t="shared" si="64"/>
        <v>0</v>
      </c>
      <c r="L222" s="22">
        <f>L223+L224+L225</f>
        <v>0</v>
      </c>
      <c r="M222" s="22">
        <f t="shared" si="64"/>
        <v>0</v>
      </c>
      <c r="N222" s="107"/>
      <c r="P222" s="3"/>
    </row>
    <row r="223" spans="1:16" ht="21.75" hidden="1" customHeight="1" outlineLevel="1">
      <c r="A223" s="54"/>
      <c r="B223" s="112"/>
      <c r="C223" s="115"/>
      <c r="D223" s="115"/>
      <c r="E223" s="115"/>
      <c r="F223" s="12" t="s">
        <v>15</v>
      </c>
      <c r="G223" s="22">
        <f>H223+I223+J223+K223+M223</f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107"/>
      <c r="P223" s="3"/>
    </row>
    <row r="224" spans="1:16" ht="21.75" hidden="1" customHeight="1" outlineLevel="1">
      <c r="A224" s="53" t="s">
        <v>122</v>
      </c>
      <c r="B224" s="112"/>
      <c r="C224" s="115"/>
      <c r="D224" s="115"/>
      <c r="E224" s="115"/>
      <c r="F224" s="12" t="s">
        <v>16</v>
      </c>
      <c r="G224" s="22">
        <f>H224+I224+J224+K224+M224</f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107"/>
      <c r="P224" s="3"/>
    </row>
    <row r="225" spans="1:16" ht="21.75" hidden="1" customHeight="1" outlineLevel="1">
      <c r="A225" s="54"/>
      <c r="B225" s="113"/>
      <c r="C225" s="116"/>
      <c r="D225" s="116"/>
      <c r="E225" s="116"/>
      <c r="F225" s="12" t="s">
        <v>17</v>
      </c>
      <c r="G225" s="22">
        <f>H225+I225+J225+K225+M225</f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167"/>
      <c r="P225" s="3"/>
    </row>
    <row r="226" spans="1:16" ht="21.75" customHeight="1" collapsed="1">
      <c r="A226" s="126"/>
      <c r="B226" s="129" t="s">
        <v>141</v>
      </c>
      <c r="C226" s="132" t="s">
        <v>11</v>
      </c>
      <c r="D226" s="166" t="s">
        <v>93</v>
      </c>
      <c r="E226" s="132" t="s">
        <v>153</v>
      </c>
      <c r="F226" s="34" t="s">
        <v>14</v>
      </c>
      <c r="G226" s="35">
        <f t="shared" ref="G226:M226" si="65">G227+G228+G229</f>
        <v>22699651.289999999</v>
      </c>
      <c r="H226" s="35">
        <f t="shared" si="65"/>
        <v>1942784.25</v>
      </c>
      <c r="I226" s="35">
        <f t="shared" si="65"/>
        <v>4335490.6399999997</v>
      </c>
      <c r="J226" s="35">
        <f t="shared" si="65"/>
        <v>5072468.2399999993</v>
      </c>
      <c r="K226" s="35">
        <f t="shared" si="65"/>
        <v>5471604.9199999999</v>
      </c>
      <c r="L226" s="35">
        <f>L227+L228+L229</f>
        <v>5670475.4000000004</v>
      </c>
      <c r="M226" s="35">
        <f t="shared" si="65"/>
        <v>5877303.2400000002</v>
      </c>
      <c r="N226" s="161"/>
    </row>
    <row r="227" spans="1:16" ht="21.75" customHeight="1">
      <c r="A227" s="127"/>
      <c r="B227" s="130"/>
      <c r="C227" s="133"/>
      <c r="D227" s="133"/>
      <c r="E227" s="133"/>
      <c r="F227" s="34" t="s">
        <v>133</v>
      </c>
      <c r="G227" s="35">
        <f>H227+I227+J227+K227+M227</f>
        <v>3937369.86</v>
      </c>
      <c r="H227" s="35">
        <f t="shared" ref="H227:I229" si="66">H231+H235+H239+H247+H243</f>
        <v>1742784.25</v>
      </c>
      <c r="I227" s="35">
        <f>I231+I235+I239+I247+I243</f>
        <v>722529.92999999993</v>
      </c>
      <c r="J227" s="35">
        <f t="shared" ref="J227:M229" si="67">J231+J235+J239+J247+J243</f>
        <v>472055.68</v>
      </c>
      <c r="K227" s="35">
        <f t="shared" si="67"/>
        <v>500000</v>
      </c>
      <c r="L227" s="35">
        <f>L231+L235+L239+L247+L243</f>
        <v>500000</v>
      </c>
      <c r="M227" s="35">
        <f t="shared" si="67"/>
        <v>500000</v>
      </c>
      <c r="N227" s="162"/>
    </row>
    <row r="228" spans="1:16" ht="21.75" customHeight="1">
      <c r="A228" s="127"/>
      <c r="B228" s="130"/>
      <c r="C228" s="133"/>
      <c r="D228" s="133"/>
      <c r="E228" s="133"/>
      <c r="F228" s="34" t="s">
        <v>16</v>
      </c>
      <c r="G228" s="35">
        <f>H228+I228+J228+K228+M228</f>
        <v>18762281.43</v>
      </c>
      <c r="H228" s="35">
        <f t="shared" si="66"/>
        <v>200000</v>
      </c>
      <c r="I228" s="35">
        <f t="shared" si="66"/>
        <v>3612960.71</v>
      </c>
      <c r="J228" s="35">
        <f t="shared" si="67"/>
        <v>4600412.5599999996</v>
      </c>
      <c r="K228" s="35">
        <f t="shared" si="67"/>
        <v>4971604.92</v>
      </c>
      <c r="L228" s="35">
        <f>L232+L236+L240+L248+L244</f>
        <v>5170475.4000000004</v>
      </c>
      <c r="M228" s="35">
        <f t="shared" si="67"/>
        <v>5377303.2400000002</v>
      </c>
      <c r="N228" s="162"/>
    </row>
    <row r="229" spans="1:16" ht="21.75" customHeight="1">
      <c r="A229" s="128"/>
      <c r="B229" s="131"/>
      <c r="C229" s="134"/>
      <c r="D229" s="134"/>
      <c r="E229" s="134"/>
      <c r="F229" s="34" t="s">
        <v>17</v>
      </c>
      <c r="G229" s="35">
        <f>H229+I229+J229+K229+M229</f>
        <v>0</v>
      </c>
      <c r="H229" s="35">
        <f t="shared" si="66"/>
        <v>0</v>
      </c>
      <c r="I229" s="35">
        <f t="shared" si="66"/>
        <v>0</v>
      </c>
      <c r="J229" s="35">
        <f t="shared" si="67"/>
        <v>0</v>
      </c>
      <c r="K229" s="35">
        <f t="shared" si="67"/>
        <v>0</v>
      </c>
      <c r="L229" s="35">
        <f>L233+L237+L241+L249+L245</f>
        <v>0</v>
      </c>
      <c r="M229" s="35">
        <f t="shared" si="67"/>
        <v>0</v>
      </c>
      <c r="N229" s="163"/>
    </row>
    <row r="230" spans="1:16" ht="21.75" customHeight="1">
      <c r="A230" s="108" t="s">
        <v>18</v>
      </c>
      <c r="B230" s="111" t="s">
        <v>138</v>
      </c>
      <c r="C230" s="114" t="s">
        <v>11</v>
      </c>
      <c r="D230" s="117" t="s">
        <v>95</v>
      </c>
      <c r="E230" s="114" t="s">
        <v>153</v>
      </c>
      <c r="F230" s="12" t="s">
        <v>14</v>
      </c>
      <c r="G230" s="22">
        <f t="shared" ref="G230:M230" si="68">G231+G232+G233</f>
        <v>1525881.79</v>
      </c>
      <c r="H230" s="22">
        <f t="shared" si="68"/>
        <v>1426776.79</v>
      </c>
      <c r="I230" s="22">
        <f t="shared" si="68"/>
        <v>0</v>
      </c>
      <c r="J230" s="48">
        <f t="shared" si="68"/>
        <v>50969</v>
      </c>
      <c r="K230" s="22">
        <f t="shared" si="68"/>
        <v>24068</v>
      </c>
      <c r="L230" s="22">
        <f>L231+L232+L233</f>
        <v>24068</v>
      </c>
      <c r="M230" s="22">
        <f t="shared" si="68"/>
        <v>24068</v>
      </c>
      <c r="N230" s="164" t="s">
        <v>150</v>
      </c>
    </row>
    <row r="231" spans="1:16" ht="21.75" customHeight="1">
      <c r="A231" s="109"/>
      <c r="B231" s="112"/>
      <c r="C231" s="115"/>
      <c r="D231" s="118"/>
      <c r="E231" s="115"/>
      <c r="F231" s="12" t="s">
        <v>133</v>
      </c>
      <c r="G231" s="22">
        <f>H231+I231+J231+K231+M231</f>
        <v>1525881.79</v>
      </c>
      <c r="H231" s="22">
        <f>76776.79+1000000+350000</f>
        <v>1426776.79</v>
      </c>
      <c r="I231" s="22">
        <v>0</v>
      </c>
      <c r="J231" s="48">
        <f>'[9]2022 год'!$D$15+'[9]2022 год'!$E$19</f>
        <v>50969</v>
      </c>
      <c r="K231" s="22">
        <v>24068</v>
      </c>
      <c r="L231" s="22">
        <v>24068</v>
      </c>
      <c r="M231" s="22">
        <v>24068</v>
      </c>
      <c r="N231" s="165"/>
    </row>
    <row r="232" spans="1:16" ht="21.75" customHeight="1">
      <c r="A232" s="109"/>
      <c r="B232" s="112"/>
      <c r="C232" s="115"/>
      <c r="D232" s="118"/>
      <c r="E232" s="115"/>
      <c r="F232" s="12" t="s">
        <v>16</v>
      </c>
      <c r="G232" s="22">
        <f>H232+I232+J232+K232+M232</f>
        <v>0</v>
      </c>
      <c r="H232" s="22">
        <v>0</v>
      </c>
      <c r="I232" s="22">
        <v>0</v>
      </c>
      <c r="J232" s="48">
        <v>0</v>
      </c>
      <c r="K232" s="22">
        <v>0</v>
      </c>
      <c r="L232" s="22">
        <v>0</v>
      </c>
      <c r="M232" s="22">
        <v>0</v>
      </c>
      <c r="N232" s="165"/>
    </row>
    <row r="233" spans="1:16" ht="21.75" customHeight="1">
      <c r="A233" s="110"/>
      <c r="B233" s="113"/>
      <c r="C233" s="115"/>
      <c r="D233" s="119"/>
      <c r="E233" s="116"/>
      <c r="F233" s="12" t="s">
        <v>17</v>
      </c>
      <c r="G233" s="22">
        <f>H233+I233+J233+K233+M233</f>
        <v>0</v>
      </c>
      <c r="H233" s="22">
        <v>0</v>
      </c>
      <c r="I233" s="22">
        <v>0</v>
      </c>
      <c r="J233" s="48">
        <v>0</v>
      </c>
      <c r="K233" s="22">
        <v>0</v>
      </c>
      <c r="L233" s="22">
        <v>0</v>
      </c>
      <c r="M233" s="22">
        <v>0</v>
      </c>
      <c r="N233" s="165"/>
    </row>
    <row r="234" spans="1:16" ht="21.75" customHeight="1">
      <c r="A234" s="108" t="s">
        <v>78</v>
      </c>
      <c r="B234" s="111" t="s">
        <v>96</v>
      </c>
      <c r="C234" s="114" t="s">
        <v>11</v>
      </c>
      <c r="D234" s="117" t="s">
        <v>93</v>
      </c>
      <c r="E234" s="114" t="s">
        <v>153</v>
      </c>
      <c r="F234" s="12" t="s">
        <v>14</v>
      </c>
      <c r="G234" s="22">
        <f t="shared" ref="G234:M234" si="69">G235+G236+G237</f>
        <v>1493382.4000000001</v>
      </c>
      <c r="H234" s="22">
        <f t="shared" si="69"/>
        <v>199970.46</v>
      </c>
      <c r="I234" s="22">
        <f t="shared" si="69"/>
        <v>422529.93</v>
      </c>
      <c r="J234" s="48">
        <f t="shared" si="69"/>
        <v>279313.93</v>
      </c>
      <c r="K234" s="22">
        <f t="shared" si="69"/>
        <v>295784.03999999998</v>
      </c>
      <c r="L234" s="22">
        <f>L235+L236+L237</f>
        <v>295784.03999999998</v>
      </c>
      <c r="M234" s="22">
        <f t="shared" si="69"/>
        <v>295784.03999999998</v>
      </c>
      <c r="N234" s="165"/>
    </row>
    <row r="235" spans="1:16" ht="21.75" customHeight="1">
      <c r="A235" s="109"/>
      <c r="B235" s="112"/>
      <c r="C235" s="115"/>
      <c r="D235" s="118"/>
      <c r="E235" s="115"/>
      <c r="F235" s="12" t="s">
        <v>133</v>
      </c>
      <c r="G235" s="22">
        <f>H235+I235+J235+K235+M235</f>
        <v>1493382.4000000001</v>
      </c>
      <c r="H235" s="22">
        <f>190170.46+9800</f>
        <v>199970.46</v>
      </c>
      <c r="I235" s="22">
        <v>422529.93</v>
      </c>
      <c r="J235" s="48">
        <f>'[9]2022 год'!$C$20+'[9]2022 год'!$F$20-27944.32</f>
        <v>279313.93</v>
      </c>
      <c r="K235" s="22">
        <v>295784.03999999998</v>
      </c>
      <c r="L235" s="22">
        <v>295784.03999999998</v>
      </c>
      <c r="M235" s="22">
        <v>295784.03999999998</v>
      </c>
      <c r="N235" s="165"/>
    </row>
    <row r="236" spans="1:16" ht="21.75" customHeight="1">
      <c r="A236" s="109"/>
      <c r="B236" s="112"/>
      <c r="C236" s="115"/>
      <c r="D236" s="118"/>
      <c r="E236" s="115"/>
      <c r="F236" s="12" t="s">
        <v>16</v>
      </c>
      <c r="G236" s="22">
        <f>H236+I236+J236+K236+M236</f>
        <v>0</v>
      </c>
      <c r="H236" s="22">
        <v>0</v>
      </c>
      <c r="I236" s="22">
        <v>0</v>
      </c>
      <c r="J236" s="48">
        <v>0</v>
      </c>
      <c r="K236" s="22">
        <v>0</v>
      </c>
      <c r="L236" s="22">
        <v>0</v>
      </c>
      <c r="M236" s="22">
        <v>0</v>
      </c>
      <c r="N236" s="165"/>
    </row>
    <row r="237" spans="1:16" ht="21.75" customHeight="1">
      <c r="A237" s="110"/>
      <c r="B237" s="113"/>
      <c r="C237" s="115"/>
      <c r="D237" s="119"/>
      <c r="E237" s="116"/>
      <c r="F237" s="12" t="s">
        <v>17</v>
      </c>
      <c r="G237" s="22">
        <f>H237+I237+J237+K237+M237</f>
        <v>0</v>
      </c>
      <c r="H237" s="22">
        <v>0</v>
      </c>
      <c r="I237" s="22">
        <v>0</v>
      </c>
      <c r="J237" s="48">
        <v>0</v>
      </c>
      <c r="K237" s="22">
        <v>0</v>
      </c>
      <c r="L237" s="22">
        <v>0</v>
      </c>
      <c r="M237" s="22">
        <v>0</v>
      </c>
      <c r="N237" s="165"/>
    </row>
    <row r="238" spans="1:16" ht="21.75" customHeight="1">
      <c r="A238" s="108" t="s">
        <v>81</v>
      </c>
      <c r="B238" s="111" t="s">
        <v>97</v>
      </c>
      <c r="C238" s="114" t="s">
        <v>11</v>
      </c>
      <c r="D238" s="117" t="s">
        <v>42</v>
      </c>
      <c r="E238" s="114" t="s">
        <v>153</v>
      </c>
      <c r="F238" s="12" t="s">
        <v>14</v>
      </c>
      <c r="G238" s="22">
        <f t="shared" ref="G238:M238" si="70">G239+G240+G241</f>
        <v>0</v>
      </c>
      <c r="H238" s="22">
        <f t="shared" si="70"/>
        <v>0</v>
      </c>
      <c r="I238" s="22">
        <f t="shared" si="70"/>
        <v>0</v>
      </c>
      <c r="J238" s="48">
        <f t="shared" si="70"/>
        <v>0</v>
      </c>
      <c r="K238" s="22">
        <f t="shared" si="70"/>
        <v>0</v>
      </c>
      <c r="L238" s="22">
        <f>L239+L240+L241</f>
        <v>0</v>
      </c>
      <c r="M238" s="22">
        <f t="shared" si="70"/>
        <v>0</v>
      </c>
      <c r="N238" s="165"/>
    </row>
    <row r="239" spans="1:16" ht="21.75" customHeight="1">
      <c r="A239" s="109"/>
      <c r="B239" s="112"/>
      <c r="C239" s="115"/>
      <c r="D239" s="118"/>
      <c r="E239" s="115"/>
      <c r="F239" s="12" t="s">
        <v>133</v>
      </c>
      <c r="G239" s="22">
        <f>H239+I239+J239+K239+M239</f>
        <v>0</v>
      </c>
      <c r="H239" s="22">
        <v>0</v>
      </c>
      <c r="I239" s="22">
        <v>0</v>
      </c>
      <c r="J239" s="48">
        <v>0</v>
      </c>
      <c r="K239" s="22"/>
      <c r="L239" s="22">
        <v>0</v>
      </c>
      <c r="M239" s="22">
        <v>0</v>
      </c>
      <c r="N239" s="165"/>
    </row>
    <row r="240" spans="1:16" ht="21.75" customHeight="1">
      <c r="A240" s="109"/>
      <c r="B240" s="112"/>
      <c r="C240" s="115"/>
      <c r="D240" s="118"/>
      <c r="E240" s="115"/>
      <c r="F240" s="12" t="s">
        <v>16</v>
      </c>
      <c r="G240" s="22">
        <f>H240+I240+J240+K240+M240</f>
        <v>0</v>
      </c>
      <c r="H240" s="22">
        <v>0</v>
      </c>
      <c r="I240" s="22">
        <v>0</v>
      </c>
      <c r="J240" s="48">
        <v>0</v>
      </c>
      <c r="K240" s="22">
        <v>0</v>
      </c>
      <c r="L240" s="22">
        <v>0</v>
      </c>
      <c r="M240" s="22">
        <v>0</v>
      </c>
      <c r="N240" s="165"/>
    </row>
    <row r="241" spans="1:14" ht="21.75" customHeight="1">
      <c r="A241" s="110"/>
      <c r="B241" s="113"/>
      <c r="C241" s="115"/>
      <c r="D241" s="119"/>
      <c r="E241" s="116"/>
      <c r="F241" s="12" t="s">
        <v>17</v>
      </c>
      <c r="G241" s="22">
        <f>H241+I241+J241+K241+M241</f>
        <v>0</v>
      </c>
      <c r="H241" s="22">
        <v>0</v>
      </c>
      <c r="I241" s="22">
        <v>0</v>
      </c>
      <c r="J241" s="48">
        <v>0</v>
      </c>
      <c r="K241" s="22">
        <v>0</v>
      </c>
      <c r="L241" s="22">
        <v>0</v>
      </c>
      <c r="M241" s="22">
        <v>0</v>
      </c>
      <c r="N241" s="165"/>
    </row>
    <row r="242" spans="1:14" ht="21.75" customHeight="1">
      <c r="A242" s="108" t="s">
        <v>94</v>
      </c>
      <c r="B242" s="111" t="s">
        <v>98</v>
      </c>
      <c r="C242" s="114" t="s">
        <v>11</v>
      </c>
      <c r="D242" s="117" t="s">
        <v>99</v>
      </c>
      <c r="E242" s="114" t="s">
        <v>153</v>
      </c>
      <c r="F242" s="12" t="s">
        <v>14</v>
      </c>
      <c r="G242" s="22">
        <f t="shared" ref="G242:M242" si="71">G243+G244+G245</f>
        <v>1439105.67</v>
      </c>
      <c r="H242" s="22">
        <f t="shared" si="71"/>
        <v>316037</v>
      </c>
      <c r="I242" s="22">
        <f t="shared" si="71"/>
        <v>390000</v>
      </c>
      <c r="J242" s="48">
        <f t="shared" si="71"/>
        <v>372772.75</v>
      </c>
      <c r="K242" s="22">
        <f t="shared" si="71"/>
        <v>180147.96</v>
      </c>
      <c r="L242" s="22">
        <f>L243+L244+L245</f>
        <v>180147.96</v>
      </c>
      <c r="M242" s="22">
        <f t="shared" si="71"/>
        <v>180147.96</v>
      </c>
      <c r="N242" s="165"/>
    </row>
    <row r="243" spans="1:14" ht="21.75" customHeight="1">
      <c r="A243" s="109"/>
      <c r="B243" s="112"/>
      <c r="C243" s="115"/>
      <c r="D243" s="118"/>
      <c r="E243" s="115"/>
      <c r="F243" s="12" t="s">
        <v>133</v>
      </c>
      <c r="G243" s="22">
        <f>H243+I243+J243+K243+M243</f>
        <v>718105.66999999993</v>
      </c>
      <c r="H243" s="22">
        <v>116037</v>
      </c>
      <c r="I243" s="22">
        <f>157703.92-57703.92</f>
        <v>100000.00000000001</v>
      </c>
      <c r="J243" s="48">
        <f>110000+'[9]2022 год'!$D$19</f>
        <v>141772.75</v>
      </c>
      <c r="K243" s="22">
        <v>180147.96</v>
      </c>
      <c r="L243" s="22">
        <v>180147.96</v>
      </c>
      <c r="M243" s="22">
        <v>180147.96</v>
      </c>
      <c r="N243" s="165"/>
    </row>
    <row r="244" spans="1:14" ht="21.75" customHeight="1">
      <c r="A244" s="109"/>
      <c r="B244" s="112"/>
      <c r="C244" s="115"/>
      <c r="D244" s="118"/>
      <c r="E244" s="115"/>
      <c r="F244" s="12" t="s">
        <v>16</v>
      </c>
      <c r="G244" s="22">
        <f>H244+I244+J244+K244+M244</f>
        <v>721000</v>
      </c>
      <c r="H244" s="22">
        <v>200000</v>
      </c>
      <c r="I244" s="22">
        <v>290000</v>
      </c>
      <c r="J244" s="48">
        <v>231000</v>
      </c>
      <c r="K244" s="22">
        <v>0</v>
      </c>
      <c r="L244" s="22">
        <v>0</v>
      </c>
      <c r="M244" s="22">
        <v>0</v>
      </c>
      <c r="N244" s="165"/>
    </row>
    <row r="245" spans="1:14" ht="21.75" customHeight="1">
      <c r="A245" s="110"/>
      <c r="B245" s="113"/>
      <c r="C245" s="115"/>
      <c r="D245" s="119"/>
      <c r="E245" s="116"/>
      <c r="F245" s="12" t="s">
        <v>17</v>
      </c>
      <c r="G245" s="22">
        <f>H245+I245+J245+K245+M245</f>
        <v>0</v>
      </c>
      <c r="H245" s="22">
        <v>0</v>
      </c>
      <c r="I245" s="22">
        <v>0</v>
      </c>
      <c r="J245" s="48">
        <v>0</v>
      </c>
      <c r="K245" s="22">
        <v>0</v>
      </c>
      <c r="L245" s="22">
        <v>0</v>
      </c>
      <c r="M245" s="22">
        <v>0</v>
      </c>
      <c r="N245" s="165"/>
    </row>
    <row r="246" spans="1:14" ht="21.75" customHeight="1">
      <c r="A246" s="108" t="s">
        <v>102</v>
      </c>
      <c r="B246" s="111" t="s">
        <v>100</v>
      </c>
      <c r="C246" s="114" t="s">
        <v>11</v>
      </c>
      <c r="D246" s="117" t="s">
        <v>101</v>
      </c>
      <c r="E246" s="114" t="s">
        <v>153</v>
      </c>
      <c r="F246" s="12" t="s">
        <v>14</v>
      </c>
      <c r="G246" s="22">
        <f t="shared" ref="G246:M246" si="72">G247+G248+G249</f>
        <v>18241281.43</v>
      </c>
      <c r="H246" s="22">
        <f t="shared" si="72"/>
        <v>0</v>
      </c>
      <c r="I246" s="22">
        <f t="shared" si="72"/>
        <v>3522960.71</v>
      </c>
      <c r="J246" s="48">
        <f t="shared" si="72"/>
        <v>4369412.5599999996</v>
      </c>
      <c r="K246" s="22">
        <f t="shared" si="72"/>
        <v>4971604.92</v>
      </c>
      <c r="L246" s="22">
        <f>L247+L248+L249</f>
        <v>5170475.4000000004</v>
      </c>
      <c r="M246" s="22">
        <f t="shared" si="72"/>
        <v>5377303.2400000002</v>
      </c>
      <c r="N246" s="165"/>
    </row>
    <row r="247" spans="1:14" ht="21.75" customHeight="1">
      <c r="A247" s="109"/>
      <c r="B247" s="112"/>
      <c r="C247" s="115"/>
      <c r="D247" s="118"/>
      <c r="E247" s="115"/>
      <c r="F247" s="12" t="s">
        <v>133</v>
      </c>
      <c r="G247" s="22">
        <f>H247+I247+J247+K247+M247</f>
        <v>200000</v>
      </c>
      <c r="H247" s="22">
        <v>0</v>
      </c>
      <c r="I247" s="22">
        <f>200000+572400-572400</f>
        <v>200000</v>
      </c>
      <c r="J247" s="48">
        <v>0</v>
      </c>
      <c r="K247" s="22">
        <v>0</v>
      </c>
      <c r="L247" s="22">
        <v>0</v>
      </c>
      <c r="M247" s="22">
        <v>0</v>
      </c>
      <c r="N247" s="165"/>
    </row>
    <row r="248" spans="1:14" ht="21.75" customHeight="1">
      <c r="A248" s="109"/>
      <c r="B248" s="112"/>
      <c r="C248" s="115"/>
      <c r="D248" s="118"/>
      <c r="E248" s="115"/>
      <c r="F248" s="12" t="s">
        <v>16</v>
      </c>
      <c r="G248" s="22">
        <f>H248+I248+J248+K248+M248</f>
        <v>18041281.43</v>
      </c>
      <c r="H248" s="22">
        <v>0</v>
      </c>
      <c r="I248" s="22">
        <f>4922960.71-1600000</f>
        <v>3322960.71</v>
      </c>
      <c r="J248" s="48">
        <v>4369412.5599999996</v>
      </c>
      <c r="K248" s="22">
        <v>4971604.92</v>
      </c>
      <c r="L248" s="22">
        <v>5170475.4000000004</v>
      </c>
      <c r="M248" s="22">
        <v>5377303.2400000002</v>
      </c>
      <c r="N248" s="165"/>
    </row>
    <row r="249" spans="1:14" ht="21.75" customHeight="1">
      <c r="A249" s="110"/>
      <c r="B249" s="113"/>
      <c r="C249" s="115"/>
      <c r="D249" s="119"/>
      <c r="E249" s="116"/>
      <c r="F249" s="12" t="s">
        <v>17</v>
      </c>
      <c r="G249" s="22">
        <f>H249+I249+J249+K249+M249</f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165"/>
    </row>
    <row r="250" spans="1:14" ht="21.75" customHeight="1">
      <c r="A250" s="126"/>
      <c r="B250" s="129" t="s">
        <v>142</v>
      </c>
      <c r="C250" s="132" t="s">
        <v>11</v>
      </c>
      <c r="D250" s="135" t="s">
        <v>42</v>
      </c>
      <c r="E250" s="132" t="s">
        <v>153</v>
      </c>
      <c r="F250" s="34" t="s">
        <v>14</v>
      </c>
      <c r="G250" s="35">
        <f t="shared" ref="G250:M250" si="73">G251+G252+G253</f>
        <v>4640995.75</v>
      </c>
      <c r="H250" s="35">
        <f t="shared" si="73"/>
        <v>600000</v>
      </c>
      <c r="I250" s="35">
        <f t="shared" si="73"/>
        <v>557000</v>
      </c>
      <c r="J250" s="35">
        <f t="shared" si="73"/>
        <v>550591.55000000005</v>
      </c>
      <c r="K250" s="35">
        <f t="shared" si="73"/>
        <v>1466702.1</v>
      </c>
      <c r="L250" s="35">
        <f>L251+L252+L253</f>
        <v>1466702.1</v>
      </c>
      <c r="M250" s="35">
        <f t="shared" si="73"/>
        <v>1466702.1</v>
      </c>
      <c r="N250" s="161"/>
    </row>
    <row r="251" spans="1:14" ht="21.75" customHeight="1">
      <c r="A251" s="127"/>
      <c r="B251" s="130"/>
      <c r="C251" s="133"/>
      <c r="D251" s="136"/>
      <c r="E251" s="133"/>
      <c r="F251" s="34" t="s">
        <v>133</v>
      </c>
      <c r="G251" s="35">
        <f>H251+I251+J251+K251+M251</f>
        <v>4640995.75</v>
      </c>
      <c r="H251" s="35">
        <f t="shared" ref="H251:M253" si="74">H255+H263+H279+H283+H259+H267+H271+H275</f>
        <v>600000</v>
      </c>
      <c r="I251" s="35">
        <f t="shared" si="74"/>
        <v>557000</v>
      </c>
      <c r="J251" s="35">
        <f t="shared" si="74"/>
        <v>550591.55000000005</v>
      </c>
      <c r="K251" s="35">
        <f t="shared" si="74"/>
        <v>1466702.1</v>
      </c>
      <c r="L251" s="35">
        <f t="shared" si="74"/>
        <v>1466702.1</v>
      </c>
      <c r="M251" s="35">
        <f t="shared" si="74"/>
        <v>1466702.1</v>
      </c>
      <c r="N251" s="162"/>
    </row>
    <row r="252" spans="1:14" ht="21.75" customHeight="1">
      <c r="A252" s="127"/>
      <c r="B252" s="130"/>
      <c r="C252" s="133"/>
      <c r="D252" s="136"/>
      <c r="E252" s="133"/>
      <c r="F252" s="34" t="s">
        <v>16</v>
      </c>
      <c r="G252" s="35">
        <f>H252+I252+J252+K252+M252</f>
        <v>0</v>
      </c>
      <c r="H252" s="35">
        <f t="shared" si="74"/>
        <v>0</v>
      </c>
      <c r="I252" s="35">
        <f t="shared" si="74"/>
        <v>0</v>
      </c>
      <c r="J252" s="35">
        <f t="shared" si="74"/>
        <v>0</v>
      </c>
      <c r="K252" s="35">
        <f t="shared" si="74"/>
        <v>0</v>
      </c>
      <c r="L252" s="35">
        <f t="shared" si="74"/>
        <v>0</v>
      </c>
      <c r="M252" s="35">
        <f t="shared" si="74"/>
        <v>0</v>
      </c>
      <c r="N252" s="162"/>
    </row>
    <row r="253" spans="1:14" ht="21.75" customHeight="1">
      <c r="A253" s="128"/>
      <c r="B253" s="131"/>
      <c r="C253" s="134"/>
      <c r="D253" s="137"/>
      <c r="E253" s="134"/>
      <c r="F253" s="34" t="s">
        <v>17</v>
      </c>
      <c r="G253" s="35">
        <f>H253+I253+J253+K253+M253</f>
        <v>0</v>
      </c>
      <c r="H253" s="35">
        <f t="shared" si="74"/>
        <v>0</v>
      </c>
      <c r="I253" s="35">
        <f t="shared" si="74"/>
        <v>0</v>
      </c>
      <c r="J253" s="35">
        <f t="shared" si="74"/>
        <v>0</v>
      </c>
      <c r="K253" s="35">
        <f t="shared" si="74"/>
        <v>0</v>
      </c>
      <c r="L253" s="35">
        <f t="shared" si="74"/>
        <v>0</v>
      </c>
      <c r="M253" s="35">
        <f t="shared" si="74"/>
        <v>0</v>
      </c>
      <c r="N253" s="163"/>
    </row>
    <row r="254" spans="1:14" ht="21.75" customHeight="1">
      <c r="A254" s="108" t="s">
        <v>18</v>
      </c>
      <c r="B254" s="111" t="s">
        <v>104</v>
      </c>
      <c r="C254" s="114" t="s">
        <v>11</v>
      </c>
      <c r="D254" s="117" t="s">
        <v>42</v>
      </c>
      <c r="E254" s="114" t="s">
        <v>153</v>
      </c>
      <c r="F254" s="12" t="s">
        <v>14</v>
      </c>
      <c r="G254" s="22">
        <f t="shared" ref="G254:M254" si="75">G255+G256+G257</f>
        <v>952762.74</v>
      </c>
      <c r="H254" s="22">
        <f t="shared" si="75"/>
        <v>235000</v>
      </c>
      <c r="I254" s="22">
        <f t="shared" si="75"/>
        <v>197749.8</v>
      </c>
      <c r="J254" s="22">
        <f t="shared" si="75"/>
        <v>196012.94</v>
      </c>
      <c r="K254" s="22">
        <f t="shared" si="75"/>
        <v>162000</v>
      </c>
      <c r="L254" s="22">
        <f>L255+L256+L257</f>
        <v>162000</v>
      </c>
      <c r="M254" s="22">
        <f t="shared" si="75"/>
        <v>162000</v>
      </c>
      <c r="N254" s="156" t="s">
        <v>151</v>
      </c>
    </row>
    <row r="255" spans="1:14" ht="21.75" customHeight="1">
      <c r="A255" s="109"/>
      <c r="B255" s="112"/>
      <c r="C255" s="115"/>
      <c r="D255" s="118"/>
      <c r="E255" s="115"/>
      <c r="F255" s="12" t="s">
        <v>133</v>
      </c>
      <c r="G255" s="22">
        <f>H255+I255+J255+K255+M255</f>
        <v>952762.74</v>
      </c>
      <c r="H255" s="22">
        <v>235000</v>
      </c>
      <c r="I255" s="22">
        <f>252000-I263-4250.2</f>
        <v>197749.8</v>
      </c>
      <c r="J255" s="22">
        <f>202000+[10]ИЦ!$F$19</f>
        <v>196012.94</v>
      </c>
      <c r="K255" s="22">
        <v>162000</v>
      </c>
      <c r="L255" s="22">
        <v>162000</v>
      </c>
      <c r="M255" s="22">
        <v>162000</v>
      </c>
      <c r="N255" s="156"/>
    </row>
    <row r="256" spans="1:14" ht="21.75" customHeight="1">
      <c r="A256" s="109"/>
      <c r="B256" s="112"/>
      <c r="C256" s="115"/>
      <c r="D256" s="118"/>
      <c r="E256" s="115"/>
      <c r="F256" s="12" t="s">
        <v>16</v>
      </c>
      <c r="G256" s="22">
        <f>H256+I256+J256+K256+M256</f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156"/>
    </row>
    <row r="257" spans="1:14" ht="21.75" customHeight="1">
      <c r="A257" s="110"/>
      <c r="B257" s="113"/>
      <c r="C257" s="115"/>
      <c r="D257" s="119"/>
      <c r="E257" s="116"/>
      <c r="F257" s="12" t="s">
        <v>17</v>
      </c>
      <c r="G257" s="22">
        <f>H257+I257+J257+K257+M257</f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156"/>
    </row>
    <row r="258" spans="1:14" ht="21.75" customHeight="1">
      <c r="A258" s="114" t="s">
        <v>25</v>
      </c>
      <c r="B258" s="111" t="s">
        <v>105</v>
      </c>
      <c r="C258" s="114" t="s">
        <v>11</v>
      </c>
      <c r="D258" s="117" t="s">
        <v>42</v>
      </c>
      <c r="E258" s="114" t="s">
        <v>153</v>
      </c>
      <c r="F258" s="12" t="s">
        <v>14</v>
      </c>
      <c r="G258" s="22">
        <f t="shared" ref="G258:M258" si="76">G259+G260+G261</f>
        <v>538828.81000000006</v>
      </c>
      <c r="H258" s="22">
        <f t="shared" si="76"/>
        <v>125000</v>
      </c>
      <c r="I258" s="22">
        <f t="shared" si="76"/>
        <v>109250.2</v>
      </c>
      <c r="J258" s="22">
        <f t="shared" si="76"/>
        <v>104578.61</v>
      </c>
      <c r="K258" s="22">
        <f t="shared" si="76"/>
        <v>100000</v>
      </c>
      <c r="L258" s="22">
        <f>L259+L260+L261</f>
        <v>100000</v>
      </c>
      <c r="M258" s="22">
        <f t="shared" si="76"/>
        <v>100000</v>
      </c>
      <c r="N258" s="156"/>
    </row>
    <row r="259" spans="1:14" ht="21.75" customHeight="1">
      <c r="A259" s="115"/>
      <c r="B259" s="112"/>
      <c r="C259" s="115"/>
      <c r="D259" s="118"/>
      <c r="E259" s="115"/>
      <c r="F259" s="12" t="s">
        <v>133</v>
      </c>
      <c r="G259" s="22">
        <f>H259+I259+J259+K259+M259</f>
        <v>538828.81000000006</v>
      </c>
      <c r="H259" s="22">
        <v>125000</v>
      </c>
      <c r="I259" s="22">
        <f>105000+4250.2</f>
        <v>109250.2</v>
      </c>
      <c r="J259" s="22">
        <f>105000-421.39</f>
        <v>104578.61</v>
      </c>
      <c r="K259" s="22">
        <v>100000</v>
      </c>
      <c r="L259" s="22">
        <v>100000</v>
      </c>
      <c r="M259" s="22">
        <v>100000</v>
      </c>
      <c r="N259" s="156"/>
    </row>
    <row r="260" spans="1:14" ht="21.75" customHeight="1">
      <c r="A260" s="115"/>
      <c r="B260" s="112"/>
      <c r="C260" s="115"/>
      <c r="D260" s="118"/>
      <c r="E260" s="115"/>
      <c r="F260" s="12" t="s">
        <v>16</v>
      </c>
      <c r="G260" s="22">
        <f>H260+I260+J260+K260+M260</f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156"/>
    </row>
    <row r="261" spans="1:14" ht="21.75" customHeight="1">
      <c r="A261" s="116"/>
      <c r="B261" s="113"/>
      <c r="C261" s="115"/>
      <c r="D261" s="119"/>
      <c r="E261" s="116"/>
      <c r="F261" s="12" t="s">
        <v>17</v>
      </c>
      <c r="G261" s="22">
        <f>H261+I261+J261+K261+M261</f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156"/>
    </row>
    <row r="262" spans="1:14" ht="21.75" customHeight="1">
      <c r="A262" s="108" t="s">
        <v>44</v>
      </c>
      <c r="B262" s="111" t="s">
        <v>107</v>
      </c>
      <c r="C262" s="114" t="s">
        <v>11</v>
      </c>
      <c r="D262" s="117" t="s">
        <v>42</v>
      </c>
      <c r="E262" s="114" t="s">
        <v>153</v>
      </c>
      <c r="F262" s="12" t="s">
        <v>14</v>
      </c>
      <c r="G262" s="22">
        <f t="shared" ref="G262:M262" si="77">G263+G264+G265</f>
        <v>260000</v>
      </c>
      <c r="H262" s="22">
        <f t="shared" si="77"/>
        <v>40000</v>
      </c>
      <c r="I262" s="22">
        <f t="shared" si="77"/>
        <v>50000</v>
      </c>
      <c r="J262" s="22">
        <f t="shared" si="77"/>
        <v>50000</v>
      </c>
      <c r="K262" s="22">
        <f t="shared" si="77"/>
        <v>60000</v>
      </c>
      <c r="L262" s="22">
        <f>L263+L264+L265</f>
        <v>60000</v>
      </c>
      <c r="M262" s="22">
        <f t="shared" si="77"/>
        <v>60000</v>
      </c>
      <c r="N262" s="156"/>
    </row>
    <row r="263" spans="1:14" ht="21.75" customHeight="1">
      <c r="A263" s="109"/>
      <c r="B263" s="112"/>
      <c r="C263" s="115"/>
      <c r="D263" s="118"/>
      <c r="E263" s="115"/>
      <c r="F263" s="12" t="s">
        <v>133</v>
      </c>
      <c r="G263" s="22">
        <f>H263+I263+J263+K263+M263</f>
        <v>260000</v>
      </c>
      <c r="H263" s="22">
        <v>40000</v>
      </c>
      <c r="I263" s="22">
        <v>50000</v>
      </c>
      <c r="J263" s="22">
        <v>50000</v>
      </c>
      <c r="K263" s="22">
        <v>60000</v>
      </c>
      <c r="L263" s="22">
        <v>60000</v>
      </c>
      <c r="M263" s="22">
        <v>60000</v>
      </c>
      <c r="N263" s="156"/>
    </row>
    <row r="264" spans="1:14" ht="21.75" customHeight="1">
      <c r="A264" s="109"/>
      <c r="B264" s="112"/>
      <c r="C264" s="115"/>
      <c r="D264" s="118"/>
      <c r="E264" s="115"/>
      <c r="F264" s="12" t="s">
        <v>16</v>
      </c>
      <c r="G264" s="22">
        <f>H264+I264+J264+K264+M264</f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156"/>
    </row>
    <row r="265" spans="1:14" ht="21.75" customHeight="1">
      <c r="A265" s="110"/>
      <c r="B265" s="113"/>
      <c r="C265" s="115"/>
      <c r="D265" s="119"/>
      <c r="E265" s="116"/>
      <c r="F265" s="12" t="s">
        <v>17</v>
      </c>
      <c r="G265" s="22">
        <f>H265+I265+J265+K265+M265</f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156"/>
    </row>
    <row r="266" spans="1:14" ht="21.75" customHeight="1">
      <c r="A266" s="114" t="s">
        <v>78</v>
      </c>
      <c r="B266" s="111" t="s">
        <v>132</v>
      </c>
      <c r="C266" s="114" t="s">
        <v>11</v>
      </c>
      <c r="D266" s="120" t="s">
        <v>37</v>
      </c>
      <c r="E266" s="114" t="s">
        <v>153</v>
      </c>
      <c r="F266" s="12" t="s">
        <v>14</v>
      </c>
      <c r="G266" s="22">
        <f t="shared" ref="G266:M266" si="78">G267+G268+G269</f>
        <v>2000000</v>
      </c>
      <c r="H266" s="22">
        <f t="shared" si="78"/>
        <v>200000</v>
      </c>
      <c r="I266" s="22">
        <f t="shared" si="78"/>
        <v>200000</v>
      </c>
      <c r="J266" s="22">
        <f t="shared" si="78"/>
        <v>200000</v>
      </c>
      <c r="K266" s="22">
        <f t="shared" si="78"/>
        <v>700000</v>
      </c>
      <c r="L266" s="22">
        <f t="shared" si="78"/>
        <v>700000</v>
      </c>
      <c r="M266" s="22">
        <f t="shared" si="78"/>
        <v>700000</v>
      </c>
      <c r="N266" s="156"/>
    </row>
    <row r="267" spans="1:14" ht="21.75" customHeight="1">
      <c r="A267" s="115"/>
      <c r="B267" s="112"/>
      <c r="C267" s="115"/>
      <c r="D267" s="121"/>
      <c r="E267" s="115"/>
      <c r="F267" s="12" t="s">
        <v>133</v>
      </c>
      <c r="G267" s="22">
        <f>H267+I267+J267+K267+M267</f>
        <v>2000000</v>
      </c>
      <c r="H267" s="22">
        <v>200000</v>
      </c>
      <c r="I267" s="22">
        <v>200000</v>
      </c>
      <c r="J267" s="22">
        <v>200000</v>
      </c>
      <c r="K267" s="22">
        <v>700000</v>
      </c>
      <c r="L267" s="22">
        <v>700000</v>
      </c>
      <c r="M267" s="22">
        <v>700000</v>
      </c>
      <c r="N267" s="156"/>
    </row>
    <row r="268" spans="1:14" ht="21.75" customHeight="1">
      <c r="A268" s="115"/>
      <c r="B268" s="112"/>
      <c r="C268" s="115"/>
      <c r="D268" s="121"/>
      <c r="E268" s="115"/>
      <c r="F268" s="12" t="s">
        <v>16</v>
      </c>
      <c r="G268" s="22">
        <f>H268+I268+J268+K268+M268</f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156"/>
    </row>
    <row r="269" spans="1:14" ht="21.75" customHeight="1">
      <c r="A269" s="116"/>
      <c r="B269" s="113"/>
      <c r="C269" s="115"/>
      <c r="D269" s="122"/>
      <c r="E269" s="116"/>
      <c r="F269" s="12" t="s">
        <v>17</v>
      </c>
      <c r="G269" s="22">
        <f>H269+I269+J269+K269+M269</f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156"/>
    </row>
    <row r="270" spans="1:14" ht="21.75" customHeight="1">
      <c r="A270" s="158" t="s">
        <v>94</v>
      </c>
      <c r="B270" s="111" t="s">
        <v>41</v>
      </c>
      <c r="C270" s="114" t="s">
        <v>11</v>
      </c>
      <c r="D270" s="117" t="s">
        <v>42</v>
      </c>
      <c r="E270" s="114" t="s">
        <v>153</v>
      </c>
      <c r="F270" s="12" t="s">
        <v>14</v>
      </c>
      <c r="G270" s="22">
        <f t="shared" ref="G270:M270" si="79">G271+G272+G273</f>
        <v>889404.2</v>
      </c>
      <c r="H270" s="22">
        <f t="shared" si="79"/>
        <v>0</v>
      </c>
      <c r="I270" s="22">
        <f t="shared" si="79"/>
        <v>0</v>
      </c>
      <c r="J270" s="22">
        <f t="shared" si="79"/>
        <v>0</v>
      </c>
      <c r="K270" s="22">
        <f t="shared" si="79"/>
        <v>444702.1</v>
      </c>
      <c r="L270" s="22">
        <f t="shared" si="79"/>
        <v>444702.1</v>
      </c>
      <c r="M270" s="22">
        <f t="shared" si="79"/>
        <v>444702.1</v>
      </c>
      <c r="N270" s="156"/>
    </row>
    <row r="271" spans="1:14" ht="21.75" customHeight="1">
      <c r="A271" s="159"/>
      <c r="B271" s="112"/>
      <c r="C271" s="115"/>
      <c r="D271" s="118"/>
      <c r="E271" s="115"/>
      <c r="F271" s="12" t="s">
        <v>133</v>
      </c>
      <c r="G271" s="22">
        <f>H271+I271+J271+K271+M271</f>
        <v>889404.2</v>
      </c>
      <c r="H271" s="22"/>
      <c r="I271" s="22"/>
      <c r="J271" s="22">
        <v>0</v>
      </c>
      <c r="K271" s="22">
        <v>444702.1</v>
      </c>
      <c r="L271" s="22">
        <v>444702.1</v>
      </c>
      <c r="M271" s="22">
        <v>444702.1</v>
      </c>
      <c r="N271" s="156"/>
    </row>
    <row r="272" spans="1:14" ht="21.75" customHeight="1">
      <c r="A272" s="159"/>
      <c r="B272" s="112"/>
      <c r="C272" s="115"/>
      <c r="D272" s="118"/>
      <c r="E272" s="115"/>
      <c r="F272" s="12" t="s">
        <v>16</v>
      </c>
      <c r="G272" s="22">
        <f>H272+I272+J272+K272+M272</f>
        <v>0</v>
      </c>
      <c r="H272" s="22"/>
      <c r="I272" s="22"/>
      <c r="J272" s="22">
        <v>0</v>
      </c>
      <c r="K272" s="22">
        <v>0</v>
      </c>
      <c r="L272" s="22">
        <v>0</v>
      </c>
      <c r="M272" s="22">
        <v>0</v>
      </c>
      <c r="N272" s="156"/>
    </row>
    <row r="273" spans="1:14" ht="21.75" customHeight="1">
      <c r="A273" s="160"/>
      <c r="B273" s="113"/>
      <c r="C273" s="115"/>
      <c r="D273" s="119"/>
      <c r="E273" s="116"/>
      <c r="F273" s="12" t="s">
        <v>17</v>
      </c>
      <c r="G273" s="22">
        <f>H273+I273+J273+K273+M273</f>
        <v>0</v>
      </c>
      <c r="H273" s="22"/>
      <c r="I273" s="22"/>
      <c r="J273" s="22">
        <v>0</v>
      </c>
      <c r="K273" s="22">
        <v>0</v>
      </c>
      <c r="L273" s="22">
        <v>0</v>
      </c>
      <c r="M273" s="22">
        <v>0</v>
      </c>
      <c r="N273" s="156"/>
    </row>
    <row r="274" spans="1:14" ht="21.75" hidden="1" customHeight="1" outlineLevel="1">
      <c r="A274" s="108" t="s">
        <v>106</v>
      </c>
      <c r="B274" s="111" t="s">
        <v>103</v>
      </c>
      <c r="C274" s="114" t="s">
        <v>11</v>
      </c>
      <c r="D274" s="114"/>
      <c r="E274" s="114" t="s">
        <v>153</v>
      </c>
      <c r="F274" s="12" t="s">
        <v>14</v>
      </c>
      <c r="G274" s="22">
        <f t="shared" ref="G274:M274" si="80">G275+G276+G277</f>
        <v>0</v>
      </c>
      <c r="H274" s="22">
        <f t="shared" si="80"/>
        <v>0</v>
      </c>
      <c r="I274" s="22">
        <f t="shared" si="80"/>
        <v>0</v>
      </c>
      <c r="J274" s="22">
        <f t="shared" si="80"/>
        <v>0</v>
      </c>
      <c r="K274" s="22">
        <f t="shared" si="80"/>
        <v>0</v>
      </c>
      <c r="L274" s="22">
        <f>L275+L276+L277</f>
        <v>0</v>
      </c>
      <c r="M274" s="22">
        <f t="shared" si="80"/>
        <v>0</v>
      </c>
      <c r="N274" s="156"/>
    </row>
    <row r="275" spans="1:14" ht="21.75" hidden="1" customHeight="1" outlineLevel="1">
      <c r="A275" s="109"/>
      <c r="B275" s="112"/>
      <c r="C275" s="115"/>
      <c r="D275" s="115"/>
      <c r="E275" s="115"/>
      <c r="F275" s="12" t="s">
        <v>15</v>
      </c>
      <c r="G275" s="22">
        <f>H275+I275+J275+K275+M275</f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156"/>
    </row>
    <row r="276" spans="1:14" ht="21.75" hidden="1" customHeight="1" outlineLevel="1">
      <c r="A276" s="109"/>
      <c r="B276" s="112"/>
      <c r="C276" s="115"/>
      <c r="D276" s="115"/>
      <c r="E276" s="115"/>
      <c r="F276" s="12" t="s">
        <v>16</v>
      </c>
      <c r="G276" s="22">
        <f>H276+I276+J276+K276+M276</f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156"/>
    </row>
    <row r="277" spans="1:14" ht="21.75" hidden="1" customHeight="1" outlineLevel="1">
      <c r="A277" s="110"/>
      <c r="B277" s="113"/>
      <c r="C277" s="115"/>
      <c r="D277" s="116"/>
      <c r="E277" s="116"/>
      <c r="F277" s="12" t="s">
        <v>17</v>
      </c>
      <c r="G277" s="22">
        <f>H277+I277+J277+K277+M277</f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156"/>
    </row>
    <row r="278" spans="1:14" ht="21.75" hidden="1" customHeight="1" outlineLevel="1">
      <c r="A278" s="108" t="s">
        <v>108</v>
      </c>
      <c r="B278" s="111" t="s">
        <v>109</v>
      </c>
      <c r="C278" s="114" t="s">
        <v>11</v>
      </c>
      <c r="D278" s="114"/>
      <c r="E278" s="114" t="s">
        <v>153</v>
      </c>
      <c r="F278" s="12" t="s">
        <v>14</v>
      </c>
      <c r="G278" s="22">
        <f t="shared" ref="G278:M278" si="81">G279+G280+G281</f>
        <v>0</v>
      </c>
      <c r="H278" s="22">
        <f t="shared" si="81"/>
        <v>0</v>
      </c>
      <c r="I278" s="22">
        <f t="shared" si="81"/>
        <v>0</v>
      </c>
      <c r="J278" s="22">
        <f t="shared" si="81"/>
        <v>0</v>
      </c>
      <c r="K278" s="22">
        <f t="shared" si="81"/>
        <v>0</v>
      </c>
      <c r="L278" s="22">
        <f>L279+L280+L281</f>
        <v>0</v>
      </c>
      <c r="M278" s="22">
        <f t="shared" si="81"/>
        <v>0</v>
      </c>
      <c r="N278" s="156"/>
    </row>
    <row r="279" spans="1:14" ht="21.75" hidden="1" customHeight="1" outlineLevel="1">
      <c r="A279" s="109"/>
      <c r="B279" s="112"/>
      <c r="C279" s="115"/>
      <c r="D279" s="115"/>
      <c r="E279" s="115"/>
      <c r="F279" s="12" t="s">
        <v>15</v>
      </c>
      <c r="G279" s="22">
        <f>H279+I279+J279+K279+M279</f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156"/>
    </row>
    <row r="280" spans="1:14" ht="21.75" hidden="1" customHeight="1" outlineLevel="1">
      <c r="A280" s="109"/>
      <c r="B280" s="112"/>
      <c r="C280" s="115"/>
      <c r="D280" s="115"/>
      <c r="E280" s="115"/>
      <c r="F280" s="12" t="s">
        <v>16</v>
      </c>
      <c r="G280" s="22">
        <f>H280+I280+J280+K280+M280</f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156"/>
    </row>
    <row r="281" spans="1:14" ht="21.75" hidden="1" customHeight="1" outlineLevel="1">
      <c r="A281" s="110"/>
      <c r="B281" s="113"/>
      <c r="C281" s="115"/>
      <c r="D281" s="116"/>
      <c r="E281" s="116"/>
      <c r="F281" s="12" t="s">
        <v>17</v>
      </c>
      <c r="G281" s="22">
        <f>H281+I281+J281+K281+M281</f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156"/>
    </row>
    <row r="282" spans="1:14" ht="21.75" hidden="1" customHeight="1" outlineLevel="1">
      <c r="A282" s="54"/>
      <c r="B282" s="111" t="s">
        <v>110</v>
      </c>
      <c r="C282" s="114" t="s">
        <v>11</v>
      </c>
      <c r="D282" s="114"/>
      <c r="E282" s="114" t="s">
        <v>153</v>
      </c>
      <c r="F282" s="12" t="s">
        <v>14</v>
      </c>
      <c r="G282" s="22">
        <f t="shared" ref="G282:M282" si="82">G283+G284+G285</f>
        <v>0</v>
      </c>
      <c r="H282" s="22">
        <f t="shared" si="82"/>
        <v>0</v>
      </c>
      <c r="I282" s="22">
        <f t="shared" si="82"/>
        <v>0</v>
      </c>
      <c r="J282" s="22">
        <f t="shared" si="82"/>
        <v>0</v>
      </c>
      <c r="K282" s="22">
        <f t="shared" si="82"/>
        <v>0</v>
      </c>
      <c r="L282" s="22">
        <f>L283+L284+L285</f>
        <v>0</v>
      </c>
      <c r="M282" s="22">
        <f t="shared" si="82"/>
        <v>0</v>
      </c>
      <c r="N282" s="156"/>
    </row>
    <row r="283" spans="1:14" ht="21.75" hidden="1" customHeight="1" outlineLevel="1">
      <c r="A283" s="54" t="s">
        <v>111</v>
      </c>
      <c r="B283" s="112"/>
      <c r="C283" s="115"/>
      <c r="D283" s="115"/>
      <c r="E283" s="115"/>
      <c r="F283" s="12" t="s">
        <v>15</v>
      </c>
      <c r="G283" s="23">
        <f>H283+I283+J283+K283+M283</f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156"/>
    </row>
    <row r="284" spans="1:14" ht="21.75" hidden="1" customHeight="1" outlineLevel="1">
      <c r="A284" s="54"/>
      <c r="B284" s="112"/>
      <c r="C284" s="115"/>
      <c r="D284" s="115"/>
      <c r="E284" s="115"/>
      <c r="F284" s="12" t="s">
        <v>16</v>
      </c>
      <c r="G284" s="23">
        <f>H284+I284+J284+K284+M284</f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156"/>
    </row>
    <row r="285" spans="1:14" ht="21.75" hidden="1" customHeight="1" outlineLevel="1">
      <c r="A285" s="54"/>
      <c r="B285" s="113"/>
      <c r="C285" s="115"/>
      <c r="D285" s="116"/>
      <c r="E285" s="116"/>
      <c r="F285" s="12" t="s">
        <v>17</v>
      </c>
      <c r="G285" s="23">
        <f>H285+I285+J285+K285+M285</f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157"/>
    </row>
    <row r="286" spans="1:14" ht="21.75" customHeight="1" collapsed="1">
      <c r="A286" s="126">
        <v>5</v>
      </c>
      <c r="B286" s="129" t="s">
        <v>139</v>
      </c>
      <c r="C286" s="132" t="s">
        <v>11</v>
      </c>
      <c r="D286" s="40"/>
      <c r="E286" s="132" t="s">
        <v>153</v>
      </c>
      <c r="F286" s="34" t="s">
        <v>14</v>
      </c>
      <c r="G286" s="35">
        <f>G287+G288+G289</f>
        <v>81305857.289999992</v>
      </c>
      <c r="H286" s="35">
        <f t="shared" ref="H286:M286" si="83">H287+H288+H289</f>
        <v>13370422.130000001</v>
      </c>
      <c r="I286" s="35">
        <f t="shared" si="83"/>
        <v>13699325.029999999</v>
      </c>
      <c r="J286" s="35">
        <f t="shared" si="83"/>
        <v>14738271</v>
      </c>
      <c r="K286" s="35">
        <f t="shared" si="83"/>
        <v>19001218.359999999</v>
      </c>
      <c r="L286" s="35">
        <f>L287+L288+L289</f>
        <v>19734258.760000002</v>
      </c>
      <c r="M286" s="35">
        <f t="shared" si="83"/>
        <v>20496620.77</v>
      </c>
      <c r="N286" s="55"/>
    </row>
    <row r="287" spans="1:14" ht="21.75" customHeight="1">
      <c r="A287" s="127"/>
      <c r="B287" s="130"/>
      <c r="C287" s="133"/>
      <c r="D287" s="41"/>
      <c r="E287" s="133"/>
      <c r="F287" s="34" t="s">
        <v>133</v>
      </c>
      <c r="G287" s="35">
        <f>H287+I287+J287+K287+M287</f>
        <v>81305857.289999992</v>
      </c>
      <c r="H287" s="35">
        <f t="shared" ref="H287:M289" si="84">H291</f>
        <v>13370422.130000001</v>
      </c>
      <c r="I287" s="35">
        <f t="shared" si="84"/>
        <v>13699325.029999999</v>
      </c>
      <c r="J287" s="35">
        <f t="shared" si="84"/>
        <v>14738271</v>
      </c>
      <c r="K287" s="35">
        <f t="shared" si="84"/>
        <v>19001218.359999999</v>
      </c>
      <c r="L287" s="35">
        <f t="shared" si="84"/>
        <v>19734258.760000002</v>
      </c>
      <c r="M287" s="35">
        <f t="shared" si="84"/>
        <v>20496620.77</v>
      </c>
      <c r="N287" s="55"/>
    </row>
    <row r="288" spans="1:14" ht="21.75" customHeight="1">
      <c r="A288" s="127"/>
      <c r="B288" s="130"/>
      <c r="C288" s="133"/>
      <c r="D288" s="41"/>
      <c r="E288" s="133"/>
      <c r="F288" s="34" t="s">
        <v>16</v>
      </c>
      <c r="G288" s="35">
        <f>H288+I288+J288+K288+M288</f>
        <v>0</v>
      </c>
      <c r="H288" s="35">
        <f t="shared" si="84"/>
        <v>0</v>
      </c>
      <c r="I288" s="35">
        <f t="shared" si="84"/>
        <v>0</v>
      </c>
      <c r="J288" s="35">
        <f t="shared" si="84"/>
        <v>0</v>
      </c>
      <c r="K288" s="35">
        <f t="shared" si="84"/>
        <v>0</v>
      </c>
      <c r="L288" s="35">
        <f>L292</f>
        <v>0</v>
      </c>
      <c r="M288" s="35">
        <f t="shared" si="84"/>
        <v>0</v>
      </c>
      <c r="N288" s="55"/>
    </row>
    <row r="289" spans="1:14" ht="21.75" customHeight="1">
      <c r="A289" s="128"/>
      <c r="B289" s="131"/>
      <c r="C289" s="134"/>
      <c r="D289" s="42"/>
      <c r="E289" s="134"/>
      <c r="F289" s="34" t="s">
        <v>17</v>
      </c>
      <c r="G289" s="35">
        <f>H289+I289+J289+K289+M289</f>
        <v>0</v>
      </c>
      <c r="H289" s="35">
        <f t="shared" si="84"/>
        <v>0</v>
      </c>
      <c r="I289" s="35">
        <f t="shared" si="84"/>
        <v>0</v>
      </c>
      <c r="J289" s="35">
        <f t="shared" si="84"/>
        <v>0</v>
      </c>
      <c r="K289" s="35">
        <f t="shared" si="84"/>
        <v>0</v>
      </c>
      <c r="L289" s="35">
        <f>L293</f>
        <v>0</v>
      </c>
      <c r="M289" s="35">
        <f t="shared" si="84"/>
        <v>0</v>
      </c>
      <c r="N289" s="55"/>
    </row>
    <row r="290" spans="1:14" ht="21.75" customHeight="1">
      <c r="A290" s="108" t="s">
        <v>18</v>
      </c>
      <c r="B290" s="111" t="s">
        <v>140</v>
      </c>
      <c r="C290" s="114" t="s">
        <v>11</v>
      </c>
      <c r="D290" s="114" t="s">
        <v>113</v>
      </c>
      <c r="E290" s="114" t="s">
        <v>153</v>
      </c>
      <c r="F290" s="12" t="s">
        <v>14</v>
      </c>
      <c r="G290" s="22">
        <f t="shared" ref="G290:M290" si="85">G291+G292+G293</f>
        <v>81305857.289999992</v>
      </c>
      <c r="H290" s="22">
        <f t="shared" si="85"/>
        <v>13370422.130000001</v>
      </c>
      <c r="I290" s="22">
        <f t="shared" si="85"/>
        <v>13699325.029999999</v>
      </c>
      <c r="J290" s="22">
        <f t="shared" si="85"/>
        <v>14738271</v>
      </c>
      <c r="K290" s="22">
        <f t="shared" si="85"/>
        <v>19001218.359999999</v>
      </c>
      <c r="L290" s="22">
        <f>L291+L292+L293</f>
        <v>19734258.760000002</v>
      </c>
      <c r="M290" s="22">
        <f t="shared" si="85"/>
        <v>20496620.77</v>
      </c>
      <c r="N290" s="106" t="s">
        <v>114</v>
      </c>
    </row>
    <row r="291" spans="1:14" ht="21.75" customHeight="1">
      <c r="A291" s="109"/>
      <c r="B291" s="112"/>
      <c r="C291" s="115"/>
      <c r="D291" s="115"/>
      <c r="E291" s="115"/>
      <c r="F291" s="12" t="s">
        <v>133</v>
      </c>
      <c r="G291" s="22">
        <f>H291+I291+J291+K291+M291</f>
        <v>81305857.289999992</v>
      </c>
      <c r="H291" s="22">
        <f>13390422.13-20000</f>
        <v>13370422.130000001</v>
      </c>
      <c r="I291" s="22">
        <v>13699325.029999999</v>
      </c>
      <c r="J291" s="48">
        <f>14153616+449044+135611</f>
        <v>14738271</v>
      </c>
      <c r="K291" s="22">
        <v>19001218.359999999</v>
      </c>
      <c r="L291" s="22">
        <v>19734258.760000002</v>
      </c>
      <c r="M291" s="22">
        <v>20496620.77</v>
      </c>
      <c r="N291" s="107"/>
    </row>
    <row r="292" spans="1:14" ht="21.75" customHeight="1">
      <c r="A292" s="109"/>
      <c r="B292" s="112"/>
      <c r="C292" s="115"/>
      <c r="D292" s="115"/>
      <c r="E292" s="115"/>
      <c r="F292" s="12" t="s">
        <v>16</v>
      </c>
      <c r="G292" s="22">
        <f>H292+I292+J292+K292+M292</f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107"/>
    </row>
    <row r="293" spans="1:14" ht="21.75" customHeight="1">
      <c r="A293" s="110"/>
      <c r="B293" s="113"/>
      <c r="C293" s="116"/>
      <c r="D293" s="116"/>
      <c r="E293" s="116"/>
      <c r="F293" s="12" t="s">
        <v>17</v>
      </c>
      <c r="G293" s="22">
        <f>H293+I293+J293+K293+M293</f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107"/>
    </row>
    <row r="294" spans="1:14" ht="23.25" hidden="1" customHeight="1" outlineLevel="1">
      <c r="A294" s="126">
        <v>6</v>
      </c>
      <c r="B294" s="129" t="s">
        <v>123</v>
      </c>
      <c r="C294" s="132" t="s">
        <v>11</v>
      </c>
      <c r="D294" s="40"/>
      <c r="E294" s="132" t="s">
        <v>13</v>
      </c>
      <c r="F294" s="34" t="s">
        <v>14</v>
      </c>
      <c r="G294" s="35">
        <f t="shared" ref="G294:M294" si="86">G295+G296+G297</f>
        <v>0</v>
      </c>
      <c r="H294" s="35">
        <f t="shared" si="86"/>
        <v>0</v>
      </c>
      <c r="I294" s="35">
        <f t="shared" si="86"/>
        <v>0</v>
      </c>
      <c r="J294" s="35">
        <f t="shared" si="86"/>
        <v>0</v>
      </c>
      <c r="K294" s="35">
        <f t="shared" si="86"/>
        <v>0</v>
      </c>
      <c r="L294" s="35">
        <f>L295+L296+L297</f>
        <v>0</v>
      </c>
      <c r="M294" s="35">
        <f t="shared" si="86"/>
        <v>0</v>
      </c>
      <c r="N294" s="55"/>
    </row>
    <row r="295" spans="1:14" ht="23.25" hidden="1" customHeight="1" outlineLevel="1">
      <c r="A295" s="127"/>
      <c r="B295" s="154"/>
      <c r="C295" s="133"/>
      <c r="D295" s="41"/>
      <c r="E295" s="133"/>
      <c r="F295" s="34" t="s">
        <v>15</v>
      </c>
      <c r="G295" s="35">
        <f>H295+I295+J295+K295+M295</f>
        <v>0</v>
      </c>
      <c r="H295" s="35">
        <f t="shared" ref="H295:M297" si="87">H299</f>
        <v>0</v>
      </c>
      <c r="I295" s="35">
        <f t="shared" si="87"/>
        <v>0</v>
      </c>
      <c r="J295" s="35">
        <f t="shared" si="87"/>
        <v>0</v>
      </c>
      <c r="K295" s="35">
        <f t="shared" si="87"/>
        <v>0</v>
      </c>
      <c r="L295" s="35">
        <f>L299</f>
        <v>0</v>
      </c>
      <c r="M295" s="35">
        <f t="shared" si="87"/>
        <v>0</v>
      </c>
      <c r="N295" s="55"/>
    </row>
    <row r="296" spans="1:14" ht="23.25" hidden="1" customHeight="1" outlineLevel="1">
      <c r="A296" s="127"/>
      <c r="B296" s="154"/>
      <c r="C296" s="133"/>
      <c r="D296" s="41"/>
      <c r="E296" s="133"/>
      <c r="F296" s="34" t="s">
        <v>16</v>
      </c>
      <c r="G296" s="35">
        <f>H296+I296+J296+K296+M296</f>
        <v>0</v>
      </c>
      <c r="H296" s="35">
        <f t="shared" si="87"/>
        <v>0</v>
      </c>
      <c r="I296" s="35">
        <f t="shared" si="87"/>
        <v>0</v>
      </c>
      <c r="J296" s="35">
        <f t="shared" si="87"/>
        <v>0</v>
      </c>
      <c r="K296" s="35">
        <f t="shared" si="87"/>
        <v>0</v>
      </c>
      <c r="L296" s="35">
        <f>L300</f>
        <v>0</v>
      </c>
      <c r="M296" s="35">
        <f t="shared" si="87"/>
        <v>0</v>
      </c>
      <c r="N296" s="55"/>
    </row>
    <row r="297" spans="1:14" ht="27" hidden="1" customHeight="1" outlineLevel="1">
      <c r="A297" s="128"/>
      <c r="B297" s="155"/>
      <c r="C297" s="134"/>
      <c r="D297" s="42"/>
      <c r="E297" s="134"/>
      <c r="F297" s="34" t="s">
        <v>17</v>
      </c>
      <c r="G297" s="35">
        <f>H297+I297+J297+K297+M297</f>
        <v>0</v>
      </c>
      <c r="H297" s="35">
        <f t="shared" si="87"/>
        <v>0</v>
      </c>
      <c r="I297" s="35">
        <f t="shared" si="87"/>
        <v>0</v>
      </c>
      <c r="J297" s="35">
        <f t="shared" si="87"/>
        <v>0</v>
      </c>
      <c r="K297" s="35">
        <f t="shared" si="87"/>
        <v>0</v>
      </c>
      <c r="L297" s="35">
        <f>L301</f>
        <v>0</v>
      </c>
      <c r="M297" s="35">
        <f t="shared" si="87"/>
        <v>0</v>
      </c>
      <c r="N297" s="55"/>
    </row>
    <row r="298" spans="1:14" ht="21.75" hidden="1" customHeight="1" outlineLevel="1">
      <c r="A298" s="108" t="s">
        <v>124</v>
      </c>
      <c r="B298" s="111" t="s">
        <v>125</v>
      </c>
      <c r="C298" s="114" t="s">
        <v>11</v>
      </c>
      <c r="D298" s="114" t="s">
        <v>113</v>
      </c>
      <c r="E298" s="114" t="s">
        <v>13</v>
      </c>
      <c r="F298" s="12" t="s">
        <v>14</v>
      </c>
      <c r="G298" s="22">
        <f t="shared" ref="G298:M298" si="88">G299+G300+G301</f>
        <v>0</v>
      </c>
      <c r="H298" s="22">
        <f t="shared" si="88"/>
        <v>0</v>
      </c>
      <c r="I298" s="22">
        <f t="shared" si="88"/>
        <v>0</v>
      </c>
      <c r="J298" s="22">
        <f t="shared" si="88"/>
        <v>0</v>
      </c>
      <c r="K298" s="22">
        <f t="shared" si="88"/>
        <v>0</v>
      </c>
      <c r="L298" s="22">
        <f>L299+L300+L301</f>
        <v>0</v>
      </c>
      <c r="M298" s="22">
        <f t="shared" si="88"/>
        <v>0</v>
      </c>
      <c r="N298" s="152" t="s">
        <v>126</v>
      </c>
    </row>
    <row r="299" spans="1:14" ht="21.75" hidden="1" customHeight="1" outlineLevel="1">
      <c r="A299" s="109"/>
      <c r="B299" s="112"/>
      <c r="C299" s="115"/>
      <c r="D299" s="115"/>
      <c r="E299" s="115"/>
      <c r="F299" s="12" t="s">
        <v>15</v>
      </c>
      <c r="G299" s="22">
        <f>H299+I299+J299+K299+M299</f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153"/>
    </row>
    <row r="300" spans="1:14" ht="21.75" hidden="1" customHeight="1" outlineLevel="1">
      <c r="A300" s="109"/>
      <c r="B300" s="112"/>
      <c r="C300" s="115"/>
      <c r="D300" s="115"/>
      <c r="E300" s="115"/>
      <c r="F300" s="12" t="s">
        <v>16</v>
      </c>
      <c r="G300" s="22">
        <f>H300+I300+J300+K300+M300</f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153"/>
    </row>
    <row r="301" spans="1:14" ht="21.75" hidden="1" customHeight="1" outlineLevel="1">
      <c r="A301" s="110"/>
      <c r="B301" s="113"/>
      <c r="C301" s="116"/>
      <c r="D301" s="116"/>
      <c r="E301" s="116"/>
      <c r="F301" s="12" t="s">
        <v>17</v>
      </c>
      <c r="G301" s="22">
        <f>H301+I301+J301+K301+M301</f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153"/>
    </row>
    <row r="302" spans="1:14" ht="21.75" hidden="1" customHeight="1" outlineLevel="1">
      <c r="A302" s="126">
        <v>7</v>
      </c>
      <c r="B302" s="129" t="s">
        <v>127</v>
      </c>
      <c r="C302" s="132" t="s">
        <v>11</v>
      </c>
      <c r="D302" s="40"/>
      <c r="E302" s="132" t="s">
        <v>13</v>
      </c>
      <c r="F302" s="34" t="s">
        <v>14</v>
      </c>
      <c r="G302" s="35">
        <f t="shared" ref="G302:M302" si="89">G303+G304+G305</f>
        <v>0</v>
      </c>
      <c r="H302" s="35">
        <f t="shared" si="89"/>
        <v>0</v>
      </c>
      <c r="I302" s="35">
        <f t="shared" si="89"/>
        <v>0</v>
      </c>
      <c r="J302" s="35">
        <f t="shared" si="89"/>
        <v>0</v>
      </c>
      <c r="K302" s="35">
        <f t="shared" si="89"/>
        <v>0</v>
      </c>
      <c r="L302" s="35">
        <f>L303+L304+L305</f>
        <v>0</v>
      </c>
      <c r="M302" s="35">
        <f t="shared" si="89"/>
        <v>0</v>
      </c>
      <c r="N302" s="55"/>
    </row>
    <row r="303" spans="1:14" ht="21.75" hidden="1" customHeight="1" outlineLevel="1">
      <c r="A303" s="127"/>
      <c r="B303" s="130"/>
      <c r="C303" s="133"/>
      <c r="D303" s="41"/>
      <c r="E303" s="133"/>
      <c r="F303" s="34" t="s">
        <v>15</v>
      </c>
      <c r="G303" s="35">
        <f>H303+I303+J303+K303+M303</f>
        <v>0</v>
      </c>
      <c r="H303" s="35">
        <f t="shared" ref="H303:M305" si="90">H307</f>
        <v>0</v>
      </c>
      <c r="I303" s="35">
        <f t="shared" si="90"/>
        <v>0</v>
      </c>
      <c r="J303" s="35">
        <f t="shared" si="90"/>
        <v>0</v>
      </c>
      <c r="K303" s="35">
        <f t="shared" si="90"/>
        <v>0</v>
      </c>
      <c r="L303" s="35">
        <f>L307</f>
        <v>0</v>
      </c>
      <c r="M303" s="35">
        <f t="shared" si="90"/>
        <v>0</v>
      </c>
      <c r="N303" s="55"/>
    </row>
    <row r="304" spans="1:14" ht="21.75" hidden="1" customHeight="1" outlineLevel="1">
      <c r="A304" s="127"/>
      <c r="B304" s="130"/>
      <c r="C304" s="133"/>
      <c r="D304" s="41"/>
      <c r="E304" s="133"/>
      <c r="F304" s="34" t="s">
        <v>16</v>
      </c>
      <c r="G304" s="35">
        <f>H304+I304+J304+K304+M304</f>
        <v>0</v>
      </c>
      <c r="H304" s="35">
        <f t="shared" si="90"/>
        <v>0</v>
      </c>
      <c r="I304" s="35">
        <f t="shared" si="90"/>
        <v>0</v>
      </c>
      <c r="J304" s="35">
        <f t="shared" si="90"/>
        <v>0</v>
      </c>
      <c r="K304" s="35">
        <f t="shared" si="90"/>
        <v>0</v>
      </c>
      <c r="L304" s="35">
        <f>L308</f>
        <v>0</v>
      </c>
      <c r="M304" s="35">
        <f t="shared" si="90"/>
        <v>0</v>
      </c>
      <c r="N304" s="55"/>
    </row>
    <row r="305" spans="1:41" ht="21.75" hidden="1" customHeight="1" outlineLevel="1">
      <c r="A305" s="128"/>
      <c r="B305" s="131"/>
      <c r="C305" s="134"/>
      <c r="D305" s="42"/>
      <c r="E305" s="134"/>
      <c r="F305" s="34" t="s">
        <v>17</v>
      </c>
      <c r="G305" s="35">
        <f>H305+I305+J305+K305+M305</f>
        <v>0</v>
      </c>
      <c r="H305" s="35">
        <f t="shared" si="90"/>
        <v>0</v>
      </c>
      <c r="I305" s="35">
        <f t="shared" si="90"/>
        <v>0</v>
      </c>
      <c r="J305" s="35">
        <f t="shared" si="90"/>
        <v>0</v>
      </c>
      <c r="K305" s="35">
        <f t="shared" si="90"/>
        <v>0</v>
      </c>
      <c r="L305" s="35">
        <f>L309</f>
        <v>0</v>
      </c>
      <c r="M305" s="35">
        <f t="shared" si="90"/>
        <v>0</v>
      </c>
      <c r="N305" s="55"/>
    </row>
    <row r="306" spans="1:41" ht="30.75" hidden="1" customHeight="1" outlineLevel="1">
      <c r="A306" s="108" t="s">
        <v>128</v>
      </c>
      <c r="B306" s="111" t="s">
        <v>129</v>
      </c>
      <c r="C306" s="114" t="s">
        <v>11</v>
      </c>
      <c r="D306" s="114" t="s">
        <v>113</v>
      </c>
      <c r="E306" s="114" t="s">
        <v>13</v>
      </c>
      <c r="F306" s="12" t="s">
        <v>14</v>
      </c>
      <c r="G306" s="22">
        <f t="shared" ref="G306:M306" si="91">G307+G308+G309</f>
        <v>0</v>
      </c>
      <c r="H306" s="22">
        <f t="shared" si="91"/>
        <v>0</v>
      </c>
      <c r="I306" s="22">
        <f t="shared" si="91"/>
        <v>0</v>
      </c>
      <c r="J306" s="22">
        <f t="shared" si="91"/>
        <v>0</v>
      </c>
      <c r="K306" s="22">
        <f t="shared" si="91"/>
        <v>0</v>
      </c>
      <c r="L306" s="22">
        <f>L307+L308+L309</f>
        <v>0</v>
      </c>
      <c r="M306" s="22">
        <f t="shared" si="91"/>
        <v>0</v>
      </c>
      <c r="N306" s="138" t="s">
        <v>130</v>
      </c>
    </row>
    <row r="307" spans="1:41" ht="30.75" hidden="1" customHeight="1" outlineLevel="1">
      <c r="A307" s="109"/>
      <c r="B307" s="112"/>
      <c r="C307" s="115"/>
      <c r="D307" s="115"/>
      <c r="E307" s="115"/>
      <c r="F307" s="12" t="s">
        <v>15</v>
      </c>
      <c r="G307" s="22">
        <f>H307+I307+J307+K307+M307</f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139"/>
    </row>
    <row r="308" spans="1:41" ht="30.75" hidden="1" customHeight="1" outlineLevel="1">
      <c r="A308" s="109"/>
      <c r="B308" s="112"/>
      <c r="C308" s="115"/>
      <c r="D308" s="115"/>
      <c r="E308" s="115"/>
      <c r="F308" s="12" t="s">
        <v>16</v>
      </c>
      <c r="G308" s="22">
        <f>H308+I308+J308+K308+M308</f>
        <v>0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139"/>
    </row>
    <row r="309" spans="1:41" ht="30.75" hidden="1" customHeight="1" outlineLevel="1">
      <c r="A309" s="110"/>
      <c r="B309" s="113"/>
      <c r="C309" s="116"/>
      <c r="D309" s="116"/>
      <c r="E309" s="116"/>
      <c r="F309" s="12" t="s">
        <v>17</v>
      </c>
      <c r="G309" s="22">
        <f>H309+I309+J309+K309+M309</f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139"/>
    </row>
    <row r="310" spans="1:41" ht="21.75" customHeight="1" collapsed="1">
      <c r="A310" s="140" t="s">
        <v>115</v>
      </c>
      <c r="B310" s="143" t="s">
        <v>116</v>
      </c>
      <c r="C310" s="144"/>
      <c r="D310" s="144"/>
      <c r="E310" s="145"/>
      <c r="F310" s="44" t="s">
        <v>14</v>
      </c>
      <c r="G310" s="45">
        <f t="shared" ref="G310:M310" si="92">G311+G312+G313</f>
        <v>5647882889.4300003</v>
      </c>
      <c r="H310" s="45">
        <f t="shared" si="92"/>
        <v>952111245</v>
      </c>
      <c r="I310" s="45">
        <f t="shared" si="92"/>
        <v>1061957868.36</v>
      </c>
      <c r="J310" s="45">
        <f t="shared" si="92"/>
        <v>1249365484.9299998</v>
      </c>
      <c r="K310" s="45">
        <f t="shared" si="92"/>
        <v>1217416999.23</v>
      </c>
      <c r="L310" s="45">
        <f>L311+L312+L313</f>
        <v>1158031957.79</v>
      </c>
      <c r="M310" s="45">
        <f t="shared" si="92"/>
        <v>1167031291.9099998</v>
      </c>
      <c r="N310" s="55"/>
    </row>
    <row r="311" spans="1:41" ht="21.75" customHeight="1">
      <c r="A311" s="141"/>
      <c r="B311" s="146"/>
      <c r="C311" s="147"/>
      <c r="D311" s="147"/>
      <c r="E311" s="148"/>
      <c r="F311" s="44" t="s">
        <v>133</v>
      </c>
      <c r="G311" s="45">
        <f>H311+I311+J311+K311+M311</f>
        <v>1498148570.51</v>
      </c>
      <c r="H311" s="45">
        <f t="shared" ref="H311:M313" si="93">H303+H251+H227+H159+H11+H287+H295</f>
        <v>257261460.34999999</v>
      </c>
      <c r="I311" s="45">
        <f t="shared" si="93"/>
        <v>274006749.57000005</v>
      </c>
      <c r="J311" s="45">
        <f t="shared" si="93"/>
        <v>305893043.46000004</v>
      </c>
      <c r="K311" s="45">
        <f t="shared" si="93"/>
        <v>335932866.72999996</v>
      </c>
      <c r="L311" s="45">
        <f t="shared" si="93"/>
        <v>321802747.78999996</v>
      </c>
      <c r="M311" s="45">
        <f t="shared" si="93"/>
        <v>325054450.39999992</v>
      </c>
      <c r="N311" s="55"/>
    </row>
    <row r="312" spans="1:41" ht="21.75" customHeight="1">
      <c r="A312" s="141"/>
      <c r="B312" s="146"/>
      <c r="C312" s="147"/>
      <c r="D312" s="147"/>
      <c r="E312" s="148"/>
      <c r="F312" s="44" t="s">
        <v>16</v>
      </c>
      <c r="G312" s="45">
        <f>H312+I312+J312+K312+M312</f>
        <v>3759087351.6000004</v>
      </c>
      <c r="H312" s="45">
        <f t="shared" si="93"/>
        <v>674427650.64999998</v>
      </c>
      <c r="I312" s="45">
        <f t="shared" si="93"/>
        <v>721973504.32999992</v>
      </c>
      <c r="J312" s="45">
        <f t="shared" si="93"/>
        <v>762876058.57999992</v>
      </c>
      <c r="K312" s="45">
        <f t="shared" si="93"/>
        <v>804486386.53000009</v>
      </c>
      <c r="L312" s="45">
        <f t="shared" si="93"/>
        <v>788801120</v>
      </c>
      <c r="M312" s="45">
        <f t="shared" si="93"/>
        <v>795323751.50999999</v>
      </c>
      <c r="N312" s="55"/>
    </row>
    <row r="313" spans="1:41" ht="21.75" customHeight="1">
      <c r="A313" s="142"/>
      <c r="B313" s="149"/>
      <c r="C313" s="150"/>
      <c r="D313" s="150"/>
      <c r="E313" s="151"/>
      <c r="F313" s="44" t="s">
        <v>17</v>
      </c>
      <c r="G313" s="45">
        <f>H313+I313+J313+K313+M313</f>
        <v>390646967.31999993</v>
      </c>
      <c r="H313" s="45">
        <f t="shared" si="93"/>
        <v>20422134</v>
      </c>
      <c r="I313" s="45">
        <f t="shared" si="93"/>
        <v>65977614.459999993</v>
      </c>
      <c r="J313" s="45">
        <f t="shared" si="93"/>
        <v>180596382.88999999</v>
      </c>
      <c r="K313" s="45">
        <f t="shared" si="93"/>
        <v>76997745.969999999</v>
      </c>
      <c r="L313" s="45">
        <f t="shared" si="93"/>
        <v>47428090</v>
      </c>
      <c r="M313" s="45">
        <f t="shared" si="93"/>
        <v>46653090</v>
      </c>
      <c r="N313" s="55"/>
    </row>
    <row r="314" spans="1:41">
      <c r="I314" s="43">
        <f>'[12]остатки средств в ФК_9'!$R$101-1600000</f>
        <v>1061957868.36</v>
      </c>
      <c r="J314" s="43">
        <f>'[4]остатки средств в ФК_3'!$R$116</f>
        <v>1249365484.9300001</v>
      </c>
      <c r="K314" s="43">
        <f>'[16]СРБ на план. период_1'!T104</f>
        <v>1217416999.23</v>
      </c>
      <c r="L314" s="43">
        <f>'[16]СРБ на план. период_1'!U104</f>
        <v>1158031957.79</v>
      </c>
      <c r="M314" s="43">
        <f>'[16]СРБ на план. период_1'!V104</f>
        <v>1167031291.9100001</v>
      </c>
    </row>
    <row r="315" spans="1:41">
      <c r="I315" s="43">
        <f>I310-I314</f>
        <v>0</v>
      </c>
      <c r="J315" s="43">
        <f>J310-J314</f>
        <v>0</v>
      </c>
      <c r="K315" s="43">
        <f>K310-K314</f>
        <v>0</v>
      </c>
      <c r="L315" s="43">
        <f>L310-L314</f>
        <v>0</v>
      </c>
      <c r="M315" s="43">
        <f>M310-M314</f>
        <v>0</v>
      </c>
    </row>
    <row r="316" spans="1:41">
      <c r="J316" s="30"/>
      <c r="L316" s="30"/>
      <c r="M316" s="30"/>
    </row>
    <row r="317" spans="1:41" s="17" customFormat="1">
      <c r="A317" s="2"/>
      <c r="B317" s="14"/>
      <c r="C317" s="13"/>
      <c r="D317" s="2"/>
      <c r="E317" s="2"/>
      <c r="F317" s="2"/>
      <c r="I317" s="30"/>
      <c r="N317" s="27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22" spans="10:13">
      <c r="J322" s="30"/>
      <c r="K322" s="30"/>
      <c r="L322" s="30"/>
      <c r="M322" s="30"/>
    </row>
  </sheetData>
  <mergeCells count="405">
    <mergeCell ref="G7:M7"/>
    <mergeCell ref="N7:N8"/>
    <mergeCell ref="A10:A13"/>
    <mergeCell ref="B10:B13"/>
    <mergeCell ref="C10:C13"/>
    <mergeCell ref="D10:D13"/>
    <mergeCell ref="E10:E13"/>
    <mergeCell ref="N10:N13"/>
    <mergeCell ref="K1:N1"/>
    <mergeCell ref="B2:K2"/>
    <mergeCell ref="B3:K3"/>
    <mergeCell ref="B4:K4"/>
    <mergeCell ref="A7:A8"/>
    <mergeCell ref="B7:B8"/>
    <mergeCell ref="C7:C8"/>
    <mergeCell ref="D7:D8"/>
    <mergeCell ref="E7:E8"/>
    <mergeCell ref="F7:F8"/>
    <mergeCell ref="E18:E21"/>
    <mergeCell ref="A22:A25"/>
    <mergeCell ref="B22:B25"/>
    <mergeCell ref="C22:C25"/>
    <mergeCell ref="D22:D25"/>
    <mergeCell ref="E22:E25"/>
    <mergeCell ref="A14:A17"/>
    <mergeCell ref="B14:B17"/>
    <mergeCell ref="C14:C17"/>
    <mergeCell ref="D14:D17"/>
    <mergeCell ref="E14:E17"/>
    <mergeCell ref="A18:A21"/>
    <mergeCell ref="B18:B21"/>
    <mergeCell ref="C18:C21"/>
    <mergeCell ref="D18:D21"/>
    <mergeCell ref="N34:N93"/>
    <mergeCell ref="A38:A41"/>
    <mergeCell ref="B38:B41"/>
    <mergeCell ref="C38:C41"/>
    <mergeCell ref="D38:D41"/>
    <mergeCell ref="A26:A29"/>
    <mergeCell ref="B26:B29"/>
    <mergeCell ref="C26:C29"/>
    <mergeCell ref="D26:D29"/>
    <mergeCell ref="E26:E29"/>
    <mergeCell ref="A30:A33"/>
    <mergeCell ref="B30:B33"/>
    <mergeCell ref="C30:C33"/>
    <mergeCell ref="D30:D33"/>
    <mergeCell ref="E30:E33"/>
    <mergeCell ref="N14:N33"/>
    <mergeCell ref="E38:E41"/>
    <mergeCell ref="A42:A45"/>
    <mergeCell ref="B42:B45"/>
    <mergeCell ref="C42:C45"/>
    <mergeCell ref="D42:D45"/>
    <mergeCell ref="E42:E45"/>
    <mergeCell ref="A34:A37"/>
    <mergeCell ref="B34:B37"/>
    <mergeCell ref="C34:C37"/>
    <mergeCell ref="D34:D37"/>
    <mergeCell ref="E34:E37"/>
    <mergeCell ref="A46:A49"/>
    <mergeCell ref="B46:B49"/>
    <mergeCell ref="C46:C49"/>
    <mergeCell ref="D46:D49"/>
    <mergeCell ref="E46:E49"/>
    <mergeCell ref="A50:A53"/>
    <mergeCell ref="B50:B53"/>
    <mergeCell ref="C50:C53"/>
    <mergeCell ref="D50:D53"/>
    <mergeCell ref="E50:E53"/>
    <mergeCell ref="A54:A57"/>
    <mergeCell ref="B54:B57"/>
    <mergeCell ref="C54:C57"/>
    <mergeCell ref="D54:D57"/>
    <mergeCell ref="E54:E57"/>
    <mergeCell ref="A58:A61"/>
    <mergeCell ref="B58:B61"/>
    <mergeCell ref="C58:C61"/>
    <mergeCell ref="D58:D61"/>
    <mergeCell ref="E58:E61"/>
    <mergeCell ref="A62:A65"/>
    <mergeCell ref="B62:B65"/>
    <mergeCell ref="C62:C65"/>
    <mergeCell ref="D62:D65"/>
    <mergeCell ref="E62:E65"/>
    <mergeCell ref="A66:A69"/>
    <mergeCell ref="B66:B69"/>
    <mergeCell ref="C66:C69"/>
    <mergeCell ref="D66:D69"/>
    <mergeCell ref="E66:E69"/>
    <mergeCell ref="A70:A73"/>
    <mergeCell ref="B70:B73"/>
    <mergeCell ref="C70:C73"/>
    <mergeCell ref="D70:D73"/>
    <mergeCell ref="E70:E73"/>
    <mergeCell ref="A74:A77"/>
    <mergeCell ref="B74:B77"/>
    <mergeCell ref="C74:C77"/>
    <mergeCell ref="D74:D77"/>
    <mergeCell ref="E74:E77"/>
    <mergeCell ref="A78:A81"/>
    <mergeCell ref="B78:B81"/>
    <mergeCell ref="C78:C81"/>
    <mergeCell ref="D78:D81"/>
    <mergeCell ref="E78:E81"/>
    <mergeCell ref="A82:A85"/>
    <mergeCell ref="B82:B85"/>
    <mergeCell ref="C82:C85"/>
    <mergeCell ref="D82:D85"/>
    <mergeCell ref="E82:E85"/>
    <mergeCell ref="A86:A89"/>
    <mergeCell ref="B86:B89"/>
    <mergeCell ref="C86:C89"/>
    <mergeCell ref="D86:D89"/>
    <mergeCell ref="E86:E89"/>
    <mergeCell ref="A90:A93"/>
    <mergeCell ref="B90:B93"/>
    <mergeCell ref="C90:C93"/>
    <mergeCell ref="D90:D93"/>
    <mergeCell ref="E90:E93"/>
    <mergeCell ref="N98:N125"/>
    <mergeCell ref="A102:A105"/>
    <mergeCell ref="B102:B105"/>
    <mergeCell ref="C102:C105"/>
    <mergeCell ref="D102:D105"/>
    <mergeCell ref="A94:A97"/>
    <mergeCell ref="B94:B97"/>
    <mergeCell ref="C94:C97"/>
    <mergeCell ref="D94:D97"/>
    <mergeCell ref="E94:E97"/>
    <mergeCell ref="N94:N97"/>
    <mergeCell ref="E102:E105"/>
    <mergeCell ref="A106:A109"/>
    <mergeCell ref="B106:B109"/>
    <mergeCell ref="C106:C109"/>
    <mergeCell ref="D106:D109"/>
    <mergeCell ref="E106:E109"/>
    <mergeCell ref="A98:A101"/>
    <mergeCell ref="B98:B101"/>
    <mergeCell ref="C98:C101"/>
    <mergeCell ref="D98:D101"/>
    <mergeCell ref="E98:E101"/>
    <mergeCell ref="A110:A113"/>
    <mergeCell ref="B110:B113"/>
    <mergeCell ref="C110:C113"/>
    <mergeCell ref="D110:D113"/>
    <mergeCell ref="E110:E113"/>
    <mergeCell ref="A114:A117"/>
    <mergeCell ref="B114:B117"/>
    <mergeCell ref="C114:C117"/>
    <mergeCell ref="D114:D117"/>
    <mergeCell ref="E114:E117"/>
    <mergeCell ref="A118:A121"/>
    <mergeCell ref="B118:B121"/>
    <mergeCell ref="C118:C121"/>
    <mergeCell ref="D118:D121"/>
    <mergeCell ref="E118:E121"/>
    <mergeCell ref="A122:A125"/>
    <mergeCell ref="B122:B125"/>
    <mergeCell ref="C122:C125"/>
    <mergeCell ref="D122:D125"/>
    <mergeCell ref="E122:E125"/>
    <mergeCell ref="A130:A133"/>
    <mergeCell ref="B130:B133"/>
    <mergeCell ref="C130:C133"/>
    <mergeCell ref="D130:D133"/>
    <mergeCell ref="E130:E133"/>
    <mergeCell ref="N130:N133"/>
    <mergeCell ref="A126:A129"/>
    <mergeCell ref="B126:B129"/>
    <mergeCell ref="C126:C129"/>
    <mergeCell ref="D126:D129"/>
    <mergeCell ref="E126:E129"/>
    <mergeCell ref="N126:N129"/>
    <mergeCell ref="A138:A141"/>
    <mergeCell ref="B138:B141"/>
    <mergeCell ref="C138:C141"/>
    <mergeCell ref="D138:D141"/>
    <mergeCell ref="E138:E141"/>
    <mergeCell ref="N138:N141"/>
    <mergeCell ref="A134:A137"/>
    <mergeCell ref="B134:B137"/>
    <mergeCell ref="C134:C137"/>
    <mergeCell ref="D134:D137"/>
    <mergeCell ref="E134:E137"/>
    <mergeCell ref="N134:N137"/>
    <mergeCell ref="A146:A149"/>
    <mergeCell ref="B146:B149"/>
    <mergeCell ref="C146:C149"/>
    <mergeCell ref="D146:D149"/>
    <mergeCell ref="E146:E149"/>
    <mergeCell ref="N146:N149"/>
    <mergeCell ref="A142:A145"/>
    <mergeCell ref="B142:B145"/>
    <mergeCell ref="C142:C145"/>
    <mergeCell ref="D142:D145"/>
    <mergeCell ref="E142:E145"/>
    <mergeCell ref="N142:N145"/>
    <mergeCell ref="A154:A157"/>
    <mergeCell ref="B154:B157"/>
    <mergeCell ref="C154:C157"/>
    <mergeCell ref="D154:D157"/>
    <mergeCell ref="E154:E157"/>
    <mergeCell ref="N154:N157"/>
    <mergeCell ref="A150:A153"/>
    <mergeCell ref="B150:B153"/>
    <mergeCell ref="C150:C153"/>
    <mergeCell ref="D150:D153"/>
    <mergeCell ref="E150:E153"/>
    <mergeCell ref="N150:N153"/>
    <mergeCell ref="N162:N225"/>
    <mergeCell ref="A170:A173"/>
    <mergeCell ref="B170:B173"/>
    <mergeCell ref="C170:C173"/>
    <mergeCell ref="D170:D173"/>
    <mergeCell ref="A158:A161"/>
    <mergeCell ref="B158:B161"/>
    <mergeCell ref="C158:C161"/>
    <mergeCell ref="D158:D161"/>
    <mergeCell ref="E158:E161"/>
    <mergeCell ref="N158:N161"/>
    <mergeCell ref="E170:E173"/>
    <mergeCell ref="A174:A177"/>
    <mergeCell ref="B174:B177"/>
    <mergeCell ref="C174:C177"/>
    <mergeCell ref="D174:D177"/>
    <mergeCell ref="E174:E177"/>
    <mergeCell ref="A162:A165"/>
    <mergeCell ref="B162:B165"/>
    <mergeCell ref="C162:C165"/>
    <mergeCell ref="D162:D165"/>
    <mergeCell ref="E162:E165"/>
    <mergeCell ref="A178:A181"/>
    <mergeCell ref="B178:B181"/>
    <mergeCell ref="C178:C181"/>
    <mergeCell ref="D178:D181"/>
    <mergeCell ref="E178:E181"/>
    <mergeCell ref="A182:A185"/>
    <mergeCell ref="B182:B185"/>
    <mergeCell ref="C182:C185"/>
    <mergeCell ref="D182:D185"/>
    <mergeCell ref="E182:E185"/>
    <mergeCell ref="A186:A189"/>
    <mergeCell ref="B186:B189"/>
    <mergeCell ref="C186:C189"/>
    <mergeCell ref="D186:D189"/>
    <mergeCell ref="E186:E189"/>
    <mergeCell ref="A190:A193"/>
    <mergeCell ref="B190:B193"/>
    <mergeCell ref="C190:C193"/>
    <mergeCell ref="D190:D193"/>
    <mergeCell ref="E190:E193"/>
    <mergeCell ref="A194:A197"/>
    <mergeCell ref="B194:B197"/>
    <mergeCell ref="C194:C197"/>
    <mergeCell ref="D194:D197"/>
    <mergeCell ref="E194:E197"/>
    <mergeCell ref="A198:A201"/>
    <mergeCell ref="B198:B201"/>
    <mergeCell ref="C198:C201"/>
    <mergeCell ref="D198:D201"/>
    <mergeCell ref="E198:E201"/>
    <mergeCell ref="A202:A205"/>
    <mergeCell ref="B202:B205"/>
    <mergeCell ref="C202:C205"/>
    <mergeCell ref="D202:D205"/>
    <mergeCell ref="E202:E205"/>
    <mergeCell ref="A206:A209"/>
    <mergeCell ref="B206:B209"/>
    <mergeCell ref="C206:C209"/>
    <mergeCell ref="D206:D209"/>
    <mergeCell ref="E206:E209"/>
    <mergeCell ref="A210:A213"/>
    <mergeCell ref="B210:B213"/>
    <mergeCell ref="C210:C213"/>
    <mergeCell ref="D210:D213"/>
    <mergeCell ref="E210:E213"/>
    <mergeCell ref="B214:B217"/>
    <mergeCell ref="C214:C217"/>
    <mergeCell ref="D214:D217"/>
    <mergeCell ref="E214:E217"/>
    <mergeCell ref="A218:A221"/>
    <mergeCell ref="B218:B221"/>
    <mergeCell ref="C218:C221"/>
    <mergeCell ref="D218:D221"/>
    <mergeCell ref="E218:E221"/>
    <mergeCell ref="B222:B225"/>
    <mergeCell ref="C222:C225"/>
    <mergeCell ref="D222:D225"/>
    <mergeCell ref="E222:E225"/>
    <mergeCell ref="N230:N249"/>
    <mergeCell ref="A234:A237"/>
    <mergeCell ref="B234:B237"/>
    <mergeCell ref="C234:C237"/>
    <mergeCell ref="D234:D237"/>
    <mergeCell ref="A226:A229"/>
    <mergeCell ref="B226:B229"/>
    <mergeCell ref="C226:C229"/>
    <mergeCell ref="D226:D229"/>
    <mergeCell ref="E226:E229"/>
    <mergeCell ref="N226:N229"/>
    <mergeCell ref="E234:E237"/>
    <mergeCell ref="A238:A241"/>
    <mergeCell ref="B238:B241"/>
    <mergeCell ref="C238:C241"/>
    <mergeCell ref="D238:D241"/>
    <mergeCell ref="E238:E241"/>
    <mergeCell ref="A230:A233"/>
    <mergeCell ref="B230:B233"/>
    <mergeCell ref="C230:C233"/>
    <mergeCell ref="D230:D233"/>
    <mergeCell ref="E230:E233"/>
    <mergeCell ref="A242:A245"/>
    <mergeCell ref="B242:B245"/>
    <mergeCell ref="C242:C245"/>
    <mergeCell ref="D242:D245"/>
    <mergeCell ref="E242:E245"/>
    <mergeCell ref="A246:A249"/>
    <mergeCell ref="B246:B249"/>
    <mergeCell ref="C246:C249"/>
    <mergeCell ref="D246:D249"/>
    <mergeCell ref="E246:E249"/>
    <mergeCell ref="N254:N285"/>
    <mergeCell ref="A258:A261"/>
    <mergeCell ref="B258:B261"/>
    <mergeCell ref="C258:C261"/>
    <mergeCell ref="D258:D261"/>
    <mergeCell ref="A250:A253"/>
    <mergeCell ref="B250:B253"/>
    <mergeCell ref="C250:C253"/>
    <mergeCell ref="D250:D253"/>
    <mergeCell ref="E250:E253"/>
    <mergeCell ref="N250:N253"/>
    <mergeCell ref="E258:E261"/>
    <mergeCell ref="A262:A265"/>
    <mergeCell ref="B262:B265"/>
    <mergeCell ref="C262:C265"/>
    <mergeCell ref="D262:D265"/>
    <mergeCell ref="E262:E265"/>
    <mergeCell ref="A254:A257"/>
    <mergeCell ref="B254:B257"/>
    <mergeCell ref="C254:C257"/>
    <mergeCell ref="D254:D257"/>
    <mergeCell ref="E254:E257"/>
    <mergeCell ref="A266:A269"/>
    <mergeCell ref="B266:B269"/>
    <mergeCell ref="C266:C269"/>
    <mergeCell ref="D266:D269"/>
    <mergeCell ref="E266:E269"/>
    <mergeCell ref="A270:A273"/>
    <mergeCell ref="B270:B273"/>
    <mergeCell ref="C270:C273"/>
    <mergeCell ref="D270:D273"/>
    <mergeCell ref="E270:E273"/>
    <mergeCell ref="B282:B285"/>
    <mergeCell ref="C282:C285"/>
    <mergeCell ref="D282:D285"/>
    <mergeCell ref="E282:E285"/>
    <mergeCell ref="A286:A289"/>
    <mergeCell ref="B286:B289"/>
    <mergeCell ref="C286:C289"/>
    <mergeCell ref="E286:E289"/>
    <mergeCell ref="A274:A277"/>
    <mergeCell ref="B274:B277"/>
    <mergeCell ref="C274:C277"/>
    <mergeCell ref="D274:D277"/>
    <mergeCell ref="E274:E277"/>
    <mergeCell ref="A278:A281"/>
    <mergeCell ref="B278:B281"/>
    <mergeCell ref="C278:C281"/>
    <mergeCell ref="D278:D281"/>
    <mergeCell ref="E278:E281"/>
    <mergeCell ref="C298:C301"/>
    <mergeCell ref="D298:D301"/>
    <mergeCell ref="E298:E301"/>
    <mergeCell ref="A290:A293"/>
    <mergeCell ref="B290:B293"/>
    <mergeCell ref="C290:C293"/>
    <mergeCell ref="D290:D293"/>
    <mergeCell ref="E290:E293"/>
    <mergeCell ref="N290:N293"/>
    <mergeCell ref="N306:N309"/>
    <mergeCell ref="A310:A313"/>
    <mergeCell ref="B310:E313"/>
    <mergeCell ref="A166:A169"/>
    <mergeCell ref="B166:B169"/>
    <mergeCell ref="C166:C169"/>
    <mergeCell ref="D166:D169"/>
    <mergeCell ref="E166:E169"/>
    <mergeCell ref="N298:N301"/>
    <mergeCell ref="A302:A305"/>
    <mergeCell ref="B302:B305"/>
    <mergeCell ref="C302:C305"/>
    <mergeCell ref="E302:E305"/>
    <mergeCell ref="A306:A309"/>
    <mergeCell ref="B306:B309"/>
    <mergeCell ref="C306:C309"/>
    <mergeCell ref="D306:D309"/>
    <mergeCell ref="E306:E309"/>
    <mergeCell ref="A294:A297"/>
    <mergeCell ref="B294:B297"/>
    <mergeCell ref="C294:C297"/>
    <mergeCell ref="E294:E297"/>
    <mergeCell ref="A298:A301"/>
    <mergeCell ref="B298:B301"/>
  </mergeCells>
  <pageMargins left="0.70866141732283472" right="0.31496062992125984" top="0.35433070866141736" bottom="0.35433070866141736" header="0.31496062992125984" footer="0.31496062992125984"/>
  <pageSetup paperSize="9" scale="41" fitToHeight="5" orientation="landscape" r:id="rId1"/>
  <rowBreaks count="3" manualBreakCount="3">
    <brk id="85" max="12" man="1"/>
    <brk id="125" max="12" man="1"/>
    <brk id="257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оконч.2022 и бюджет 2023-25</vt:lpstr>
      <vt:lpstr>на 01.03.</vt:lpstr>
      <vt:lpstr>на 01.04</vt:lpstr>
      <vt:lpstr>'на 01.03.'!Область_печати</vt:lpstr>
      <vt:lpstr>'на 01.04'!Область_печати</vt:lpstr>
      <vt:lpstr>'оконч.2022 и бюджет 2023-25'!Область_печати</vt:lpstr>
    </vt:vector>
  </TitlesOfParts>
  <Company>MoBIL GROUP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revision/>
  <cp:lastPrinted>2023-04-10T06:43:43Z</cp:lastPrinted>
  <dcterms:created xsi:type="dcterms:W3CDTF">2016-12-27T10:55:56Z</dcterms:created>
  <dcterms:modified xsi:type="dcterms:W3CDTF">2023-04-14T07:04:29Z</dcterms:modified>
</cp:coreProperties>
</file>