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" yWindow="-12" windowWidth="19236" windowHeight="11400"/>
  </bookViews>
  <sheets>
    <sheet name="прил3 " sheetId="2" r:id="rId1"/>
    <sheet name="прил4" sheetId="1" r:id="rId2"/>
    <sheet name="прил5" sheetId="3" r:id="rId3"/>
  </sheets>
  <definedNames>
    <definedName name="_xlnm.Print_Titles" localSheetId="1">прил4!$18:$21</definedName>
    <definedName name="_xlnm.Print_Titles" localSheetId="2">прил5!$28:$31</definedName>
    <definedName name="_xlnm.Print_Area" localSheetId="0">'прил3 '!$A$1:$J$82</definedName>
    <definedName name="_xlnm.Print_Area" localSheetId="1">прил4!$A$1:$K$3379</definedName>
    <definedName name="_xlnm.Print_Area" localSheetId="2">прил5!$A$11:$I$2317</definedName>
  </definedNames>
  <calcPr calcId="125725" iterate="1"/>
</workbook>
</file>

<file path=xl/calcChain.xml><?xml version="1.0" encoding="utf-8"?>
<calcChain xmlns="http://schemas.openxmlformats.org/spreadsheetml/2006/main">
  <c r="G553" i="1"/>
  <c r="G551"/>
  <c r="G1403"/>
  <c r="G1369"/>
  <c r="G677"/>
  <c r="G1406"/>
  <c r="G3324" l="1"/>
  <c r="G2735" l="1"/>
  <c r="G2156"/>
  <c r="F119" i="2"/>
  <c r="G565" i="1"/>
  <c r="G563"/>
  <c r="G2151"/>
  <c r="G1409"/>
  <c r="G1544"/>
  <c r="G1542"/>
  <c r="G1537"/>
  <c r="G1535"/>
  <c r="G1531"/>
  <c r="G1527"/>
  <c r="G1549"/>
  <c r="G1547"/>
  <c r="G1769"/>
  <c r="G1767"/>
  <c r="G1629"/>
  <c r="G2844"/>
  <c r="G1138"/>
  <c r="G796"/>
  <c r="G2769"/>
  <c r="G2574"/>
  <c r="G1901"/>
  <c r="G1724"/>
  <c r="G1675"/>
  <c r="G1586"/>
  <c r="G516" l="1"/>
  <c r="G2616"/>
  <c r="G132"/>
  <c r="G637"/>
  <c r="G847"/>
  <c r="G555"/>
  <c r="G716" i="3" l="1"/>
  <c r="G1412" i="1"/>
  <c r="G2307"/>
  <c r="G2304"/>
  <c r="G2159"/>
  <c r="G528" i="3" s="1"/>
  <c r="G2136"/>
  <c r="G2135" s="1"/>
  <c r="G2134" s="1"/>
  <c r="I2135"/>
  <c r="I2134" s="1"/>
  <c r="H2135"/>
  <c r="H2134" s="1"/>
  <c r="I3314" i="1"/>
  <c r="I3313" s="1"/>
  <c r="H3314"/>
  <c r="H3313" s="1"/>
  <c r="G3314"/>
  <c r="G3313" s="1"/>
  <c r="G2123" i="3"/>
  <c r="G2122" s="1"/>
  <c r="G2121" s="1"/>
  <c r="I2122"/>
  <c r="I2121" s="1"/>
  <c r="H2122"/>
  <c r="H2121" s="1"/>
  <c r="I2881" i="1"/>
  <c r="I2880" s="1"/>
  <c r="H2881"/>
  <c r="H2880" s="1"/>
  <c r="G2881"/>
  <c r="G2880" s="1"/>
  <c r="G1009" i="3"/>
  <c r="G1008" s="1"/>
  <c r="G1007" s="1"/>
  <c r="I1008"/>
  <c r="I1007" s="1"/>
  <c r="H1008"/>
  <c r="H1007" s="1"/>
  <c r="G1356" i="1"/>
  <c r="G1355" s="1"/>
  <c r="I1356"/>
  <c r="I1355" s="1"/>
  <c r="H1356"/>
  <c r="H1355" s="1"/>
  <c r="G1324" i="3"/>
  <c r="G1323" s="1"/>
  <c r="G1322" s="1"/>
  <c r="I1323"/>
  <c r="I1322" s="1"/>
  <c r="H1323"/>
  <c r="H1322" s="1"/>
  <c r="I508" i="1"/>
  <c r="I507" s="1"/>
  <c r="H508"/>
  <c r="H507" s="1"/>
  <c r="G508"/>
  <c r="G507" s="1"/>
  <c r="G169" i="3"/>
  <c r="G168" s="1"/>
  <c r="G167" s="1"/>
  <c r="I168"/>
  <c r="I167" s="1"/>
  <c r="H168"/>
  <c r="H167" s="1"/>
  <c r="I557" i="1"/>
  <c r="I556" s="1"/>
  <c r="H557"/>
  <c r="H556" s="1"/>
  <c r="G557"/>
  <c r="G556" s="1"/>
  <c r="G2070" i="3"/>
  <c r="G2069" s="1"/>
  <c r="G2068" s="1"/>
  <c r="I2069"/>
  <c r="I2068" s="1"/>
  <c r="H2069"/>
  <c r="H2068" s="1"/>
  <c r="I1522" i="1"/>
  <c r="I1521" s="1"/>
  <c r="H1522"/>
  <c r="H1521" s="1"/>
  <c r="G1522"/>
  <c r="G1521" s="1"/>
  <c r="G1520" i="3"/>
  <c r="G1519" s="1"/>
  <c r="G1518" s="1"/>
  <c r="I1519"/>
  <c r="I1518" s="1"/>
  <c r="H1519"/>
  <c r="H1518" s="1"/>
  <c r="I1434" i="1"/>
  <c r="I1433" s="1"/>
  <c r="H1434"/>
  <c r="H1433" s="1"/>
  <c r="G1434"/>
  <c r="G1433" s="1"/>
  <c r="G1440"/>
  <c r="G256" i="3"/>
  <c r="G255" s="1"/>
  <c r="G254" s="1"/>
  <c r="I255"/>
  <c r="I254" s="1"/>
  <c r="H255"/>
  <c r="H254" s="1"/>
  <c r="I2747" i="1"/>
  <c r="I2746" s="1"/>
  <c r="H2747"/>
  <c r="H2746" s="1"/>
  <c r="G2747"/>
  <c r="G2746" s="1"/>
  <c r="G1435" i="3"/>
  <c r="G1434" s="1"/>
  <c r="G1433" s="1"/>
  <c r="I1434"/>
  <c r="I1433" s="1"/>
  <c r="H1434"/>
  <c r="H1433" s="1"/>
  <c r="I279" i="1"/>
  <c r="I278" s="1"/>
  <c r="H279"/>
  <c r="H278" s="1"/>
  <c r="G279"/>
  <c r="G278" s="1"/>
  <c r="G1513"/>
  <c r="G1514"/>
  <c r="G2730"/>
  <c r="G700"/>
  <c r="G1175"/>
  <c r="G641"/>
  <c r="G1443"/>
  <c r="G3355"/>
  <c r="N3353" s="1"/>
  <c r="G1966" i="3"/>
  <c r="G1965" s="1"/>
  <c r="I1965"/>
  <c r="H1965"/>
  <c r="I3356" i="1"/>
  <c r="H3356"/>
  <c r="G3356"/>
  <c r="G1895" i="3"/>
  <c r="G1894" s="1"/>
  <c r="G1893" s="1"/>
  <c r="G1892"/>
  <c r="G1891" s="1"/>
  <c r="G1890" s="1"/>
  <c r="I1894"/>
  <c r="I1893" s="1"/>
  <c r="H1894"/>
  <c r="H1893" s="1"/>
  <c r="I1891"/>
  <c r="I1890" s="1"/>
  <c r="H1891"/>
  <c r="H1890" s="1"/>
  <c r="I2291" i="1"/>
  <c r="I2290" s="1"/>
  <c r="H2291"/>
  <c r="H2290" s="1"/>
  <c r="G2291"/>
  <c r="G2290" s="1"/>
  <c r="I2288"/>
  <c r="I2287" s="1"/>
  <c r="H2288"/>
  <c r="H2287" s="1"/>
  <c r="G2288"/>
  <c r="G2287" s="1"/>
  <c r="G2766"/>
  <c r="G2635"/>
  <c r="G2118"/>
  <c r="G2638"/>
  <c r="G2482"/>
  <c r="G2490"/>
  <c r="G2128"/>
  <c r="G2131"/>
  <c r="G505" i="3" s="1"/>
  <c r="G2447" i="1"/>
  <c r="G2267"/>
  <c r="G2103"/>
  <c r="G1839"/>
  <c r="G1792"/>
  <c r="G1861"/>
  <c r="G2437"/>
  <c r="G1858"/>
  <c r="G836" i="3"/>
  <c r="G835" s="1"/>
  <c r="G834" s="1"/>
  <c r="I892" i="1"/>
  <c r="I891" s="1"/>
  <c r="H892"/>
  <c r="H891" s="1"/>
  <c r="G892"/>
  <c r="G891" s="1"/>
  <c r="I835" i="3"/>
  <c r="H835"/>
  <c r="H834" s="1"/>
  <c r="I834"/>
  <c r="I761" i="1"/>
  <c r="I760" s="1"/>
  <c r="H761"/>
  <c r="H760" s="1"/>
  <c r="G761"/>
  <c r="G760" s="1"/>
  <c r="G962"/>
  <c r="G917"/>
  <c r="G908"/>
  <c r="G980"/>
  <c r="G713"/>
  <c r="G1147"/>
  <c r="G807"/>
  <c r="G683"/>
  <c r="G1338"/>
  <c r="G1336"/>
  <c r="G686"/>
  <c r="G1052"/>
  <c r="G1516"/>
  <c r="G3326"/>
  <c r="G475"/>
  <c r="G374"/>
  <c r="G54"/>
  <c r="G355"/>
  <c r="G2888"/>
  <c r="G2873"/>
  <c r="G1461"/>
  <c r="G1430"/>
  <c r="G1721"/>
  <c r="H1681"/>
  <c r="I1681"/>
  <c r="G649" i="3"/>
  <c r="G1889"/>
  <c r="G1888" s="1"/>
  <c r="G1887" s="1"/>
  <c r="I1888"/>
  <c r="I1887" s="1"/>
  <c r="H1888"/>
  <c r="H1887" s="1"/>
  <c r="G2214" i="1"/>
  <c r="G2213" s="1"/>
  <c r="I2214"/>
  <c r="I2213" s="1"/>
  <c r="H2214"/>
  <c r="H2213" s="1"/>
  <c r="H920"/>
  <c r="I920"/>
  <c r="G1952" i="3" l="1"/>
  <c r="V1952" s="1"/>
  <c r="I86" i="2"/>
  <c r="G732" i="3"/>
  <c r="G731" s="1"/>
  <c r="G730" s="1"/>
  <c r="I782" i="1"/>
  <c r="H782"/>
  <c r="H781" s="1"/>
  <c r="G782"/>
  <c r="G781" s="1"/>
  <c r="I781"/>
  <c r="G2444"/>
  <c r="G3337"/>
  <c r="G1937"/>
  <c r="G850"/>
  <c r="G223"/>
  <c r="G735" i="3"/>
  <c r="G734" s="1"/>
  <c r="G733" s="1"/>
  <c r="I734"/>
  <c r="I733" s="1"/>
  <c r="H734"/>
  <c r="H733" s="1"/>
  <c r="I767" i="1"/>
  <c r="I766" s="1"/>
  <c r="H767"/>
  <c r="H766" s="1"/>
  <c r="G767"/>
  <c r="G766" s="1"/>
  <c r="G738" i="3"/>
  <c r="G737" s="1"/>
  <c r="G736" s="1"/>
  <c r="I737"/>
  <c r="I736" s="1"/>
  <c r="H737"/>
  <c r="H736" s="1"/>
  <c r="I991" i="1"/>
  <c r="I990" s="1"/>
  <c r="H991"/>
  <c r="H990" s="1"/>
  <c r="G991"/>
  <c r="G990" s="1"/>
  <c r="G911"/>
  <c r="G896"/>
  <c r="G2697"/>
  <c r="I731" i="3"/>
  <c r="I730" s="1"/>
  <c r="H731"/>
  <c r="H730" s="1"/>
  <c r="I988" i="1"/>
  <c r="I987" s="1"/>
  <c r="H988"/>
  <c r="H987" s="1"/>
  <c r="G988"/>
  <c r="G987" s="1"/>
  <c r="G1123" i="3" l="1"/>
  <c r="G1122" s="1"/>
  <c r="G1121" s="1"/>
  <c r="I1122"/>
  <c r="I1121" s="1"/>
  <c r="H1122"/>
  <c r="H1121" s="1"/>
  <c r="I209" i="1"/>
  <c r="I208" s="1"/>
  <c r="H209"/>
  <c r="H208" s="1"/>
  <c r="G209"/>
  <c r="G208" s="1"/>
  <c r="G1653"/>
  <c r="G789" i="3"/>
  <c r="G788" s="1"/>
  <c r="G787" s="1"/>
  <c r="I788"/>
  <c r="I787" s="1"/>
  <c r="H788"/>
  <c r="H787" s="1"/>
  <c r="I958" i="1"/>
  <c r="I957" s="1"/>
  <c r="H958"/>
  <c r="H957" s="1"/>
  <c r="G958"/>
  <c r="G957" s="1"/>
  <c r="G689" l="1"/>
  <c r="G1363"/>
  <c r="G2641"/>
  <c r="G1849"/>
  <c r="G2538"/>
  <c r="G227" l="1"/>
  <c r="G265"/>
  <c r="G3352"/>
  <c r="G1967" i="3" s="1"/>
  <c r="H1913" i="1"/>
  <c r="G2028" l="1"/>
  <c r="G100" i="3"/>
  <c r="G97"/>
  <c r="G76"/>
  <c r="G73"/>
  <c r="G2294"/>
  <c r="G2293" s="1"/>
  <c r="G2290" s="1"/>
  <c r="I2293"/>
  <c r="H2293"/>
  <c r="G2292"/>
  <c r="G2291" s="1"/>
  <c r="G458"/>
  <c r="G462"/>
  <c r="G900"/>
  <c r="G867"/>
  <c r="G897"/>
  <c r="G861"/>
  <c r="G891"/>
  <c r="G858"/>
  <c r="G888"/>
  <c r="G882"/>
  <c r="G885"/>
  <c r="G879"/>
  <c r="G2877" i="1" l="1"/>
  <c r="G1619" i="3"/>
  <c r="G1618" s="1"/>
  <c r="G1617" s="1"/>
  <c r="I1618"/>
  <c r="I1617" s="1"/>
  <c r="H1618"/>
  <c r="H1617" s="1"/>
  <c r="I1649" i="1"/>
  <c r="I1648" s="1"/>
  <c r="H1649"/>
  <c r="H1648" s="1"/>
  <c r="G1649"/>
  <c r="G1648" s="1"/>
  <c r="I2707"/>
  <c r="I2706" s="1"/>
  <c r="H2707"/>
  <c r="H2706" s="1"/>
  <c r="G2707"/>
  <c r="G2706" s="1"/>
  <c r="I2704"/>
  <c r="I2703" s="1"/>
  <c r="H2704"/>
  <c r="H2703" s="1"/>
  <c r="G2704"/>
  <c r="G2703" s="1"/>
  <c r="G1868" i="3"/>
  <c r="G1874"/>
  <c r="G1873" s="1"/>
  <c r="G1872" s="1"/>
  <c r="G1871"/>
  <c r="G1870" s="1"/>
  <c r="G1869" s="1"/>
  <c r="G130"/>
  <c r="G129" s="1"/>
  <c r="G128" s="1"/>
  <c r="G127"/>
  <c r="G126" s="1"/>
  <c r="I129"/>
  <c r="I128" s="1"/>
  <c r="H129"/>
  <c r="H128" s="1"/>
  <c r="I126"/>
  <c r="H126"/>
  <c r="I124"/>
  <c r="H124"/>
  <c r="G124"/>
  <c r="I2692" i="1"/>
  <c r="I2691" s="1"/>
  <c r="I2685" s="1"/>
  <c r="H2692"/>
  <c r="H2691" s="1"/>
  <c r="H2685" s="1"/>
  <c r="G2692"/>
  <c r="G2691" s="1"/>
  <c r="I2689"/>
  <c r="H2689"/>
  <c r="G2689"/>
  <c r="I2687"/>
  <c r="H2687"/>
  <c r="G2687"/>
  <c r="G2214" i="3"/>
  <c r="I2681" i="1"/>
  <c r="H2681"/>
  <c r="G2681"/>
  <c r="I2680"/>
  <c r="H2680"/>
  <c r="G2680"/>
  <c r="G2679" s="1"/>
  <c r="I1873" i="3"/>
  <c r="I1872" s="1"/>
  <c r="H1873"/>
  <c r="H1872" s="1"/>
  <c r="I1870"/>
  <c r="I1869" s="1"/>
  <c r="H1870"/>
  <c r="H1869" s="1"/>
  <c r="I2306" i="1"/>
  <c r="I2305" s="1"/>
  <c r="H2306"/>
  <c r="H2305" s="1"/>
  <c r="G2306"/>
  <c r="G2305" s="1"/>
  <c r="I2303"/>
  <c r="I2302" s="1"/>
  <c r="H2303"/>
  <c r="H2302" s="1"/>
  <c r="G2303"/>
  <c r="G2302" s="1"/>
  <c r="I2300"/>
  <c r="I2299" s="1"/>
  <c r="H2300"/>
  <c r="H2299" s="1"/>
  <c r="G2300"/>
  <c r="G2299" s="1"/>
  <c r="I527" i="3"/>
  <c r="I526" s="1"/>
  <c r="H527"/>
  <c r="H526" s="1"/>
  <c r="G527"/>
  <c r="G526" s="1"/>
  <c r="I2158" i="1"/>
  <c r="I2157" s="1"/>
  <c r="H2158"/>
  <c r="H2157" s="1"/>
  <c r="G2158"/>
  <c r="G2157" s="1"/>
  <c r="G2702" l="1"/>
  <c r="G2701" s="1"/>
  <c r="G123" i="3"/>
  <c r="H123"/>
  <c r="I123"/>
  <c r="G2686" i="1"/>
  <c r="G2685" s="1"/>
  <c r="I2686"/>
  <c r="H2686"/>
  <c r="G522" i="3"/>
  <c r="G521" s="1"/>
  <c r="G2152" i="1"/>
  <c r="I1750"/>
  <c r="H1750"/>
  <c r="G1750"/>
  <c r="G1747" s="1"/>
  <c r="I1744"/>
  <c r="I1743" s="1"/>
  <c r="H1744"/>
  <c r="H1743" s="1"/>
  <c r="I715" i="3"/>
  <c r="I714" s="1"/>
  <c r="H715"/>
  <c r="H714" s="1"/>
  <c r="G715"/>
  <c r="G714" s="1"/>
  <c r="G1411" i="1"/>
  <c r="G1410" s="1"/>
  <c r="I1411"/>
  <c r="I1410" s="1"/>
  <c r="H1411"/>
  <c r="H1410" s="1"/>
  <c r="G2190" i="3"/>
  <c r="G2189" s="1"/>
  <c r="G2188" s="1"/>
  <c r="G2172" s="1"/>
  <c r="I2189"/>
  <c r="H2189"/>
  <c r="I2183"/>
  <c r="H2183"/>
  <c r="G2183"/>
  <c r="I2181"/>
  <c r="H2181"/>
  <c r="I2173"/>
  <c r="H2173"/>
  <c r="G2173"/>
  <c r="I1124" i="1"/>
  <c r="I1123" s="1"/>
  <c r="I1122" s="1"/>
  <c r="H1124"/>
  <c r="H1123" s="1"/>
  <c r="H1122" s="1"/>
  <c r="G1124"/>
  <c r="G1123" s="1"/>
  <c r="G1122" s="1"/>
  <c r="G1145" i="3"/>
  <c r="G1144"/>
  <c r="G215" i="1"/>
  <c r="G1863"/>
  <c r="G1143" i="3" l="1"/>
  <c r="G1833"/>
  <c r="G1832" s="1"/>
  <c r="G1831" s="1"/>
  <c r="I1832"/>
  <c r="H1832"/>
  <c r="I2446" i="1"/>
  <c r="H2446"/>
  <c r="G2446"/>
  <c r="G2445" s="1"/>
  <c r="G1622" i="3" l="1"/>
  <c r="G1621" s="1"/>
  <c r="G1620" s="1"/>
  <c r="I1621"/>
  <c r="I1620" s="1"/>
  <c r="H1621"/>
  <c r="H1620" s="1"/>
  <c r="I1652" i="1"/>
  <c r="I1651" s="1"/>
  <c r="H1652"/>
  <c r="H1651" s="1"/>
  <c r="G1652"/>
  <c r="G1651" s="1"/>
  <c r="G525" i="3"/>
  <c r="G524" s="1"/>
  <c r="G523" s="1"/>
  <c r="I524"/>
  <c r="I523" s="1"/>
  <c r="H524"/>
  <c r="H523" s="1"/>
  <c r="G2155" i="1"/>
  <c r="G2154" s="1"/>
  <c r="I2155"/>
  <c r="I2154" s="1"/>
  <c r="H2155"/>
  <c r="H2154" s="1"/>
  <c r="G2804"/>
  <c r="G934" i="3"/>
  <c r="G1047" i="1"/>
  <c r="G1046" s="1"/>
  <c r="G1045" s="1"/>
  <c r="I1047"/>
  <c r="I1046" s="1"/>
  <c r="H1047"/>
  <c r="H1046" s="1"/>
  <c r="G1265"/>
  <c r="G1117" i="3" l="1"/>
  <c r="I120" i="1"/>
  <c r="I119" s="1"/>
  <c r="H120"/>
  <c r="H119" s="1"/>
  <c r="G120"/>
  <c r="G119" s="1"/>
  <c r="G1250" i="3" l="1"/>
  <c r="I264" i="1"/>
  <c r="I263" s="1"/>
  <c r="H264"/>
  <c r="H263" s="1"/>
  <c r="G2209" i="3"/>
  <c r="G2208" s="1"/>
  <c r="G2207" s="1"/>
  <c r="I2209"/>
  <c r="I2208" s="1"/>
  <c r="I2207" s="1"/>
  <c r="H2209"/>
  <c r="H2208" s="1"/>
  <c r="H2207" s="1"/>
  <c r="I1440" i="1"/>
  <c r="I1439" s="1"/>
  <c r="I1438" s="1"/>
  <c r="H1440"/>
  <c r="H1439" s="1"/>
  <c r="H1438" s="1"/>
  <c r="G1439"/>
  <c r="G1438" s="1"/>
  <c r="G514" i="3"/>
  <c r="G513" s="1"/>
  <c r="G512" s="1"/>
  <c r="I513"/>
  <c r="I512" s="1"/>
  <c r="H513"/>
  <c r="H512" s="1"/>
  <c r="I2712" i="1"/>
  <c r="I2711" s="1"/>
  <c r="H2712"/>
  <c r="H2711" s="1"/>
  <c r="G2712"/>
  <c r="G2711" s="1"/>
  <c r="G511" i="3"/>
  <c r="G510" s="1"/>
  <c r="G509" s="1"/>
  <c r="I510"/>
  <c r="I509" s="1"/>
  <c r="H510"/>
  <c r="H509" s="1"/>
  <c r="I2696" i="1"/>
  <c r="I2695" s="1"/>
  <c r="H2696"/>
  <c r="H2695" s="1"/>
  <c r="G2696"/>
  <c r="G2695" s="1"/>
  <c r="G729" i="3"/>
  <c r="G728" s="1"/>
  <c r="G727" s="1"/>
  <c r="I728"/>
  <c r="I727" s="1"/>
  <c r="H728"/>
  <c r="H727" s="1"/>
  <c r="I985" i="1"/>
  <c r="I984" s="1"/>
  <c r="H985"/>
  <c r="H984" s="1"/>
  <c r="G985"/>
  <c r="G984" s="1"/>
  <c r="G1116" i="3"/>
  <c r="G1115" s="1"/>
  <c r="I1116"/>
  <c r="I1115" s="1"/>
  <c r="H1116"/>
  <c r="H1115" s="1"/>
  <c r="I203" i="1"/>
  <c r="I202" s="1"/>
  <c r="H203"/>
  <c r="H202" s="1"/>
  <c r="G203"/>
  <c r="G202" s="1"/>
  <c r="G1120" i="3"/>
  <c r="G1119" s="1"/>
  <c r="G1118" s="1"/>
  <c r="I1119"/>
  <c r="I1118" s="1"/>
  <c r="H1119"/>
  <c r="H1118" s="1"/>
  <c r="I206" i="1"/>
  <c r="I205" s="1"/>
  <c r="H206"/>
  <c r="H205" s="1"/>
  <c r="G206"/>
  <c r="G205" s="1"/>
  <c r="G1232" i="3"/>
  <c r="G1235"/>
  <c r="G1234" s="1"/>
  <c r="G1233" s="1"/>
  <c r="I1234"/>
  <c r="I1233" s="1"/>
  <c r="H1234"/>
  <c r="H1233" s="1"/>
  <c r="I111" i="1"/>
  <c r="I110" s="1"/>
  <c r="H111"/>
  <c r="H110" s="1"/>
  <c r="G111"/>
  <c r="G110" s="1"/>
  <c r="G108"/>
  <c r="G107" s="1"/>
  <c r="I108"/>
  <c r="I107" s="1"/>
  <c r="H108"/>
  <c r="H107" s="1"/>
  <c r="G1442" i="3"/>
  <c r="G1441" s="1"/>
  <c r="G1440" s="1"/>
  <c r="I1441"/>
  <c r="I1440" s="1"/>
  <c r="H1441"/>
  <c r="H1440" s="1"/>
  <c r="I2840" i="1"/>
  <c r="I2839" s="1"/>
  <c r="H2840"/>
  <c r="H2839" s="1"/>
  <c r="G2840"/>
  <c r="G2839" s="1"/>
  <c r="G1738"/>
  <c r="G520" i="3" l="1"/>
  <c r="I2130" i="1"/>
  <c r="I2129" s="1"/>
  <c r="H2130"/>
  <c r="H2129" s="1"/>
  <c r="G2130"/>
  <c r="G2129" s="1"/>
  <c r="G45"/>
  <c r="G599"/>
  <c r="G1742"/>
  <c r="G1741" s="1"/>
  <c r="I1742"/>
  <c r="I1741" s="1"/>
  <c r="H1742"/>
  <c r="H1741" s="1"/>
  <c r="G2504"/>
  <c r="G1886"/>
  <c r="G1762"/>
  <c r="G1569"/>
  <c r="G1567"/>
  <c r="G1504"/>
  <c r="H749" i="3"/>
  <c r="I749"/>
  <c r="G749"/>
  <c r="G2263" l="1"/>
  <c r="G2276"/>
  <c r="G33" l="1"/>
  <c r="G564"/>
  <c r="G1610"/>
  <c r="G1608" s="1"/>
  <c r="I1609"/>
  <c r="H1609"/>
  <c r="I1608"/>
  <c r="H1608"/>
  <c r="G1609" l="1"/>
  <c r="G1113"/>
  <c r="G1112" s="1"/>
  <c r="I1112"/>
  <c r="H1112"/>
  <c r="I1111"/>
  <c r="H1111"/>
  <c r="G1111" l="1"/>
  <c r="I2677" i="1"/>
  <c r="H2677"/>
  <c r="G2677"/>
  <c r="I2676"/>
  <c r="H2676"/>
  <c r="G2676"/>
  <c r="G2354"/>
  <c r="G2361"/>
  <c r="G2360" s="1"/>
  <c r="G2198" i="3"/>
  <c r="G2197" s="1"/>
  <c r="G2352" i="1"/>
  <c r="G2350"/>
  <c r="G2349" s="1"/>
  <c r="I2347"/>
  <c r="I2346" s="1"/>
  <c r="H2347"/>
  <c r="H2346" s="1"/>
  <c r="M2345"/>
  <c r="L2345"/>
  <c r="K2345"/>
  <c r="J2345"/>
  <c r="G2046" i="3"/>
  <c r="G2339" i="1"/>
  <c r="G2338" s="1"/>
  <c r="I2339"/>
  <c r="H2339"/>
  <c r="G2337"/>
  <c r="G2336" s="1"/>
  <c r="G2335" s="1"/>
  <c r="I2336"/>
  <c r="I2335" s="1"/>
  <c r="H2336"/>
  <c r="H2335" s="1"/>
  <c r="G2333"/>
  <c r="G2332" s="1"/>
  <c r="G2330"/>
  <c r="G2329" s="1"/>
  <c r="G2327"/>
  <c r="G2326" s="1"/>
  <c r="G2324"/>
  <c r="H2322"/>
  <c r="H2321" s="1"/>
  <c r="G2322"/>
  <c r="I2321"/>
  <c r="G2320"/>
  <c r="G2319" s="1"/>
  <c r="H2317"/>
  <c r="H2316" s="1"/>
  <c r="G2317"/>
  <c r="I2316"/>
  <c r="G2314"/>
  <c r="G2313" s="1"/>
  <c r="G2312" s="1"/>
  <c r="G2310"/>
  <c r="G2309" s="1"/>
  <c r="G2202" i="3"/>
  <c r="G2201" s="1"/>
  <c r="G2196"/>
  <c r="I2193"/>
  <c r="H2193"/>
  <c r="M2191"/>
  <c r="L2191"/>
  <c r="K2191"/>
  <c r="J2191"/>
  <c r="J2164" i="1"/>
  <c r="K2164"/>
  <c r="L2164"/>
  <c r="M2164"/>
  <c r="I2175"/>
  <c r="I2174" s="1"/>
  <c r="H2175"/>
  <c r="H2174" s="1"/>
  <c r="G2174"/>
  <c r="G2173"/>
  <c r="G2172" s="1"/>
  <c r="G2170"/>
  <c r="I2166"/>
  <c r="I2165" s="1"/>
  <c r="H2166"/>
  <c r="H2165" s="1"/>
  <c r="G116" i="3"/>
  <c r="G115" s="1"/>
  <c r="G2038" i="1"/>
  <c r="G111" i="3"/>
  <c r="G110" s="1"/>
  <c r="G2033" i="1"/>
  <c r="I1589"/>
  <c r="H1589"/>
  <c r="G1589"/>
  <c r="G1590"/>
  <c r="G1588" s="1"/>
  <c r="I1590"/>
  <c r="I1588" s="1"/>
  <c r="H1590"/>
  <c r="H1588" s="1"/>
  <c r="H542" i="3"/>
  <c r="H541" s="1"/>
  <c r="H540" s="1"/>
  <c r="I542"/>
  <c r="I541" s="1"/>
  <c r="I540" s="1"/>
  <c r="G542"/>
  <c r="G541" s="1"/>
  <c r="G540" s="1"/>
  <c r="I879" i="1"/>
  <c r="I878" s="1"/>
  <c r="H879"/>
  <c r="H878" s="1"/>
  <c r="G879"/>
  <c r="G878" s="1"/>
  <c r="G2048" i="3"/>
  <c r="H2192" l="1"/>
  <c r="H2188"/>
  <c r="H2172" s="1"/>
  <c r="I2192"/>
  <c r="I2188"/>
  <c r="I2172" s="1"/>
  <c r="G2195"/>
  <c r="G2164" i="1"/>
  <c r="G2321"/>
  <c r="G2316"/>
  <c r="G2351"/>
  <c r="G2345" s="1"/>
  <c r="G2191" i="3"/>
  <c r="G2308" i="1"/>
  <c r="G2449"/>
  <c r="G2448" s="1"/>
  <c r="I2449"/>
  <c r="I2448" s="1"/>
  <c r="H2449"/>
  <c r="H2448" s="1"/>
  <c r="G2224"/>
  <c r="G1848" i="3" s="1"/>
  <c r="G1867"/>
  <c r="G1866" s="1"/>
  <c r="I2452" i="1"/>
  <c r="I2451" s="1"/>
  <c r="H2452"/>
  <c r="H2451" s="1"/>
  <c r="G2452"/>
  <c r="G2451" s="1"/>
  <c r="G1735"/>
  <c r="G1734" s="1"/>
  <c r="G2237"/>
  <c r="G2234"/>
  <c r="G2228"/>
  <c r="G519"/>
  <c r="I1921"/>
  <c r="I1920" s="1"/>
  <c r="H1921"/>
  <c r="H1920" s="1"/>
  <c r="G2213" i="3"/>
  <c r="H1719" i="1"/>
  <c r="I1719"/>
  <c r="G1719"/>
  <c r="G2629"/>
  <c r="G2218"/>
  <c r="I1063" i="3"/>
  <c r="I1062" s="1"/>
  <c r="I1061" s="1"/>
  <c r="H1063"/>
  <c r="H1062" s="1"/>
  <c r="H1061" s="1"/>
  <c r="G1063"/>
  <c r="G1062" s="1"/>
  <c r="G1061" s="1"/>
  <c r="G2634" i="1"/>
  <c r="G2633" s="1"/>
  <c r="I2634"/>
  <c r="I2633" s="1"/>
  <c r="H2634"/>
  <c r="H2633" s="1"/>
  <c r="G2632"/>
  <c r="G2183"/>
  <c r="G2182"/>
  <c r="G2181" s="1"/>
  <c r="H2632"/>
  <c r="I1865" i="3"/>
  <c r="I1864" s="1"/>
  <c r="I1863" s="1"/>
  <c r="H1865"/>
  <c r="H1864" s="1"/>
  <c r="H1863" s="1"/>
  <c r="G1865"/>
  <c r="G1864" s="1"/>
  <c r="G1863" s="1"/>
  <c r="G2297" i="1"/>
  <c r="G2296" s="1"/>
  <c r="I2297"/>
  <c r="I2296" s="1"/>
  <c r="H2297"/>
  <c r="H2296" s="1"/>
  <c r="G906" i="3"/>
  <c r="G905" s="1"/>
  <c r="G904" s="1"/>
  <c r="I906"/>
  <c r="I905" s="1"/>
  <c r="I904" s="1"/>
  <c r="H906"/>
  <c r="H905" s="1"/>
  <c r="H904" s="1"/>
  <c r="I1040" i="1"/>
  <c r="I1039" s="1"/>
  <c r="H1040"/>
  <c r="H1039" s="1"/>
  <c r="G1040"/>
  <c r="G1039" s="1"/>
  <c r="I903" i="3"/>
  <c r="I902" s="1"/>
  <c r="I901" s="1"/>
  <c r="H903"/>
  <c r="H902" s="1"/>
  <c r="H901" s="1"/>
  <c r="G903"/>
  <c r="G902" s="1"/>
  <c r="G901" s="1"/>
  <c r="I1037" i="1"/>
  <c r="I1036" s="1"/>
  <c r="H1037"/>
  <c r="H1036" s="1"/>
  <c r="G1037"/>
  <c r="G1036" s="1"/>
  <c r="G1978" i="3"/>
  <c r="G1977" s="1"/>
  <c r="G1976" s="1"/>
  <c r="I1978"/>
  <c r="I1977" s="1"/>
  <c r="I1976" s="1"/>
  <c r="H1978"/>
  <c r="H1977" s="1"/>
  <c r="H1976" s="1"/>
  <c r="H2495" i="1"/>
  <c r="H2494" s="1"/>
  <c r="I2495"/>
  <c r="I2494" s="1"/>
  <c r="G2495"/>
  <c r="G2494" s="1"/>
  <c r="G2493"/>
  <c r="I752"/>
  <c r="I751" s="1"/>
  <c r="H752"/>
  <c r="H751" s="1"/>
  <c r="G752"/>
  <c r="G751" s="1"/>
  <c r="G259" i="3"/>
  <c r="G258" s="1"/>
  <c r="G257" s="1"/>
  <c r="I258"/>
  <c r="I257" s="1"/>
  <c r="H258"/>
  <c r="H257" s="1"/>
  <c r="I2426" i="1"/>
  <c r="I2425" s="1"/>
  <c r="H2426"/>
  <c r="H2425" s="1"/>
  <c r="G2426"/>
  <c r="G2425" s="1"/>
  <c r="I2429"/>
  <c r="I2428" s="1"/>
  <c r="I2424" s="1"/>
  <c r="H2429"/>
  <c r="H2428" s="1"/>
  <c r="H2424" s="1"/>
  <c r="G2429"/>
  <c r="G2428" s="1"/>
  <c r="G1133"/>
  <c r="G1130"/>
  <c r="G241" i="3" s="1"/>
  <c r="G578" i="1"/>
  <c r="G2458"/>
  <c r="G457"/>
  <c r="G454"/>
  <c r="G2180" l="1"/>
  <c r="G2424"/>
  <c r="G127"/>
  <c r="G1380" i="3" s="1"/>
  <c r="G124" i="1"/>
  <c r="G1377" i="3" s="1"/>
  <c r="G876"/>
  <c r="G1008" i="1"/>
  <c r="G873" i="3" s="1"/>
  <c r="G1439"/>
  <c r="G88"/>
  <c r="G85"/>
  <c r="G1631"/>
  <c r="G1630" s="1"/>
  <c r="G1629" s="1"/>
  <c r="I1631"/>
  <c r="I1630" s="1"/>
  <c r="I1629" s="1"/>
  <c r="H1631"/>
  <c r="H1630" s="1"/>
  <c r="H1629" s="1"/>
  <c r="G1661" i="1"/>
  <c r="G1660" s="1"/>
  <c r="I1661"/>
  <c r="I1660" s="1"/>
  <c r="H1661"/>
  <c r="H1660" s="1"/>
  <c r="G1656"/>
  <c r="G1625" i="3" s="1"/>
  <c r="G1624" s="1"/>
  <c r="G1623" s="1"/>
  <c r="G2801" i="1" l="1"/>
  <c r="I933" i="3"/>
  <c r="I932" s="1"/>
  <c r="I923" s="1"/>
  <c r="H933"/>
  <c r="H932" s="1"/>
  <c r="H923" s="1"/>
  <c r="G933"/>
  <c r="G932" s="1"/>
  <c r="G923" s="1"/>
  <c r="I1264" i="1"/>
  <c r="I1263" s="1"/>
  <c r="H1264"/>
  <c r="H1263" s="1"/>
  <c r="G1264"/>
  <c r="G1263" s="1"/>
  <c r="I931" i="3"/>
  <c r="I930" s="1"/>
  <c r="H931"/>
  <c r="H930" s="1"/>
  <c r="G931"/>
  <c r="G930" s="1"/>
  <c r="I929"/>
  <c r="I928" s="1"/>
  <c r="H929"/>
  <c r="H928" s="1"/>
  <c r="I926"/>
  <c r="H926"/>
  <c r="G926"/>
  <c r="I925"/>
  <c r="I924" s="1"/>
  <c r="H925"/>
  <c r="H924" s="1"/>
  <c r="I1383"/>
  <c r="H1383"/>
  <c r="G1383"/>
  <c r="I1386"/>
  <c r="H1386"/>
  <c r="G1386"/>
  <c r="I1389"/>
  <c r="H1389"/>
  <c r="G1389"/>
  <c r="I1392"/>
  <c r="H1392"/>
  <c r="G1392"/>
  <c r="I1704"/>
  <c r="H1704"/>
  <c r="G1704"/>
  <c r="I1862"/>
  <c r="H1862"/>
  <c r="G1862"/>
  <c r="I1883"/>
  <c r="H1883"/>
  <c r="G1883"/>
  <c r="I1886"/>
  <c r="H1886"/>
  <c r="G1886"/>
  <c r="I1972"/>
  <c r="H1972"/>
  <c r="G1972"/>
  <c r="G1975"/>
  <c r="I2088"/>
  <c r="H2088"/>
  <c r="G2088"/>
  <c r="I2102"/>
  <c r="H2102"/>
  <c r="H2101" s="1"/>
  <c r="G2102"/>
  <c r="I2258"/>
  <c r="H2258"/>
  <c r="G2258"/>
  <c r="I2279"/>
  <c r="I2278" s="1"/>
  <c r="H2279"/>
  <c r="H2278" s="1"/>
  <c r="G2280"/>
  <c r="G2283"/>
  <c r="G2286"/>
  <c r="G2289"/>
  <c r="G1659" i="1"/>
  <c r="G1979"/>
  <c r="G326" i="3" s="1"/>
  <c r="G1972" i="1"/>
  <c r="G319" i="3" s="1"/>
  <c r="G1442" i="1"/>
  <c r="G175"/>
  <c r="G2165" i="3"/>
  <c r="I2162" i="1"/>
  <c r="I2161" s="1"/>
  <c r="H2162"/>
  <c r="H2161" s="1"/>
  <c r="G2162"/>
  <c r="G2161" s="1"/>
  <c r="G2160" s="1"/>
  <c r="G1599" i="3"/>
  <c r="G1598" s="1"/>
  <c r="G1597" s="1"/>
  <c r="I1598"/>
  <c r="I1597" s="1"/>
  <c r="H1598"/>
  <c r="H1597" s="1"/>
  <c r="I1860" i="1"/>
  <c r="I1859" s="1"/>
  <c r="H1860"/>
  <c r="H1859" s="1"/>
  <c r="G1860"/>
  <c r="G1859" s="1"/>
  <c r="G2045" i="3"/>
  <c r="I2045"/>
  <c r="H2045"/>
  <c r="I1876" i="1"/>
  <c r="I1875" s="1"/>
  <c r="H1876"/>
  <c r="H1875" s="1"/>
  <c r="G1876"/>
  <c r="G1875" s="1"/>
  <c r="G1874" s="1"/>
  <c r="G1596" i="3"/>
  <c r="G1595" s="1"/>
  <c r="G1594" s="1"/>
  <c r="I1595"/>
  <c r="I1594" s="1"/>
  <c r="H1595"/>
  <c r="H1594" s="1"/>
  <c r="I1857" i="1"/>
  <c r="I1856" s="1"/>
  <c r="H1857"/>
  <c r="H1856" s="1"/>
  <c r="G1857"/>
  <c r="G1856" s="1"/>
  <c r="I1814"/>
  <c r="H1814"/>
  <c r="G1814"/>
  <c r="G1813" s="1"/>
  <c r="G1812" s="1"/>
  <c r="G1466" i="3"/>
  <c r="I2843" i="1"/>
  <c r="I2842" s="1"/>
  <c r="I2838" s="1"/>
  <c r="H2843"/>
  <c r="H2842" s="1"/>
  <c r="H2838" s="1"/>
  <c r="G2843"/>
  <c r="G2842" s="1"/>
  <c r="G2838" s="1"/>
  <c r="G1106"/>
  <c r="G57" i="3" l="1"/>
  <c r="G56" s="1"/>
  <c r="I56"/>
  <c r="H56"/>
  <c r="I2410" i="1"/>
  <c r="H2410"/>
  <c r="G2410"/>
  <c r="I2408"/>
  <c r="H2408"/>
  <c r="G2408"/>
  <c r="G1611"/>
  <c r="G1839" i="3"/>
  <c r="G1838" s="1"/>
  <c r="G1837" s="1"/>
  <c r="I1838"/>
  <c r="I1837" s="1"/>
  <c r="H1838"/>
  <c r="H1837" s="1"/>
  <c r="I2220" i="1"/>
  <c r="I2219" s="1"/>
  <c r="H2220"/>
  <c r="H2219" s="1"/>
  <c r="G2220"/>
  <c r="G2219" s="1"/>
  <c r="G1836" i="3"/>
  <c r="G1845"/>
  <c r="G1844" s="1"/>
  <c r="G1843" s="1"/>
  <c r="I1844"/>
  <c r="I1843" s="1"/>
  <c r="H1844"/>
  <c r="H1843" s="1"/>
  <c r="G2285" i="1"/>
  <c r="G2284" s="1"/>
  <c r="I2285"/>
  <c r="I2284" s="1"/>
  <c r="H2285"/>
  <c r="H2284" s="1"/>
  <c r="G2283"/>
  <c r="G1701" i="3"/>
  <c r="G1700" s="1"/>
  <c r="G1699" s="1"/>
  <c r="I1700"/>
  <c r="I1699" s="1"/>
  <c r="H1700"/>
  <c r="H1699" s="1"/>
  <c r="G2211" i="1"/>
  <c r="G2210" s="1"/>
  <c r="I2211"/>
  <c r="I2210" s="1"/>
  <c r="H2211"/>
  <c r="H2210" s="1"/>
  <c r="G2194"/>
  <c r="G122" i="3"/>
  <c r="G121" s="1"/>
  <c r="G120" s="1"/>
  <c r="G119"/>
  <c r="G118" s="1"/>
  <c r="G117" s="1"/>
  <c r="G114"/>
  <c r="G113" s="1"/>
  <c r="G112" s="1"/>
  <c r="G109"/>
  <c r="G108" s="1"/>
  <c r="G107" s="1"/>
  <c r="G106"/>
  <c r="G105" s="1"/>
  <c r="G104" s="1"/>
  <c r="G103"/>
  <c r="G102" s="1"/>
  <c r="G101" s="1"/>
  <c r="I121"/>
  <c r="I120" s="1"/>
  <c r="H121"/>
  <c r="H120" s="1"/>
  <c r="I118"/>
  <c r="I117" s="1"/>
  <c r="H118"/>
  <c r="H117" s="1"/>
  <c r="I113"/>
  <c r="I112" s="1"/>
  <c r="H113"/>
  <c r="H112" s="1"/>
  <c r="I108"/>
  <c r="I107" s="1"/>
  <c r="H108"/>
  <c r="H107" s="1"/>
  <c r="I105"/>
  <c r="I104" s="1"/>
  <c r="H105"/>
  <c r="H104" s="1"/>
  <c r="I102"/>
  <c r="I101" s="1"/>
  <c r="H102"/>
  <c r="H101" s="1"/>
  <c r="I2044" i="1"/>
  <c r="I2043" s="1"/>
  <c r="H2044"/>
  <c r="H2043" s="1"/>
  <c r="G2044"/>
  <c r="G2043" s="1"/>
  <c r="I2041"/>
  <c r="I2040" s="1"/>
  <c r="H2041"/>
  <c r="H2040" s="1"/>
  <c r="G2041"/>
  <c r="G2040" s="1"/>
  <c r="I2036"/>
  <c r="I2035" s="1"/>
  <c r="H2036"/>
  <c r="H2035" s="1"/>
  <c r="G2036"/>
  <c r="G2035" s="1"/>
  <c r="I2031"/>
  <c r="I2030" s="1"/>
  <c r="H2031"/>
  <c r="H2030" s="1"/>
  <c r="G2031"/>
  <c r="G2030" s="1"/>
  <c r="I2028"/>
  <c r="I2027" s="1"/>
  <c r="H2028"/>
  <c r="H2027" s="1"/>
  <c r="G2027"/>
  <c r="I2025"/>
  <c r="I2024" s="1"/>
  <c r="H2025"/>
  <c r="H2024" s="1"/>
  <c r="G2025"/>
  <c r="G2024" s="1"/>
  <c r="I99" i="3"/>
  <c r="I98" s="1"/>
  <c r="H99"/>
  <c r="H98" s="1"/>
  <c r="G99"/>
  <c r="G98" s="1"/>
  <c r="I96"/>
  <c r="I95" s="1"/>
  <c r="H96"/>
  <c r="H95" s="1"/>
  <c r="G96"/>
  <c r="G95" s="1"/>
  <c r="T2017" i="1"/>
  <c r="I2022"/>
  <c r="I2021" s="1"/>
  <c r="H2022"/>
  <c r="H2021" s="1"/>
  <c r="G2022"/>
  <c r="G2021" s="1"/>
  <c r="I2019"/>
  <c r="I2018" s="1"/>
  <c r="H2019"/>
  <c r="H2018" s="1"/>
  <c r="G2019"/>
  <c r="G2018" s="1"/>
  <c r="G94" i="3"/>
  <c r="G93" s="1"/>
  <c r="G92" s="1"/>
  <c r="G91"/>
  <c r="G90" s="1"/>
  <c r="G89" s="1"/>
  <c r="I93"/>
  <c r="I92" s="1"/>
  <c r="H93"/>
  <c r="H92" s="1"/>
  <c r="I90"/>
  <c r="I89" s="1"/>
  <c r="H90"/>
  <c r="H89" s="1"/>
  <c r="I87"/>
  <c r="I86" s="1"/>
  <c r="H87"/>
  <c r="H86" s="1"/>
  <c r="G87"/>
  <c r="G86" s="1"/>
  <c r="I84"/>
  <c r="I83" s="1"/>
  <c r="H84"/>
  <c r="H83" s="1"/>
  <c r="G84"/>
  <c r="G83" s="1"/>
  <c r="I2422" i="1"/>
  <c r="I2421" s="1"/>
  <c r="H2422"/>
  <c r="H2421" s="1"/>
  <c r="G2422"/>
  <c r="G2421" s="1"/>
  <c r="I2419"/>
  <c r="I2418" s="1"/>
  <c r="H2419"/>
  <c r="H2418" s="1"/>
  <c r="G2419"/>
  <c r="G2418" s="1"/>
  <c r="I2836"/>
  <c r="I2835" s="1"/>
  <c r="H2836"/>
  <c r="H2835" s="1"/>
  <c r="G2836"/>
  <c r="G2835" s="1"/>
  <c r="I2833"/>
  <c r="I2832" s="1"/>
  <c r="H2833"/>
  <c r="H2832" s="1"/>
  <c r="G2833"/>
  <c r="G2832" s="1"/>
  <c r="G82" i="3"/>
  <c r="G81" s="1"/>
  <c r="G80" s="1"/>
  <c r="G79"/>
  <c r="G78" s="1"/>
  <c r="G77" s="1"/>
  <c r="I81"/>
  <c r="I80" s="1"/>
  <c r="H81"/>
  <c r="H80" s="1"/>
  <c r="I78"/>
  <c r="I77" s="1"/>
  <c r="H78"/>
  <c r="H77" s="1"/>
  <c r="I2827" i="1"/>
  <c r="I2826" s="1"/>
  <c r="H2827"/>
  <c r="H2826" s="1"/>
  <c r="G2827"/>
  <c r="G2826" s="1"/>
  <c r="G2407" l="1"/>
  <c r="H2017"/>
  <c r="I2017"/>
  <c r="G2017"/>
  <c r="I2407"/>
  <c r="H2407"/>
  <c r="G75" i="3"/>
  <c r="G74" s="1"/>
  <c r="G72"/>
  <c r="G71" s="1"/>
  <c r="I75"/>
  <c r="I74" s="1"/>
  <c r="H75"/>
  <c r="H74" s="1"/>
  <c r="I72"/>
  <c r="I71" s="1"/>
  <c r="H72"/>
  <c r="H71" s="1"/>
  <c r="I2723" i="1"/>
  <c r="I2722" s="1"/>
  <c r="H2723"/>
  <c r="H2722" s="1"/>
  <c r="G2723"/>
  <c r="G2722" s="1"/>
  <c r="I2720"/>
  <c r="I2719" s="1"/>
  <c r="H2720"/>
  <c r="H2719" s="1"/>
  <c r="G2720"/>
  <c r="G2719" s="1"/>
  <c r="G70" i="3"/>
  <c r="G69" s="1"/>
  <c r="G68" s="1"/>
  <c r="G67"/>
  <c r="G66" s="1"/>
  <c r="G65" s="1"/>
  <c r="I69"/>
  <c r="I68" s="1"/>
  <c r="H69"/>
  <c r="H68" s="1"/>
  <c r="I66"/>
  <c r="I65" s="1"/>
  <c r="H66"/>
  <c r="H65" s="1"/>
  <c r="I2416" i="1"/>
  <c r="I2415" s="1"/>
  <c r="H2416"/>
  <c r="H2415" s="1"/>
  <c r="G2416"/>
  <c r="G2415" s="1"/>
  <c r="I2413"/>
  <c r="I2412" s="1"/>
  <c r="H2413"/>
  <c r="H2412" s="1"/>
  <c r="G2413"/>
  <c r="G2412" s="1"/>
  <c r="H2373"/>
  <c r="H2372" s="1"/>
  <c r="H2371" s="1"/>
  <c r="I2373"/>
  <c r="I2372" s="1"/>
  <c r="I2371" s="1"/>
  <c r="G2374"/>
  <c r="G2373" s="1"/>
  <c r="G2372" s="1"/>
  <c r="G2375"/>
  <c r="H2375"/>
  <c r="I2375"/>
  <c r="H2400"/>
  <c r="H2399" s="1"/>
  <c r="I2400"/>
  <c r="I2399" s="1"/>
  <c r="G2401"/>
  <c r="G2400" s="1"/>
  <c r="G2399" s="1"/>
  <c r="G1633"/>
  <c r="G1986"/>
  <c r="G454" i="3" s="1"/>
  <c r="G253"/>
  <c r="G252" s="1"/>
  <c r="G251" s="1"/>
  <c r="I252"/>
  <c r="I251" s="1"/>
  <c r="H252"/>
  <c r="H251" s="1"/>
  <c r="G1132" i="1"/>
  <c r="G1131" s="1"/>
  <c r="I1132"/>
  <c r="I1131" s="1"/>
  <c r="H1132"/>
  <c r="H1131" s="1"/>
  <c r="G2406" l="1"/>
  <c r="G2718"/>
  <c r="H2406"/>
  <c r="I2406"/>
  <c r="G2371"/>
  <c r="G629" i="3"/>
  <c r="G628" s="1"/>
  <c r="G627" s="1"/>
  <c r="I628"/>
  <c r="I627" s="1"/>
  <c r="H628"/>
  <c r="H627" s="1"/>
  <c r="G1331" i="1"/>
  <c r="G1330" s="1"/>
  <c r="I1331"/>
  <c r="I1330" s="1"/>
  <c r="H1331"/>
  <c r="H1330" s="1"/>
  <c r="I2887" l="1"/>
  <c r="I2886" s="1"/>
  <c r="I2885" s="1"/>
  <c r="I2884" s="1"/>
  <c r="H2887"/>
  <c r="H2886" s="1"/>
  <c r="H2885" s="1"/>
  <c r="H2884" s="1"/>
  <c r="G2887"/>
  <c r="G2886" s="1"/>
  <c r="G2885" s="1"/>
  <c r="G2884" s="1"/>
  <c r="F74" i="2"/>
  <c r="G2279" i="3"/>
  <c r="G2278" s="1"/>
  <c r="G27" i="1"/>
  <c r="G26" s="1"/>
  <c r="G25" s="1"/>
  <c r="G24" s="1"/>
  <c r="G23" s="1"/>
  <c r="I25"/>
  <c r="I24" s="1"/>
  <c r="I23" s="1"/>
  <c r="H25"/>
  <c r="H24" s="1"/>
  <c r="H23" s="1"/>
  <c r="G1445" i="3"/>
  <c r="G301" i="1"/>
  <c r="G1253" i="3"/>
  <c r="G1252" s="1"/>
  <c r="G1251" s="1"/>
  <c r="I1252"/>
  <c r="I1251" s="1"/>
  <c r="H1252"/>
  <c r="H1251" s="1"/>
  <c r="I44" i="1"/>
  <c r="I43" s="1"/>
  <c r="H44"/>
  <c r="H43" s="1"/>
  <c r="G44"/>
  <c r="G43" s="1"/>
  <c r="G1029" l="1"/>
  <c r="G894" i="3" s="1"/>
  <c r="G777" i="1"/>
  <c r="G864" i="3" s="1"/>
  <c r="G3351" i="1"/>
  <c r="G3350" s="1"/>
  <c r="I3351"/>
  <c r="I3350" s="1"/>
  <c r="H3351"/>
  <c r="H3350" s="1"/>
  <c r="G1877" i="3" l="1"/>
  <c r="G1876" s="1"/>
  <c r="G1875" s="1"/>
  <c r="I1876"/>
  <c r="I1875" s="1"/>
  <c r="H1876"/>
  <c r="H1875" s="1"/>
  <c r="I2294" i="1"/>
  <c r="I2293" s="1"/>
  <c r="H2294"/>
  <c r="H2293" s="1"/>
  <c r="G2294"/>
  <c r="G2293" s="1"/>
  <c r="I2343"/>
  <c r="H2343"/>
  <c r="G2343"/>
  <c r="G2342" s="1"/>
  <c r="G2341" s="1"/>
  <c r="G2257" i="3"/>
  <c r="I2257"/>
  <c r="I2254" s="1"/>
  <c r="H2257"/>
  <c r="H2254" s="1"/>
  <c r="G2256"/>
  <c r="G2255" s="1"/>
  <c r="H1734" i="1"/>
  <c r="H1731" s="1"/>
  <c r="I1734"/>
  <c r="I1731" s="1"/>
  <c r="G979" i="3"/>
  <c r="G978" s="1"/>
  <c r="G977" s="1"/>
  <c r="I978"/>
  <c r="H978"/>
  <c r="G1465"/>
  <c r="G1464" s="1"/>
  <c r="I1465"/>
  <c r="I1464" s="1"/>
  <c r="H1465"/>
  <c r="H1464" s="1"/>
  <c r="G909"/>
  <c r="G908" s="1"/>
  <c r="G907" s="1"/>
  <c r="I908"/>
  <c r="I907" s="1"/>
  <c r="H908"/>
  <c r="H907" s="1"/>
  <c r="I1043" i="1"/>
  <c r="I1042" s="1"/>
  <c r="H1043"/>
  <c r="H1042" s="1"/>
  <c r="G1043"/>
  <c r="G1042" s="1"/>
  <c r="G2274" i="3"/>
  <c r="G468" i="1"/>
  <c r="H1306" i="3"/>
  <c r="I1306"/>
  <c r="G1306"/>
  <c r="G1486"/>
  <c r="G1485" s="1"/>
  <c r="G1484" s="1"/>
  <c r="I1485"/>
  <c r="I1484" s="1"/>
  <c r="H1485"/>
  <c r="H1484" s="1"/>
  <c r="H177" i="1"/>
  <c r="H176" s="1"/>
  <c r="I177"/>
  <c r="I176" s="1"/>
  <c r="G177"/>
  <c r="G176" s="1"/>
  <c r="I2342" l="1"/>
  <c r="I1868" i="3"/>
  <c r="I1867" s="1"/>
  <c r="I1866" s="1"/>
  <c r="H2342" i="1"/>
  <c r="H1868" i="3"/>
  <c r="H1867" s="1"/>
  <c r="H1866" s="1"/>
  <c r="G1632" i="1"/>
  <c r="G1631" s="1"/>
  <c r="I1632"/>
  <c r="I1631" s="1"/>
  <c r="H1632"/>
  <c r="H1631" s="1"/>
  <c r="G1593" i="3"/>
  <c r="G1592" s="1"/>
  <c r="G1591" s="1"/>
  <c r="I1592"/>
  <c r="I1591" s="1"/>
  <c r="H1592"/>
  <c r="H1591" s="1"/>
  <c r="I1854" i="1"/>
  <c r="I1853" s="1"/>
  <c r="H1854"/>
  <c r="H1853" s="1"/>
  <c r="G1854"/>
  <c r="G1853" s="1"/>
  <c r="G1590" i="3"/>
  <c r="G1589" s="1"/>
  <c r="G1588" s="1"/>
  <c r="I1589"/>
  <c r="I1588" s="1"/>
  <c r="H1589"/>
  <c r="H1588" s="1"/>
  <c r="I1851" i="1"/>
  <c r="I1850" s="1"/>
  <c r="H1851"/>
  <c r="H1850" s="1"/>
  <c r="G1851"/>
  <c r="G1850" s="1"/>
  <c r="G1846"/>
  <c r="G348"/>
  <c r="G1432" i="3" s="1"/>
  <c r="G351" i="1"/>
  <c r="H114"/>
  <c r="G2250" i="3"/>
  <c r="G2248" s="1"/>
  <c r="G2245" s="1"/>
  <c r="I2248"/>
  <c r="I2245" s="1"/>
  <c r="H2248"/>
  <c r="H2245" s="1"/>
  <c r="G2247"/>
  <c r="G2246" s="1"/>
  <c r="H1728" i="1"/>
  <c r="H1725" s="1"/>
  <c r="I1728"/>
  <c r="I1725" s="1"/>
  <c r="G1728"/>
  <c r="G1725" s="1"/>
  <c r="G2280"/>
  <c r="G2279" s="1"/>
  <c r="G2278" s="1"/>
  <c r="I1706" i="3"/>
  <c r="I1705" s="1"/>
  <c r="H1706"/>
  <c r="H1705" s="1"/>
  <c r="I2279" i="1"/>
  <c r="I2278" s="1"/>
  <c r="H2279"/>
  <c r="H2278" s="1"/>
  <c r="G1842" i="3"/>
  <c r="G1841" s="1"/>
  <c r="G1840" s="1"/>
  <c r="I1841"/>
  <c r="I1840" s="1"/>
  <c r="H1841"/>
  <c r="H1840" s="1"/>
  <c r="I2282" i="1"/>
  <c r="I2281" s="1"/>
  <c r="H2282"/>
  <c r="H2281" s="1"/>
  <c r="G2282"/>
  <c r="G2281" s="1"/>
  <c r="G2080"/>
  <c r="I146" i="3"/>
  <c r="I145" s="1"/>
  <c r="H146"/>
  <c r="H145" s="1"/>
  <c r="G36" i="1"/>
  <c r="G2367"/>
  <c r="G2015"/>
  <c r="G238" i="3"/>
  <c r="G2273"/>
  <c r="G2272" s="1"/>
  <c r="G465" i="1"/>
  <c r="G461" s="1"/>
  <c r="I465"/>
  <c r="I461" s="1"/>
  <c r="H465"/>
  <c r="H461" s="1"/>
  <c r="I463"/>
  <c r="I462" s="1"/>
  <c r="H463"/>
  <c r="H462" s="1"/>
  <c r="G1661" i="3"/>
  <c r="I1660"/>
  <c r="H1660"/>
  <c r="I2443" i="1"/>
  <c r="H2443"/>
  <c r="G2443"/>
  <c r="G2442" s="1"/>
  <c r="G2441" s="1"/>
  <c r="G1660" i="3" l="1"/>
  <c r="G1659" s="1"/>
  <c r="G147"/>
  <c r="G146" s="1"/>
  <c r="G145" s="1"/>
  <c r="G1707"/>
  <c r="G1706" s="1"/>
  <c r="G1705" s="1"/>
  <c r="G508"/>
  <c r="G507" s="1"/>
  <c r="G506" s="1"/>
  <c r="I507"/>
  <c r="I506" s="1"/>
  <c r="H507"/>
  <c r="H506" s="1"/>
  <c r="G2715" i="1"/>
  <c r="G2714" s="1"/>
  <c r="G2710" s="1"/>
  <c r="G2709" s="1"/>
  <c r="I2715"/>
  <c r="I2714" s="1"/>
  <c r="H2715"/>
  <c r="H2714" s="1"/>
  <c r="G517" i="3"/>
  <c r="G516" s="1"/>
  <c r="G515" s="1"/>
  <c r="I516"/>
  <c r="I515" s="1"/>
  <c r="H516"/>
  <c r="H515" s="1"/>
  <c r="G2699" i="1"/>
  <c r="G2698" s="1"/>
  <c r="G2694" s="1"/>
  <c r="I2699"/>
  <c r="I2698" s="1"/>
  <c r="H2699"/>
  <c r="H2698" s="1"/>
  <c r="G1005"/>
  <c r="G870" i="3" s="1"/>
  <c r="G1302" i="1"/>
  <c r="G244" i="3"/>
  <c r="G243" s="1"/>
  <c r="G242" s="1"/>
  <c r="I2615" i="1"/>
  <c r="I2614" s="1"/>
  <c r="H2615"/>
  <c r="H2614" s="1"/>
  <c r="G2615"/>
  <c r="G2614" s="1"/>
  <c r="G395"/>
  <c r="G2244" i="3"/>
  <c r="G2613" i="1"/>
  <c r="G247" i="3" s="1"/>
  <c r="G1129" i="1"/>
  <c r="G1128" s="1"/>
  <c r="G250" i="3"/>
  <c r="G2439" i="1"/>
  <c r="G2438" s="1"/>
  <c r="G1019" i="3"/>
  <c r="G1018" s="1"/>
  <c r="G1017" s="1"/>
  <c r="I1018"/>
  <c r="I1017" s="1"/>
  <c r="H1018"/>
  <c r="H1017" s="1"/>
  <c r="I2436" i="1"/>
  <c r="I2435" s="1"/>
  <c r="H2436"/>
  <c r="H2435" s="1"/>
  <c r="G2436"/>
  <c r="G2435" s="1"/>
  <c r="G2434"/>
  <c r="I1015" i="3"/>
  <c r="I1014" s="1"/>
  <c r="H1015"/>
  <c r="H1014" s="1"/>
  <c r="I2439" i="1"/>
  <c r="I2438" s="1"/>
  <c r="H2439"/>
  <c r="H2438" s="1"/>
  <c r="I243" i="3"/>
  <c r="I242" s="1"/>
  <c r="H243"/>
  <c r="H242" s="1"/>
  <c r="I240"/>
  <c r="I239" s="1"/>
  <c r="H240"/>
  <c r="H239" s="1"/>
  <c r="I1129" i="1"/>
  <c r="I1128" s="1"/>
  <c r="I1127" s="1"/>
  <c r="H1129"/>
  <c r="H1128" s="1"/>
  <c r="H1127" s="1"/>
  <c r="I1431" i="3"/>
  <c r="I1430" s="1"/>
  <c r="H1431"/>
  <c r="H1430" s="1"/>
  <c r="G1431"/>
  <c r="G1430" s="1"/>
  <c r="I347" i="1"/>
  <c r="I346" s="1"/>
  <c r="H347"/>
  <c r="H346" s="1"/>
  <c r="G347"/>
  <c r="G346" s="1"/>
  <c r="G1923" i="3"/>
  <c r="G1922" s="1"/>
  <c r="G1921" s="1"/>
  <c r="I1922"/>
  <c r="I1921" s="1"/>
  <c r="H1922"/>
  <c r="H1921" s="1"/>
  <c r="I2800" i="1"/>
  <c r="I2799" s="1"/>
  <c r="H2800"/>
  <c r="H2799" s="1"/>
  <c r="G2800"/>
  <c r="G2799" s="1"/>
  <c r="G2047" i="3"/>
  <c r="I2047"/>
  <c r="I2044" s="1"/>
  <c r="H2047"/>
  <c r="H2044" s="1"/>
  <c r="G2043"/>
  <c r="G2042" s="1"/>
  <c r="G2041" s="1"/>
  <c r="I2042"/>
  <c r="I2041" s="1"/>
  <c r="H2042"/>
  <c r="H2041" s="1"/>
  <c r="G2039"/>
  <c r="G2038" s="1"/>
  <c r="G2036"/>
  <c r="G2035" s="1"/>
  <c r="G2033"/>
  <c r="G2032" s="1"/>
  <c r="G2030"/>
  <c r="H2028"/>
  <c r="H2027" s="1"/>
  <c r="G2028"/>
  <c r="I2027"/>
  <c r="G2026"/>
  <c r="G2025" s="1"/>
  <c r="H2023"/>
  <c r="H2022" s="1"/>
  <c r="G2023"/>
  <c r="I2022"/>
  <c r="G2020"/>
  <c r="G2019" s="1"/>
  <c r="G2018" s="1"/>
  <c r="G2016"/>
  <c r="G2015" s="1"/>
  <c r="I2606" i="1"/>
  <c r="I2605" s="1"/>
  <c r="H2606"/>
  <c r="H2605" s="1"/>
  <c r="G2606"/>
  <c r="G2605" s="1"/>
  <c r="G2604"/>
  <c r="G2603" s="1"/>
  <c r="G2602" s="1"/>
  <c r="I2603"/>
  <c r="I2602" s="1"/>
  <c r="H2603"/>
  <c r="H2602" s="1"/>
  <c r="G2600"/>
  <c r="G2599" s="1"/>
  <c r="G2597"/>
  <c r="G2596" s="1"/>
  <c r="G2594"/>
  <c r="G2593" s="1"/>
  <c r="G2591"/>
  <c r="H2589"/>
  <c r="H2588" s="1"/>
  <c r="G2589"/>
  <c r="I2588"/>
  <c r="G2587"/>
  <c r="G2586" s="1"/>
  <c r="H2584"/>
  <c r="H2583" s="1"/>
  <c r="G2584"/>
  <c r="I2583"/>
  <c r="G2581"/>
  <c r="G2580" s="1"/>
  <c r="G2579" s="1"/>
  <c r="G2577"/>
  <c r="G2576" s="1"/>
  <c r="I237" i="3"/>
  <c r="I236" s="1"/>
  <c r="H237"/>
  <c r="H236" s="1"/>
  <c r="G237"/>
  <c r="G1722"/>
  <c r="I2117" i="1"/>
  <c r="I2116" s="1"/>
  <c r="H2117"/>
  <c r="H2116" s="1"/>
  <c r="G2117"/>
  <c r="G2116" s="1"/>
  <c r="I1724"/>
  <c r="H1724"/>
  <c r="G2216" i="3"/>
  <c r="G2164"/>
  <c r="I2164"/>
  <c r="H2164"/>
  <c r="I1674" i="1"/>
  <c r="H1674"/>
  <c r="G1674"/>
  <c r="G1673" s="1"/>
  <c r="G1672" s="1"/>
  <c r="I845" i="3"/>
  <c r="I844" s="1"/>
  <c r="H845"/>
  <c r="H844" s="1"/>
  <c r="G845"/>
  <c r="G844" s="1"/>
  <c r="I982" i="1"/>
  <c r="I981" s="1"/>
  <c r="H982"/>
  <c r="H981" s="1"/>
  <c r="G982"/>
  <c r="G981" s="1"/>
  <c r="G839" i="3"/>
  <c r="G2169"/>
  <c r="G2168" s="1"/>
  <c r="G2163" s="1"/>
  <c r="I1120" i="1"/>
  <c r="I1119" s="1"/>
  <c r="H1120"/>
  <c r="H1119" s="1"/>
  <c r="G1120"/>
  <c r="G1119" s="1"/>
  <c r="G1118" s="1"/>
  <c r="I842" i="3"/>
  <c r="I841" s="1"/>
  <c r="H842"/>
  <c r="H841" s="1"/>
  <c r="G842"/>
  <c r="G841" s="1"/>
  <c r="G840" s="1"/>
  <c r="I998" i="1"/>
  <c r="I997" s="1"/>
  <c r="H998"/>
  <c r="H997" s="1"/>
  <c r="G998"/>
  <c r="G997" s="1"/>
  <c r="G996" s="1"/>
  <c r="I2168" i="3"/>
  <c r="I2163" s="1"/>
  <c r="H2168"/>
  <c r="H2163" s="1"/>
  <c r="I786" i="1"/>
  <c r="I785" s="1"/>
  <c r="H786"/>
  <c r="H785" s="1"/>
  <c r="G786"/>
  <c r="G785" s="1"/>
  <c r="G784" s="1"/>
  <c r="G852" i="3"/>
  <c r="G851" s="1"/>
  <c r="G850" s="1"/>
  <c r="I851"/>
  <c r="I850" s="1"/>
  <c r="H851"/>
  <c r="H850" s="1"/>
  <c r="I764" i="1"/>
  <c r="I763" s="1"/>
  <c r="H764"/>
  <c r="H763" s="1"/>
  <c r="G764"/>
  <c r="G763" s="1"/>
  <c r="G46" i="3"/>
  <c r="G45" s="1"/>
  <c r="G44" s="1"/>
  <c r="I45"/>
  <c r="I44" s="1"/>
  <c r="H45"/>
  <c r="H44" s="1"/>
  <c r="I518" i="1"/>
  <c r="I517" s="1"/>
  <c r="H518"/>
  <c r="H517" s="1"/>
  <c r="G518"/>
  <c r="G517" s="1"/>
  <c r="G2044" i="3" l="1"/>
  <c r="G2014" s="1"/>
  <c r="G1016"/>
  <c r="G1015" s="1"/>
  <c r="G1014" s="1"/>
  <c r="G2027"/>
  <c r="G2588" i="1"/>
  <c r="G240" i="3"/>
  <c r="G239" s="1"/>
  <c r="G1716" i="1"/>
  <c r="H2014" i="3"/>
  <c r="G2022"/>
  <c r="I2014"/>
  <c r="I2575" i="1"/>
  <c r="G2215" i="3"/>
  <c r="H2575" i="1"/>
  <c r="G2583"/>
  <c r="G2288" i="3"/>
  <c r="G2287" s="1"/>
  <c r="G2285"/>
  <c r="G2284" s="1"/>
  <c r="G2282"/>
  <c r="G2281" s="1"/>
  <c r="G587" i="1"/>
  <c r="G586" s="1"/>
  <c r="G584"/>
  <c r="G583" s="1"/>
  <c r="G581"/>
  <c r="G580" s="1"/>
  <c r="G304"/>
  <c r="G213"/>
  <c r="I1600" i="3"/>
  <c r="H1600"/>
  <c r="G2503" i="1"/>
  <c r="G2502"/>
  <c r="G2501" s="1"/>
  <c r="G1740"/>
  <c r="G1739" s="1"/>
  <c r="G2366"/>
  <c r="G2365"/>
  <c r="G2364" s="1"/>
  <c r="I2358"/>
  <c r="H2358"/>
  <c r="G2188"/>
  <c r="G2187"/>
  <c r="G2186" s="1"/>
  <c r="I2178"/>
  <c r="I2177" s="1"/>
  <c r="H2178"/>
  <c r="H2177" s="1"/>
  <c r="I2015"/>
  <c r="I2014" s="1"/>
  <c r="I2011" s="1"/>
  <c r="I2007" s="1"/>
  <c r="H2015"/>
  <c r="H2014" s="1"/>
  <c r="H2011" s="1"/>
  <c r="H2007" s="1"/>
  <c r="G2014"/>
  <c r="I2009"/>
  <c r="I2008" s="1"/>
  <c r="H2009"/>
  <c r="H2008" s="1"/>
  <c r="G1930"/>
  <c r="I1925"/>
  <c r="I1924" s="1"/>
  <c r="H1925"/>
  <c r="H1924" s="1"/>
  <c r="G1885"/>
  <c r="I1880"/>
  <c r="I1879" s="1"/>
  <c r="H1880"/>
  <c r="H1879" s="1"/>
  <c r="G2262" i="3"/>
  <c r="G1761" i="1"/>
  <c r="I1761"/>
  <c r="I1758" s="1"/>
  <c r="I1754" s="1"/>
  <c r="H1761"/>
  <c r="H1758" s="1"/>
  <c r="H1754" s="1"/>
  <c r="I1756"/>
  <c r="I1755" s="1"/>
  <c r="H1756"/>
  <c r="H1755" s="1"/>
  <c r="G2275" i="3"/>
  <c r="G1570" i="1"/>
  <c r="G1568"/>
  <c r="I1566"/>
  <c r="H1566"/>
  <c r="G1566"/>
  <c r="G1565"/>
  <c r="G1564" s="1"/>
  <c r="I1504"/>
  <c r="I1503" s="1"/>
  <c r="I1500" s="1"/>
  <c r="H1504"/>
  <c r="H1503" s="1"/>
  <c r="G1503"/>
  <c r="G1499" s="1"/>
  <c r="G1502"/>
  <c r="G1501" s="1"/>
  <c r="I213"/>
  <c r="H213"/>
  <c r="G1880" i="3"/>
  <c r="G1879" s="1"/>
  <c r="G1878" s="1"/>
  <c r="G2270" i="1"/>
  <c r="G1698" i="3" s="1"/>
  <c r="I648"/>
  <c r="I647" s="1"/>
  <c r="H648"/>
  <c r="H647" s="1"/>
  <c r="G648"/>
  <c r="G647" s="1"/>
  <c r="G643"/>
  <c r="H643"/>
  <c r="I643"/>
  <c r="I876" i="1"/>
  <c r="I875" s="1"/>
  <c r="H876"/>
  <c r="H875" s="1"/>
  <c r="G876"/>
  <c r="G875" s="1"/>
  <c r="G143" i="3"/>
  <c r="G142" s="1"/>
  <c r="G141" s="1"/>
  <c r="G1602" i="1"/>
  <c r="G1859" i="3"/>
  <c r="I1858"/>
  <c r="H1858"/>
  <c r="I2233" i="1"/>
  <c r="H2233"/>
  <c r="G2233"/>
  <c r="G2231"/>
  <c r="G1856" i="3" s="1"/>
  <c r="G1596" i="1"/>
  <c r="G2099" i="3" s="1"/>
  <c r="I142"/>
  <c r="I141" s="1"/>
  <c r="H142"/>
  <c r="H141" s="1"/>
  <c r="I1628" i="1"/>
  <c r="I1627" s="1"/>
  <c r="H1628"/>
  <c r="H1627" s="1"/>
  <c r="G1949" i="3"/>
  <c r="G1948" s="1"/>
  <c r="I1948"/>
  <c r="H1948"/>
  <c r="I2469" i="1"/>
  <c r="I2468" s="1"/>
  <c r="H2469"/>
  <c r="H2468" s="1"/>
  <c r="G2469"/>
  <c r="G2468" s="1"/>
  <c r="G2462"/>
  <c r="G1606" i="3"/>
  <c r="G1605" s="1"/>
  <c r="G1601" s="1"/>
  <c r="G1600" s="1"/>
  <c r="I1605"/>
  <c r="H1605"/>
  <c r="G1865" i="1"/>
  <c r="I1872"/>
  <c r="H1872"/>
  <c r="G1872"/>
  <c r="I2730"/>
  <c r="H2730"/>
  <c r="I3368"/>
  <c r="H3368"/>
  <c r="G3368"/>
  <c r="G1001"/>
  <c r="G1000" s="1"/>
  <c r="G2253" i="3"/>
  <c r="G2252" s="1"/>
  <c r="G2251" s="1"/>
  <c r="I2252"/>
  <c r="I2251" s="1"/>
  <c r="H2252"/>
  <c r="H2251" s="1"/>
  <c r="G1737" i="1"/>
  <c r="I1713"/>
  <c r="I1712" s="1"/>
  <c r="H1713"/>
  <c r="H1712" s="1"/>
  <c r="G626"/>
  <c r="G625" s="1"/>
  <c r="G624" s="1"/>
  <c r="G332"/>
  <c r="G1395" i="3" s="1"/>
  <c r="G1394" s="1"/>
  <c r="G1393" s="1"/>
  <c r="I3326" i="1"/>
  <c r="H3326"/>
  <c r="G1891"/>
  <c r="H132"/>
  <c r="H1138"/>
  <c r="H796"/>
  <c r="H677"/>
  <c r="I848" i="3"/>
  <c r="I847" s="1"/>
  <c r="H848"/>
  <c r="H847" s="1"/>
  <c r="I1001" i="1"/>
  <c r="I1000" s="1"/>
  <c r="H1001"/>
  <c r="H1000" s="1"/>
  <c r="I838" i="3"/>
  <c r="I837" s="1"/>
  <c r="H838"/>
  <c r="H837" s="1"/>
  <c r="G838"/>
  <c r="G837" s="1"/>
  <c r="I994" i="1"/>
  <c r="I993" s="1"/>
  <c r="H994"/>
  <c r="H993" s="1"/>
  <c r="G994"/>
  <c r="G993" s="1"/>
  <c r="I158" i="3"/>
  <c r="I157" s="1"/>
  <c r="H158"/>
  <c r="H157" s="1"/>
  <c r="I625" i="1"/>
  <c r="I624" s="1"/>
  <c r="H625"/>
  <c r="H624" s="1"/>
  <c r="H1013" i="3"/>
  <c r="H1012" s="1"/>
  <c r="H1011" s="1"/>
  <c r="H1010" s="1"/>
  <c r="I1013"/>
  <c r="I1012" s="1"/>
  <c r="I1011" s="1"/>
  <c r="I1010" s="1"/>
  <c r="G2433" i="1"/>
  <c r="G2432" s="1"/>
  <c r="G2431" s="1"/>
  <c r="I1394" i="3"/>
  <c r="I1393" s="1"/>
  <c r="H1394"/>
  <c r="H1393" s="1"/>
  <c r="I331" i="1"/>
  <c r="I330" s="1"/>
  <c r="H331"/>
  <c r="H330" s="1"/>
  <c r="I1547"/>
  <c r="H1549"/>
  <c r="I2795"/>
  <c r="H2795"/>
  <c r="I1767"/>
  <c r="H1767"/>
  <c r="I1576"/>
  <c r="H1576"/>
  <c r="I1914" i="3"/>
  <c r="I1913" s="1"/>
  <c r="I1912" s="1"/>
  <c r="H1914"/>
  <c r="H1913" s="1"/>
  <c r="H1912" s="1"/>
  <c r="G1914"/>
  <c r="G1913" s="1"/>
  <c r="G1912" s="1"/>
  <c r="I2792" i="1"/>
  <c r="I2791" s="1"/>
  <c r="I2790" s="1"/>
  <c r="H2792"/>
  <c r="H2791" s="1"/>
  <c r="H2790" s="1"/>
  <c r="G2792"/>
  <c r="G2791" s="1"/>
  <c r="G2790" s="1"/>
  <c r="I563" i="3"/>
  <c r="I562" s="1"/>
  <c r="H563"/>
  <c r="H562" s="1"/>
  <c r="G563"/>
  <c r="G562" s="1"/>
  <c r="H1402" i="1"/>
  <c r="H1401" s="1"/>
  <c r="I1402"/>
  <c r="I1401" s="1"/>
  <c r="G1402"/>
  <c r="G1401" s="1"/>
  <c r="G1179"/>
  <c r="G761" i="3" s="1"/>
  <c r="I2433" i="1"/>
  <c r="I2432" s="1"/>
  <c r="I2431" s="1"/>
  <c r="H2433"/>
  <c r="H2432" s="1"/>
  <c r="H2431" s="1"/>
  <c r="I1305" i="3"/>
  <c r="I1304" s="1"/>
  <c r="H1305"/>
  <c r="H1304" s="1"/>
  <c r="G1305"/>
  <c r="G1304" s="1"/>
  <c r="I267" i="1"/>
  <c r="I266" s="1"/>
  <c r="H267"/>
  <c r="H266" s="1"/>
  <c r="G267"/>
  <c r="G266" s="1"/>
  <c r="I1885" i="3"/>
  <c r="I1884" s="1"/>
  <c r="H1885"/>
  <c r="H1884" s="1"/>
  <c r="G1885"/>
  <c r="G1884" s="1"/>
  <c r="I2570" i="1"/>
  <c r="I2569" s="1"/>
  <c r="H2570"/>
  <c r="H2569" s="1"/>
  <c r="G2570"/>
  <c r="G2569" s="1"/>
  <c r="I1882" i="3"/>
  <c r="I1881" s="1"/>
  <c r="H1882"/>
  <c r="H1881" s="1"/>
  <c r="G1882"/>
  <c r="G1881" s="1"/>
  <c r="I3358" i="1"/>
  <c r="H3358"/>
  <c r="I3361"/>
  <c r="I3360" s="1"/>
  <c r="H3361"/>
  <c r="H3360" s="1"/>
  <c r="G3361"/>
  <c r="G3360" s="1"/>
  <c r="G3359" s="1"/>
  <c r="G3358" s="1"/>
  <c r="I1835" i="3"/>
  <c r="I1834" s="1"/>
  <c r="H1835"/>
  <c r="H1834" s="1"/>
  <c r="G1835"/>
  <c r="G1834" s="1"/>
  <c r="I2217" i="1"/>
  <c r="I2216" s="1"/>
  <c r="H2217"/>
  <c r="H2216" s="1"/>
  <c r="G2217"/>
  <c r="G2216" s="1"/>
  <c r="I1879" i="3"/>
  <c r="I1878" s="1"/>
  <c r="H1879"/>
  <c r="H1878" s="1"/>
  <c r="I2573" i="1"/>
  <c r="I2572" s="1"/>
  <c r="H2573"/>
  <c r="H2572" s="1"/>
  <c r="G2568"/>
  <c r="G2567" s="1"/>
  <c r="G2566" s="1"/>
  <c r="I2567"/>
  <c r="I2566" s="1"/>
  <c r="H2567"/>
  <c r="H2566" s="1"/>
  <c r="G2564"/>
  <c r="G2563" s="1"/>
  <c r="G2561"/>
  <c r="G2560" s="1"/>
  <c r="G2558"/>
  <c r="G2557" s="1"/>
  <c r="G2555"/>
  <c r="H2553"/>
  <c r="H2552" s="1"/>
  <c r="G2553"/>
  <c r="I2552"/>
  <c r="G2551"/>
  <c r="G2550" s="1"/>
  <c r="H2548"/>
  <c r="H2547" s="1"/>
  <c r="G2548"/>
  <c r="I2547"/>
  <c r="G2545"/>
  <c r="G2544" s="1"/>
  <c r="G2543" s="1"/>
  <c r="G2541"/>
  <c r="G2540" s="1"/>
  <c r="G1736" l="1"/>
  <c r="G1711" s="1"/>
  <c r="G1731"/>
  <c r="H2357"/>
  <c r="I2357"/>
  <c r="G1899" i="3"/>
  <c r="G1858"/>
  <c r="G159"/>
  <c r="G158" s="1"/>
  <c r="G157" s="1"/>
  <c r="T1010"/>
  <c r="G2573" i="1"/>
  <c r="G2572" s="1"/>
  <c r="G331"/>
  <c r="G330" s="1"/>
  <c r="G1628"/>
  <c r="G1627" s="1"/>
  <c r="G2265" i="3"/>
  <c r="G2264" s="1"/>
  <c r="G1500" i="1"/>
  <c r="G579"/>
  <c r="G849" i="3"/>
  <c r="G848" s="1"/>
  <c r="G847" s="1"/>
  <c r="G2500" i="1"/>
  <c r="G1563"/>
  <c r="G1562" s="1"/>
  <c r="G2363"/>
  <c r="G2356" s="1"/>
  <c r="G2185"/>
  <c r="G2176" s="1"/>
  <c r="H1500"/>
  <c r="H1499"/>
  <c r="H2189" s="1"/>
  <c r="H2188" s="1"/>
  <c r="H2185" s="1"/>
  <c r="H2176" s="1"/>
  <c r="H2160" s="1"/>
  <c r="I1499"/>
  <c r="I2189" s="1"/>
  <c r="I2188" s="1"/>
  <c r="I2185" s="1"/>
  <c r="I2176" s="1"/>
  <c r="I2160" s="1"/>
  <c r="G1013" i="3"/>
  <c r="G2552" i="1"/>
  <c r="G2547"/>
  <c r="I318" i="3"/>
  <c r="I317" s="1"/>
  <c r="H318"/>
  <c r="H317" s="1"/>
  <c r="G318"/>
  <c r="G317" s="1"/>
  <c r="G316" s="1"/>
  <c r="I1971" i="1"/>
  <c r="I1970" s="1"/>
  <c r="H1971"/>
  <c r="H1970" s="1"/>
  <c r="G1971"/>
  <c r="G1970" s="1"/>
  <c r="G1969" s="1"/>
  <c r="I325" i="3"/>
  <c r="I324" s="1"/>
  <c r="H325"/>
  <c r="H324" s="1"/>
  <c r="G325"/>
  <c r="G324" s="1"/>
  <c r="I322"/>
  <c r="I321" s="1"/>
  <c r="H322"/>
  <c r="H321" s="1"/>
  <c r="G322"/>
  <c r="G321" s="1"/>
  <c r="I1978" i="1"/>
  <c r="I1977" s="1"/>
  <c r="H1978"/>
  <c r="H1977" s="1"/>
  <c r="G1978"/>
  <c r="G1977" s="1"/>
  <c r="G1975"/>
  <c r="G1974" s="1"/>
  <c r="I1975"/>
  <c r="I1974" s="1"/>
  <c r="H1975"/>
  <c r="H1974" s="1"/>
  <c r="I899" i="3"/>
  <c r="I898" s="1"/>
  <c r="H899"/>
  <c r="H898" s="1"/>
  <c r="G899"/>
  <c r="G898" s="1"/>
  <c r="I896"/>
  <c r="I895" s="1"/>
  <c r="H896"/>
  <c r="H895" s="1"/>
  <c r="G896"/>
  <c r="G895" s="1"/>
  <c r="I893"/>
  <c r="I892" s="1"/>
  <c r="H893"/>
  <c r="H892" s="1"/>
  <c r="G893"/>
  <c r="G892" s="1"/>
  <c r="I890"/>
  <c r="I889" s="1"/>
  <c r="H890"/>
  <c r="H889" s="1"/>
  <c r="G890"/>
  <c r="G889" s="1"/>
  <c r="I887"/>
  <c r="I886" s="1"/>
  <c r="H887"/>
  <c r="H886" s="1"/>
  <c r="G887"/>
  <c r="G886" s="1"/>
  <c r="I884"/>
  <c r="I883" s="1"/>
  <c r="H884"/>
  <c r="H883" s="1"/>
  <c r="G884"/>
  <c r="G883" s="1"/>
  <c r="I881"/>
  <c r="I880" s="1"/>
  <c r="H881"/>
  <c r="H880" s="1"/>
  <c r="G881"/>
  <c r="G880" s="1"/>
  <c r="I878"/>
  <c r="I877" s="1"/>
  <c r="H878"/>
  <c r="H877" s="1"/>
  <c r="G878"/>
  <c r="G877" s="1"/>
  <c r="I875"/>
  <c r="I874" s="1"/>
  <c r="H875"/>
  <c r="H874" s="1"/>
  <c r="G875"/>
  <c r="G874" s="1"/>
  <c r="I872"/>
  <c r="I871" s="1"/>
  <c r="H872"/>
  <c r="H871" s="1"/>
  <c r="G872"/>
  <c r="G871" s="1"/>
  <c r="I869"/>
  <c r="I868" s="1"/>
  <c r="H869"/>
  <c r="H868" s="1"/>
  <c r="G869"/>
  <c r="G868" s="1"/>
  <c r="I1034" i="1"/>
  <c r="I1033" s="1"/>
  <c r="H1034"/>
  <c r="H1033" s="1"/>
  <c r="G1034"/>
  <c r="G1033" s="1"/>
  <c r="I1031"/>
  <c r="I1030" s="1"/>
  <c r="H1031"/>
  <c r="H1030" s="1"/>
  <c r="G1031"/>
  <c r="G1030" s="1"/>
  <c r="I1028"/>
  <c r="I1027" s="1"/>
  <c r="H1028"/>
  <c r="H1027" s="1"/>
  <c r="G1028"/>
  <c r="G1027" s="1"/>
  <c r="I1025"/>
  <c r="I1024" s="1"/>
  <c r="H1025"/>
  <c r="H1024" s="1"/>
  <c r="G1025"/>
  <c r="G1024" s="1"/>
  <c r="I1022"/>
  <c r="I1021" s="1"/>
  <c r="H1022"/>
  <c r="H1021" s="1"/>
  <c r="G1022"/>
  <c r="G1021" s="1"/>
  <c r="I1019"/>
  <c r="I1018" s="1"/>
  <c r="H1019"/>
  <c r="H1018" s="1"/>
  <c r="G1019"/>
  <c r="G1018" s="1"/>
  <c r="I1016"/>
  <c r="I1015" s="1"/>
  <c r="H1016"/>
  <c r="H1015" s="1"/>
  <c r="G1016"/>
  <c r="G1015" s="1"/>
  <c r="I1013"/>
  <c r="I1012" s="1"/>
  <c r="H1013"/>
  <c r="H1012" s="1"/>
  <c r="G1013"/>
  <c r="G1012" s="1"/>
  <c r="I1010"/>
  <c r="I1009" s="1"/>
  <c r="H1010"/>
  <c r="H1009" s="1"/>
  <c r="G1010"/>
  <c r="G1009" s="1"/>
  <c r="I1007"/>
  <c r="I1006" s="1"/>
  <c r="H1007"/>
  <c r="H1006" s="1"/>
  <c r="G1007"/>
  <c r="G1006" s="1"/>
  <c r="I1004"/>
  <c r="I1003" s="1"/>
  <c r="H1004"/>
  <c r="H1003" s="1"/>
  <c r="G1004"/>
  <c r="G1003" s="1"/>
  <c r="I866" i="3"/>
  <c r="I865" s="1"/>
  <c r="H866"/>
  <c r="H865" s="1"/>
  <c r="G866"/>
  <c r="G865" s="1"/>
  <c r="I863"/>
  <c r="I862" s="1"/>
  <c r="H863"/>
  <c r="H862" s="1"/>
  <c r="G863"/>
  <c r="G862" s="1"/>
  <c r="I860"/>
  <c r="I859" s="1"/>
  <c r="H860"/>
  <c r="H859" s="1"/>
  <c r="G860"/>
  <c r="G859" s="1"/>
  <c r="I857"/>
  <c r="I856" s="1"/>
  <c r="H857"/>
  <c r="H856" s="1"/>
  <c r="G857"/>
  <c r="G856" s="1"/>
  <c r="I779" i="1"/>
  <c r="I778" s="1"/>
  <c r="H779"/>
  <c r="H778" s="1"/>
  <c r="G779"/>
  <c r="G778" s="1"/>
  <c r="I776"/>
  <c r="I775" s="1"/>
  <c r="H776"/>
  <c r="H775" s="1"/>
  <c r="G776"/>
  <c r="G775" s="1"/>
  <c r="I773"/>
  <c r="I772" s="1"/>
  <c r="H773"/>
  <c r="H772" s="1"/>
  <c r="G773"/>
  <c r="G772" s="1"/>
  <c r="I770"/>
  <c r="I769" s="1"/>
  <c r="H770"/>
  <c r="H769" s="1"/>
  <c r="G770"/>
  <c r="G769" s="1"/>
  <c r="I1391" i="3"/>
  <c r="I1390" s="1"/>
  <c r="H1391"/>
  <c r="H1390" s="1"/>
  <c r="G1391"/>
  <c r="G1390" s="1"/>
  <c r="I459" i="1"/>
  <c r="I458" s="1"/>
  <c r="H459"/>
  <c r="H458" s="1"/>
  <c r="G459"/>
  <c r="G458" s="1"/>
  <c r="I1388" i="3"/>
  <c r="I1387" s="1"/>
  <c r="H1388"/>
  <c r="H1387" s="1"/>
  <c r="G1388"/>
  <c r="G1387" s="1"/>
  <c r="I456" i="1"/>
  <c r="I455" s="1"/>
  <c r="H456"/>
  <c r="H455" s="1"/>
  <c r="I1385" i="3"/>
  <c r="I1384" s="1"/>
  <c r="H1385"/>
  <c r="H1384" s="1"/>
  <c r="G1385"/>
  <c r="G1384" s="1"/>
  <c r="I453" i="1"/>
  <c r="I452" s="1"/>
  <c r="H453"/>
  <c r="H452" s="1"/>
  <c r="G453"/>
  <c r="G452" s="1"/>
  <c r="I1382" i="3"/>
  <c r="I1381" s="1"/>
  <c r="H1382"/>
  <c r="H1381" s="1"/>
  <c r="G1382"/>
  <c r="G1381" s="1"/>
  <c r="J451" i="1"/>
  <c r="I450"/>
  <c r="I449" s="1"/>
  <c r="H450"/>
  <c r="H449" s="1"/>
  <c r="G450"/>
  <c r="G449" s="1"/>
  <c r="I1379" i="3"/>
  <c r="I1378" s="1"/>
  <c r="H1379"/>
  <c r="H1378" s="1"/>
  <c r="G1379"/>
  <c r="G1378" s="1"/>
  <c r="I1376"/>
  <c r="I1375" s="1"/>
  <c r="H1376"/>
  <c r="H1375" s="1"/>
  <c r="G1376"/>
  <c r="G1375" s="1"/>
  <c r="I126" i="1"/>
  <c r="I125" s="1"/>
  <c r="H126"/>
  <c r="H125" s="1"/>
  <c r="G126"/>
  <c r="G125" s="1"/>
  <c r="I123"/>
  <c r="I122" s="1"/>
  <c r="H123"/>
  <c r="H122" s="1"/>
  <c r="G123"/>
  <c r="G122" s="1"/>
  <c r="G920"/>
  <c r="G756"/>
  <c r="G755" i="3" s="1"/>
  <c r="G719" i="1"/>
  <c r="G913"/>
  <c r="G912" s="1"/>
  <c r="I757" i="3"/>
  <c r="I756" s="1"/>
  <c r="H757"/>
  <c r="H756" s="1"/>
  <c r="I913" i="1"/>
  <c r="I912" s="1"/>
  <c r="H913"/>
  <c r="H912" s="1"/>
  <c r="I1973" l="1"/>
  <c r="I1969" s="1"/>
  <c r="G2194" i="3"/>
  <c r="G2193" s="1"/>
  <c r="H1973" i="1"/>
  <c r="H1969" s="1"/>
  <c r="G1012" i="3"/>
  <c r="G1011" s="1"/>
  <c r="G1010" s="1"/>
  <c r="G2259"/>
  <c r="I320"/>
  <c r="I316" s="1"/>
  <c r="G320"/>
  <c r="H320"/>
  <c r="H316" s="1"/>
  <c r="G1973" i="1"/>
  <c r="G758" i="3"/>
  <c r="G757" s="1"/>
  <c r="G756" s="1"/>
  <c r="G456" i="1"/>
  <c r="G455" s="1"/>
  <c r="G152" i="3"/>
  <c r="I151"/>
  <c r="I150" s="1"/>
  <c r="H151"/>
  <c r="H150" s="1"/>
  <c r="G156"/>
  <c r="I577" i="1"/>
  <c r="I575" s="1"/>
  <c r="H577"/>
  <c r="H576" s="1"/>
  <c r="G577"/>
  <c r="G575" s="1"/>
  <c r="I573"/>
  <c r="I572" s="1"/>
  <c r="H573"/>
  <c r="H572" s="1"/>
  <c r="G573"/>
  <c r="G572" s="1"/>
  <c r="H1542"/>
  <c r="I1542"/>
  <c r="I1535"/>
  <c r="H1535"/>
  <c r="I1527"/>
  <c r="H1527"/>
  <c r="K1545"/>
  <c r="J1545"/>
  <c r="G2192" i="3" l="1"/>
  <c r="G151"/>
  <c r="G149" s="1"/>
  <c r="I149"/>
  <c r="G576" i="1"/>
  <c r="I576"/>
  <c r="H571"/>
  <c r="H570" s="1"/>
  <c r="G571"/>
  <c r="H149" i="3"/>
  <c r="H575" i="1"/>
  <c r="I571"/>
  <c r="I570" s="1"/>
  <c r="G150" i="3" l="1"/>
  <c r="J1644" i="1"/>
  <c r="J1994"/>
  <c r="J2368"/>
  <c r="G1616" i="3"/>
  <c r="G1615" s="1"/>
  <c r="G1614" s="1"/>
  <c r="I1615"/>
  <c r="I1614" s="1"/>
  <c r="H1615"/>
  <c r="H1614" s="1"/>
  <c r="I1646" i="1"/>
  <c r="H1646"/>
  <c r="G1646"/>
  <c r="G1645" s="1"/>
  <c r="G1613" i="3"/>
  <c r="G1612" s="1"/>
  <c r="G1611" s="1"/>
  <c r="I1612"/>
  <c r="I1611" s="1"/>
  <c r="H1612"/>
  <c r="H1611" s="1"/>
  <c r="I1643" i="1"/>
  <c r="I1642" s="1"/>
  <c r="H1643"/>
  <c r="H1642" s="1"/>
  <c r="G1643"/>
  <c r="G1642" s="1"/>
  <c r="J630"/>
  <c r="J442"/>
  <c r="J675"/>
  <c r="G855" i="3"/>
  <c r="I758" i="1"/>
  <c r="I757" s="1"/>
  <c r="H758"/>
  <c r="H757" s="1"/>
  <c r="G758"/>
  <c r="G757" s="1"/>
  <c r="I1645" l="1"/>
  <c r="I2353"/>
  <c r="I2352" s="1"/>
  <c r="I2345" s="1"/>
  <c r="H1645"/>
  <c r="H2353"/>
  <c r="H2352" s="1"/>
  <c r="H2345" s="1"/>
  <c r="J2350" i="3"/>
  <c r="K2350"/>
  <c r="M2350"/>
  <c r="N2350"/>
  <c r="O2350"/>
  <c r="H1580"/>
  <c r="H1579" s="1"/>
  <c r="H1578" s="1"/>
  <c r="I1580"/>
  <c r="I1579" s="1"/>
  <c r="I1578" s="1"/>
  <c r="G1580"/>
  <c r="G1579" s="1"/>
  <c r="G1578" s="1"/>
  <c r="I1848" i="1"/>
  <c r="I1847" s="1"/>
  <c r="H1848"/>
  <c r="H1847" s="1"/>
  <c r="G1848"/>
  <c r="G1847" s="1"/>
  <c r="J1548" i="3"/>
  <c r="K1548"/>
  <c r="L1548"/>
  <c r="M1548"/>
  <c r="N1548"/>
  <c r="O1548"/>
  <c r="H1577"/>
  <c r="H1576" s="1"/>
  <c r="H1575" s="1"/>
  <c r="I1577"/>
  <c r="I1576" s="1"/>
  <c r="I1575" s="1"/>
  <c r="G1577"/>
  <c r="G1576" s="1"/>
  <c r="G1575" s="1"/>
  <c r="I1845" i="1"/>
  <c r="I1844" s="1"/>
  <c r="H1845"/>
  <c r="H1844" s="1"/>
  <c r="G1845"/>
  <c r="G1844" s="1"/>
  <c r="I1839"/>
  <c r="H1839"/>
  <c r="I314" i="3"/>
  <c r="I313" s="1"/>
  <c r="H314"/>
  <c r="H313" s="1"/>
  <c r="G314"/>
  <c r="G313" s="1"/>
  <c r="H1967" i="1"/>
  <c r="H1966" s="1"/>
  <c r="I1967"/>
  <c r="I1966" s="1"/>
  <c r="G1967"/>
  <c r="G1966" s="1"/>
  <c r="H1937"/>
  <c r="I632"/>
  <c r="I630" s="1"/>
  <c r="I629" s="1"/>
  <c r="H632"/>
  <c r="H631" s="1"/>
  <c r="G632"/>
  <c r="G631" s="1"/>
  <c r="I155" i="3"/>
  <c r="I154" s="1"/>
  <c r="H155"/>
  <c r="H154" s="1"/>
  <c r="G155"/>
  <c r="G154" s="1"/>
  <c r="I647" i="1"/>
  <c r="I645" s="1"/>
  <c r="H647"/>
  <c r="H646" s="1"/>
  <c r="G647"/>
  <c r="G645" s="1"/>
  <c r="G644" s="1"/>
  <c r="I560" i="3"/>
  <c r="I559" s="1"/>
  <c r="H560"/>
  <c r="H559" s="1"/>
  <c r="G560"/>
  <c r="G559" s="1"/>
  <c r="G551"/>
  <c r="G567"/>
  <c r="G566" s="1"/>
  <c r="G565" s="1"/>
  <c r="I567"/>
  <c r="I566" s="1"/>
  <c r="I565" s="1"/>
  <c r="H1143" i="1"/>
  <c r="H1142" s="1"/>
  <c r="I1143"/>
  <c r="I1142" s="1"/>
  <c r="G1143"/>
  <c r="G1142" s="1"/>
  <c r="I153" i="3" l="1"/>
  <c r="H153"/>
  <c r="G646" i="1"/>
  <c r="H630"/>
  <c r="H629" s="1"/>
  <c r="I631"/>
  <c r="G630"/>
  <c r="G629" s="1"/>
  <c r="H645"/>
  <c r="I646"/>
  <c r="G153" i="3"/>
  <c r="I1141" i="1"/>
  <c r="H1141"/>
  <c r="I1769"/>
  <c r="H1769"/>
  <c r="G2179"/>
  <c r="G2178" s="1"/>
  <c r="G2177" s="1"/>
  <c r="H1952" i="3"/>
  <c r="I1952"/>
  <c r="J1752" i="1" l="1"/>
  <c r="G2064" i="3"/>
  <c r="I1601" i="1"/>
  <c r="I1600" s="1"/>
  <c r="H1601"/>
  <c r="H1600" s="1"/>
  <c r="G1601"/>
  <c r="G1600" s="1"/>
  <c r="I2316" i="3"/>
  <c r="H2316"/>
  <c r="H81" i="2"/>
  <c r="G81"/>
  <c r="I2128" i="1"/>
  <c r="H1443"/>
  <c r="J1939" i="3"/>
  <c r="K1939"/>
  <c r="L1939"/>
  <c r="M1939"/>
  <c r="N1939"/>
  <c r="O1939"/>
  <c r="G1974"/>
  <c r="G1973" s="1"/>
  <c r="I1971"/>
  <c r="I1970" s="1"/>
  <c r="H1971"/>
  <c r="H1970" s="1"/>
  <c r="G1971"/>
  <c r="G1970" s="1"/>
  <c r="I1968"/>
  <c r="H1968"/>
  <c r="G1968"/>
  <c r="I1963"/>
  <c r="I1962" s="1"/>
  <c r="H1963"/>
  <c r="H1962" s="1"/>
  <c r="G1962"/>
  <c r="I1959"/>
  <c r="I1956" s="1"/>
  <c r="I1955" s="1"/>
  <c r="H1959"/>
  <c r="H1956" s="1"/>
  <c r="H1955" s="1"/>
  <c r="G1959"/>
  <c r="G1956" s="1"/>
  <c r="G1955" s="1"/>
  <c r="I1954"/>
  <c r="I1953" s="1"/>
  <c r="H1954"/>
  <c r="H1953" s="1"/>
  <c r="G1954"/>
  <c r="G1953" s="1"/>
  <c r="I2493" i="1"/>
  <c r="H2493"/>
  <c r="G2492"/>
  <c r="I2489"/>
  <c r="I2488" s="1"/>
  <c r="H2489"/>
  <c r="H2488" s="1"/>
  <c r="G2489"/>
  <c r="G2488" s="1"/>
  <c r="I2486"/>
  <c r="H2486"/>
  <c r="G2486"/>
  <c r="I2484"/>
  <c r="H2484"/>
  <c r="G2484"/>
  <c r="I2481"/>
  <c r="I2480" s="1"/>
  <c r="H2481"/>
  <c r="H2480" s="1"/>
  <c r="G2480"/>
  <c r="I2477"/>
  <c r="I2474" s="1"/>
  <c r="I2473" s="1"/>
  <c r="H2477"/>
  <c r="H2474" s="1"/>
  <c r="H2473" s="1"/>
  <c r="G2477"/>
  <c r="G2474" s="1"/>
  <c r="G2473" s="1"/>
  <c r="I2472"/>
  <c r="I2471" s="1"/>
  <c r="H2472"/>
  <c r="H2471" s="1"/>
  <c r="G2472"/>
  <c r="G2471" s="1"/>
  <c r="G2491" l="1"/>
  <c r="G2180" i="3"/>
  <c r="G2179" s="1"/>
  <c r="I2492" i="1"/>
  <c r="I2491" s="1"/>
  <c r="I1975" i="3"/>
  <c r="H2492" i="1"/>
  <c r="H2491" s="1"/>
  <c r="H1975" i="3"/>
  <c r="H2483" i="1"/>
  <c r="I2483"/>
  <c r="G2483"/>
  <c r="G2261" i="3"/>
  <c r="G2260" s="1"/>
  <c r="G2254" s="1"/>
  <c r="H1974" l="1"/>
  <c r="H1973" s="1"/>
  <c r="H1961" s="1"/>
  <c r="I1974"/>
  <c r="I1973" s="1"/>
  <c r="I1961" s="1"/>
  <c r="H2479" i="1"/>
  <c r="P1941" i="3"/>
  <c r="I2479" i="1"/>
  <c r="I249" i="3"/>
  <c r="I248" s="1"/>
  <c r="H249"/>
  <c r="H248" s="1"/>
  <c r="G249"/>
  <c r="G248" s="1"/>
  <c r="I246"/>
  <c r="I245" s="1"/>
  <c r="H246"/>
  <c r="H245" s="1"/>
  <c r="G246"/>
  <c r="G245" s="1"/>
  <c r="I2612" i="1"/>
  <c r="I2611" s="1"/>
  <c r="I2610" s="1"/>
  <c r="H2612"/>
  <c r="H2611" s="1"/>
  <c r="H2610" s="1"/>
  <c r="G2612"/>
  <c r="G2611" s="1"/>
  <c r="G2610" s="1"/>
  <c r="I1626" l="1"/>
  <c r="H1626"/>
  <c r="I1516"/>
  <c r="H1516"/>
  <c r="G1626"/>
  <c r="G222" l="1"/>
  <c r="I519" i="3"/>
  <c r="I518" s="1"/>
  <c r="H519"/>
  <c r="H518" s="1"/>
  <c r="G519"/>
  <c r="G518" s="1"/>
  <c r="I2150" i="1"/>
  <c r="I2149" s="1"/>
  <c r="H2150"/>
  <c r="H2149" s="1"/>
  <c r="G2150"/>
  <c r="G2149" s="1"/>
  <c r="H2103" l="1"/>
  <c r="I2052"/>
  <c r="H2052"/>
  <c r="H1659"/>
  <c r="H1656"/>
  <c r="I847"/>
  <c r="H847"/>
  <c r="I689"/>
  <c r="H689"/>
  <c r="I1598"/>
  <c r="I1597" s="1"/>
  <c r="H1598"/>
  <c r="H1597" s="1"/>
  <c r="G1598"/>
  <c r="G1597" s="1"/>
  <c r="I1595"/>
  <c r="H1595"/>
  <c r="G1595"/>
  <c r="G1594" s="1"/>
  <c r="I1443"/>
  <c r="I1147"/>
  <c r="H2315" i="3"/>
  <c r="H2314" s="1"/>
  <c r="I2315"/>
  <c r="I2314" s="1"/>
  <c r="G2315"/>
  <c r="G2314" s="1"/>
  <c r="H2313"/>
  <c r="H2312" s="1"/>
  <c r="G2313"/>
  <c r="G2312" s="1"/>
  <c r="H683" i="1"/>
  <c r="H567" i="3" s="1"/>
  <c r="H566" s="1"/>
  <c r="H565" s="1"/>
  <c r="H807" i="1"/>
  <c r="I599"/>
  <c r="H599"/>
  <c r="I377"/>
  <c r="H377"/>
  <c r="I175"/>
  <c r="H175"/>
  <c r="I2080"/>
  <c r="H2080"/>
  <c r="I2101" i="3"/>
  <c r="I2100" s="1"/>
  <c r="H2100"/>
  <c r="G2101"/>
  <c r="G2100" s="1"/>
  <c r="I2098"/>
  <c r="I2097" s="1"/>
  <c r="H2098"/>
  <c r="H2097" s="1"/>
  <c r="G2098"/>
  <c r="G2097" s="1"/>
  <c r="H287"/>
  <c r="I287"/>
  <c r="G287"/>
  <c r="I3336" i="1"/>
  <c r="I3335" s="1"/>
  <c r="I3334" s="1"/>
  <c r="I3333" s="1"/>
  <c r="I3332" s="1"/>
  <c r="I3331" s="1"/>
  <c r="H3336"/>
  <c r="H3335" s="1"/>
  <c r="H3334" s="1"/>
  <c r="H3333" s="1"/>
  <c r="H3332" s="1"/>
  <c r="H3331" s="1"/>
  <c r="G3336"/>
  <c r="G3335" s="1"/>
  <c r="G3334" s="1"/>
  <c r="G3333" s="1"/>
  <c r="I1594" l="1"/>
  <c r="I1593" s="1"/>
  <c r="I1592" s="1"/>
  <c r="I2367"/>
  <c r="I2366" s="1"/>
  <c r="I2363" s="1"/>
  <c r="I2356" s="1"/>
  <c r="I2341" s="1"/>
  <c r="I2338" s="1"/>
  <c r="I2308" s="1"/>
  <c r="H1594"/>
  <c r="H1593" s="1"/>
  <c r="H1592" s="1"/>
  <c r="H2367"/>
  <c r="H2366" s="1"/>
  <c r="H2363" s="1"/>
  <c r="H2356" s="1"/>
  <c r="H2341" s="1"/>
  <c r="H2338" s="1"/>
  <c r="H2308" s="1"/>
  <c r="G1593"/>
  <c r="G1592" s="1"/>
  <c r="H2311" i="3"/>
  <c r="H2309" s="1"/>
  <c r="G2311"/>
  <c r="G2309" s="1"/>
  <c r="G3332" i="1"/>
  <c r="G3331" s="1"/>
  <c r="I1829" i="3"/>
  <c r="J1779" i="1"/>
  <c r="J1902"/>
  <c r="J2091"/>
  <c r="J2730"/>
  <c r="H1703" i="3"/>
  <c r="H1702" s="1"/>
  <c r="I1703"/>
  <c r="I1702" s="1"/>
  <c r="H1985"/>
  <c r="I1985"/>
  <c r="I1697"/>
  <c r="I1696" s="1"/>
  <c r="H1697"/>
  <c r="H1696" s="1"/>
  <c r="G1697"/>
  <c r="G1696" s="1"/>
  <c r="H2537" i="1"/>
  <c r="H2536" s="1"/>
  <c r="I2537"/>
  <c r="I2536" s="1"/>
  <c r="G1703" i="3"/>
  <c r="G1702" s="1"/>
  <c r="G2537" i="1"/>
  <c r="G2536" s="1"/>
  <c r="I2269"/>
  <c r="I2268" s="1"/>
  <c r="H2269"/>
  <c r="H2268" s="1"/>
  <c r="G2269"/>
  <c r="G2268" s="1"/>
  <c r="I1677" i="3"/>
  <c r="I1676" s="1"/>
  <c r="H1677"/>
  <c r="H1676" s="1"/>
  <c r="G1677"/>
  <c r="G1676" s="1"/>
  <c r="I2114" i="1"/>
  <c r="I2113" s="1"/>
  <c r="H2114"/>
  <c r="H2113" s="1"/>
  <c r="G2114"/>
  <c r="G2113" s="1"/>
  <c r="I1611"/>
  <c r="H1611"/>
  <c r="J1489"/>
  <c r="H1517"/>
  <c r="I1517"/>
  <c r="I1768"/>
  <c r="H1768"/>
  <c r="G1768"/>
  <c r="I1766"/>
  <c r="H1766"/>
  <c r="G1766"/>
  <c r="H1765" l="1"/>
  <c r="H1763" s="1"/>
  <c r="H1753" s="1"/>
  <c r="H1752" s="1"/>
  <c r="I1765"/>
  <c r="I1763" s="1"/>
  <c r="I1753" s="1"/>
  <c r="I1752" s="1"/>
  <c r="G1765"/>
  <c r="G1763" s="1"/>
  <c r="H1951" i="3"/>
  <c r="I1951"/>
  <c r="G1951"/>
  <c r="G1950" s="1"/>
  <c r="H1899"/>
  <c r="I1899"/>
  <c r="G2306"/>
  <c r="G2305" s="1"/>
  <c r="I56" i="2"/>
  <c r="I2313" i="3"/>
  <c r="I2312" s="1"/>
  <c r="I2311" s="1"/>
  <c r="I2309" s="1"/>
  <c r="H2308"/>
  <c r="H2307" s="1"/>
  <c r="I3325" i="1"/>
  <c r="I3324"/>
  <c r="I2306" i="3" s="1"/>
  <c r="I2305" s="1"/>
  <c r="H3324" i="1"/>
  <c r="H2306" i="3" s="1"/>
  <c r="H2305" s="1"/>
  <c r="I3354" i="1"/>
  <c r="I3348" s="1"/>
  <c r="I3347" s="1"/>
  <c r="H3354"/>
  <c r="H3353" s="1"/>
  <c r="H3349" s="1"/>
  <c r="G3354"/>
  <c r="G3353" s="1"/>
  <c r="I3367"/>
  <c r="I3366" s="1"/>
  <c r="I3365" s="1"/>
  <c r="I3364" s="1"/>
  <c r="I3363" s="1"/>
  <c r="I2883" s="1"/>
  <c r="H3367"/>
  <c r="H3366" s="1"/>
  <c r="H3365" s="1"/>
  <c r="H3364" s="1"/>
  <c r="H3363" s="1"/>
  <c r="H2883" s="1"/>
  <c r="G3367"/>
  <c r="G3366" s="1"/>
  <c r="G3365" s="1"/>
  <c r="G3364" s="1"/>
  <c r="G3363" s="1"/>
  <c r="G2883" s="1"/>
  <c r="G3325"/>
  <c r="G2169" s="1"/>
  <c r="G2168" s="1"/>
  <c r="I3329"/>
  <c r="H3329"/>
  <c r="G3329"/>
  <c r="G3327"/>
  <c r="G3323"/>
  <c r="G1604" i="3"/>
  <c r="H1587"/>
  <c r="I1864" i="1"/>
  <c r="I1862" s="1"/>
  <c r="H1864"/>
  <c r="H1862" s="1"/>
  <c r="G1864"/>
  <c r="G1862" s="1"/>
  <c r="I504" i="3"/>
  <c r="I503" s="1"/>
  <c r="H504"/>
  <c r="H503" s="1"/>
  <c r="G504"/>
  <c r="G503" s="1"/>
  <c r="I2147" i="1"/>
  <c r="I2146" s="1"/>
  <c r="H2147"/>
  <c r="H2146" s="1"/>
  <c r="G2147"/>
  <c r="G2145" s="1"/>
  <c r="G1110" i="3"/>
  <c r="G1109" s="1"/>
  <c r="I1109"/>
  <c r="I1108" s="1"/>
  <c r="H1109"/>
  <c r="H1107" s="1"/>
  <c r="I2647" i="1"/>
  <c r="I2646" s="1"/>
  <c r="H2647"/>
  <c r="H2646" s="1"/>
  <c r="G2647"/>
  <c r="G2645" s="1"/>
  <c r="G1947" i="3"/>
  <c r="I1946"/>
  <c r="I1944" s="1"/>
  <c r="H1946"/>
  <c r="H1944" s="1"/>
  <c r="I2461" i="1"/>
  <c r="I2460" s="1"/>
  <c r="H2461"/>
  <c r="H2460" s="1"/>
  <c r="G2461"/>
  <c r="G1943" i="3"/>
  <c r="I1942"/>
  <c r="I1940" s="1"/>
  <c r="H1942"/>
  <c r="H1941" s="1"/>
  <c r="I461"/>
  <c r="I460" s="1"/>
  <c r="H461"/>
  <c r="H460" s="1"/>
  <c r="G461"/>
  <c r="G459" s="1"/>
  <c r="I1993" i="1"/>
  <c r="I1992" s="1"/>
  <c r="H1993"/>
  <c r="H1992" s="1"/>
  <c r="G1993"/>
  <c r="G1991" s="1"/>
  <c r="I457" i="3"/>
  <c r="I455" s="1"/>
  <c r="H457"/>
  <c r="H456" s="1"/>
  <c r="G457"/>
  <c r="G455" s="1"/>
  <c r="I1989" i="1"/>
  <c r="I1988" s="1"/>
  <c r="H1989"/>
  <c r="H1987" s="1"/>
  <c r="G1989"/>
  <c r="G1988" s="1"/>
  <c r="I453" i="3"/>
  <c r="I452" s="1"/>
  <c r="H453"/>
  <c r="H452" s="1"/>
  <c r="G453"/>
  <c r="G451" s="1"/>
  <c r="I1985" i="1"/>
  <c r="I1984" s="1"/>
  <c r="H1985"/>
  <c r="H1983" s="1"/>
  <c r="G1985"/>
  <c r="G1983" s="1"/>
  <c r="G450" i="3"/>
  <c r="I449"/>
  <c r="I447" s="1"/>
  <c r="H449"/>
  <c r="H448" s="1"/>
  <c r="I1981" i="1"/>
  <c r="H1981"/>
  <c r="H1980" s="1"/>
  <c r="G1981"/>
  <c r="G1965" s="1"/>
  <c r="I1861" i="3"/>
  <c r="I1860" s="1"/>
  <c r="H1861"/>
  <c r="H1860" s="1"/>
  <c r="G1861"/>
  <c r="G1857" s="1"/>
  <c r="I2236" i="1"/>
  <c r="I2232" s="1"/>
  <c r="H2236"/>
  <c r="H2235" s="1"/>
  <c r="G2236"/>
  <c r="G2232" s="1"/>
  <c r="I1855" i="3"/>
  <c r="I1853" s="1"/>
  <c r="H1855"/>
  <c r="H1854" s="1"/>
  <c r="G1855"/>
  <c r="I2230" i="1"/>
  <c r="I2229" s="1"/>
  <c r="H2230"/>
  <c r="H2229" s="1"/>
  <c r="G2230"/>
  <c r="I2457"/>
  <c r="I2455" s="1"/>
  <c r="H2457"/>
  <c r="H2455" s="1"/>
  <c r="G2457"/>
  <c r="G2455" s="1"/>
  <c r="G1852" i="3"/>
  <c r="I1851"/>
  <c r="I1849" s="1"/>
  <c r="H1851"/>
  <c r="H1849" s="1"/>
  <c r="I2227" i="1"/>
  <c r="I2225" s="1"/>
  <c r="H2227"/>
  <c r="H2225" s="1"/>
  <c r="G2227"/>
  <c r="G2225" s="1"/>
  <c r="I1847" i="3"/>
  <c r="I1846" s="1"/>
  <c r="H1847"/>
  <c r="H1830" s="1"/>
  <c r="I2223" i="1"/>
  <c r="I2209" s="1"/>
  <c r="H2223"/>
  <c r="H2209" s="1"/>
  <c r="G2223"/>
  <c r="G2209" s="1"/>
  <c r="I2111"/>
  <c r="I2110" s="1"/>
  <c r="H2111"/>
  <c r="H2110" s="1"/>
  <c r="G2111"/>
  <c r="G2110" s="1"/>
  <c r="G1939" i="3" l="1"/>
  <c r="G3349" i="1"/>
  <c r="G3348" s="1"/>
  <c r="G3347" s="1"/>
  <c r="G452" i="3"/>
  <c r="G1860"/>
  <c r="G1942"/>
  <c r="G1940" s="1"/>
  <c r="T1941"/>
  <c r="G2229" i="1"/>
  <c r="G1853" i="3"/>
  <c r="G1854"/>
  <c r="P1868" s="1"/>
  <c r="G2459" i="1"/>
  <c r="G2460"/>
  <c r="G1587" i="3"/>
  <c r="H1945"/>
  <c r="H3325" i="1"/>
  <c r="G1847" i="3"/>
  <c r="G1830" s="1"/>
  <c r="Q2329"/>
  <c r="Q2331" s="1"/>
  <c r="P1862"/>
  <c r="G449"/>
  <c r="G447" s="1"/>
  <c r="P462"/>
  <c r="R462" s="1"/>
  <c r="G1946"/>
  <c r="G1945" s="1"/>
  <c r="H3323" i="1"/>
  <c r="H1950" i="3"/>
  <c r="H1939" s="1"/>
  <c r="I1950"/>
  <c r="I1939" s="1"/>
  <c r="H3348" i="1"/>
  <c r="H3347" s="1"/>
  <c r="G1851" i="3"/>
  <c r="G1849" s="1"/>
  <c r="G2308"/>
  <c r="G2307" s="1"/>
  <c r="G2304" s="1"/>
  <c r="I3323" i="1"/>
  <c r="I3322" s="1"/>
  <c r="I3321" s="1"/>
  <c r="I3320" s="1"/>
  <c r="I3319" s="1"/>
  <c r="I1965"/>
  <c r="G460" i="3"/>
  <c r="I2308"/>
  <c r="I2307" s="1"/>
  <c r="I2304" s="1"/>
  <c r="H1108"/>
  <c r="I2235" i="1"/>
  <c r="I2145"/>
  <c r="G1843"/>
  <c r="H1843"/>
  <c r="I1945" i="3"/>
  <c r="I1941"/>
  <c r="I1854"/>
  <c r="I1587"/>
  <c r="I456"/>
  <c r="I448"/>
  <c r="H2304"/>
  <c r="I1527"/>
  <c r="H1527"/>
  <c r="G1527"/>
  <c r="J3331" i="1"/>
  <c r="I2459"/>
  <c r="I2454" s="1"/>
  <c r="G2146"/>
  <c r="I1843"/>
  <c r="H1984"/>
  <c r="I1991"/>
  <c r="I2645"/>
  <c r="G2226"/>
  <c r="G3322"/>
  <c r="I3353"/>
  <c r="I3349" s="1"/>
  <c r="H2145"/>
  <c r="I2456"/>
  <c r="G1107" i="3"/>
  <c r="G1108"/>
  <c r="I1107"/>
  <c r="G2646" i="1"/>
  <c r="H2645"/>
  <c r="H2459"/>
  <c r="H2454" s="1"/>
  <c r="H1940" i="3"/>
  <c r="I1857"/>
  <c r="I451"/>
  <c r="I459"/>
  <c r="G456"/>
  <c r="H1988" i="1"/>
  <c r="G1987"/>
  <c r="H459" i="3"/>
  <c r="G1992" i="1"/>
  <c r="H1991"/>
  <c r="H455" i="3"/>
  <c r="I1987" i="1"/>
  <c r="H451" i="3"/>
  <c r="G1984" i="1"/>
  <c r="I1983"/>
  <c r="H447" i="3"/>
  <c r="I2226" i="1"/>
  <c r="G2456"/>
  <c r="H1846" i="3"/>
  <c r="H2226" i="1"/>
  <c r="H2456"/>
  <c r="G1980"/>
  <c r="H1965"/>
  <c r="H1857" i="3"/>
  <c r="G2235" i="1"/>
  <c r="H2232"/>
  <c r="H1853" i="3"/>
  <c r="H1850"/>
  <c r="I1850"/>
  <c r="I1830"/>
  <c r="G2222" i="1"/>
  <c r="I2222"/>
  <c r="H2222"/>
  <c r="G3321" l="1"/>
  <c r="G3320" s="1"/>
  <c r="G3319" s="1"/>
  <c r="J2888" s="1"/>
  <c r="G2200" i="3"/>
  <c r="G2199" s="1"/>
  <c r="G2454" i="1"/>
  <c r="P1865" i="3"/>
  <c r="G1941"/>
  <c r="H3322" i="1"/>
  <c r="H3321" s="1"/>
  <c r="H3320" s="1"/>
  <c r="H3319" s="1"/>
  <c r="H3377" s="1"/>
  <c r="G1846" i="3"/>
  <c r="G448"/>
  <c r="G1944"/>
  <c r="G1850"/>
  <c r="I3377" i="1"/>
  <c r="I551"/>
  <c r="H551"/>
  <c r="T1939" i="3" l="1"/>
  <c r="G3377" i="1"/>
  <c r="O3377" s="1"/>
  <c r="G212"/>
  <c r="G1285" i="3"/>
  <c r="G1284" s="1"/>
  <c r="I1284"/>
  <c r="H1284"/>
  <c r="I300" i="1"/>
  <c r="H300"/>
  <c r="G300"/>
  <c r="G1371" i="3"/>
  <c r="G1370" s="1"/>
  <c r="G1369" s="1"/>
  <c r="I441" i="1"/>
  <c r="I440" s="1"/>
  <c r="H441"/>
  <c r="H440" s="1"/>
  <c r="G441"/>
  <c r="G440" s="1"/>
  <c r="I1370" i="3"/>
  <c r="I1369" s="1"/>
  <c r="H1370"/>
  <c r="H1369" s="1"/>
  <c r="I1246"/>
  <c r="H1246"/>
  <c r="G1246"/>
  <c r="H249" i="1"/>
  <c r="I249"/>
  <c r="G249"/>
  <c r="I477"/>
  <c r="H477"/>
  <c r="H354"/>
  <c r="I354"/>
  <c r="G354"/>
  <c r="G474"/>
  <c r="H1232" i="3" l="1"/>
  <c r="H1231" s="1"/>
  <c r="H1230" s="1"/>
  <c r="I1232"/>
  <c r="I1231" s="1"/>
  <c r="I1230" s="1"/>
  <c r="G1231"/>
  <c r="G1230" s="1"/>
  <c r="H1229"/>
  <c r="H1228" s="1"/>
  <c r="H1227" s="1"/>
  <c r="I1229"/>
  <c r="I1228" s="1"/>
  <c r="I1227" s="1"/>
  <c r="J1229"/>
  <c r="K1229"/>
  <c r="L1229"/>
  <c r="M1229"/>
  <c r="N1229"/>
  <c r="O1229"/>
  <c r="G1229"/>
  <c r="G1228" s="1"/>
  <c r="G1227" s="1"/>
  <c r="I409" i="1"/>
  <c r="I408" s="1"/>
  <c r="H409"/>
  <c r="H408" s="1"/>
  <c r="G409"/>
  <c r="G408" s="1"/>
  <c r="I406"/>
  <c r="I405" s="1"/>
  <c r="H406"/>
  <c r="H405" s="1"/>
  <c r="G406"/>
  <c r="G405" s="1"/>
  <c r="H1226" i="3"/>
  <c r="H1225" s="1"/>
  <c r="H1224" s="1"/>
  <c r="I1226"/>
  <c r="I1225" s="1"/>
  <c r="I1224" s="1"/>
  <c r="G1226"/>
  <c r="G1225" s="1"/>
  <c r="G1224" s="1"/>
  <c r="I403" i="1"/>
  <c r="I402" s="1"/>
  <c r="H403"/>
  <c r="H402" s="1"/>
  <c r="G403"/>
  <c r="G402" s="1"/>
  <c r="H1223" i="3"/>
  <c r="H1222" s="1"/>
  <c r="H1221" s="1"/>
  <c r="I1223"/>
  <c r="I1222" s="1"/>
  <c r="I1221" s="1"/>
  <c r="G1223"/>
  <c r="G1222" s="1"/>
  <c r="G1221" s="1"/>
  <c r="I400" i="1"/>
  <c r="I399" s="1"/>
  <c r="H400"/>
  <c r="H399" s="1"/>
  <c r="G400"/>
  <c r="G399" s="1"/>
  <c r="H1220" i="3"/>
  <c r="H1219" s="1"/>
  <c r="H1218" s="1"/>
  <c r="I1220"/>
  <c r="I1219" s="1"/>
  <c r="I1218" s="1"/>
  <c r="G1220"/>
  <c r="G1219" s="1"/>
  <c r="G1218" s="1"/>
  <c r="I397" i="1"/>
  <c r="I396" s="1"/>
  <c r="H397"/>
  <c r="H396" s="1"/>
  <c r="G397"/>
  <c r="G396" s="1"/>
  <c r="H1217" i="3"/>
  <c r="H1216" s="1"/>
  <c r="H1215" s="1"/>
  <c r="I1217"/>
  <c r="I1216" s="1"/>
  <c r="I1215" s="1"/>
  <c r="G1217"/>
  <c r="G1216" s="1"/>
  <c r="G1215" s="1"/>
  <c r="I394" i="1"/>
  <c r="I393" s="1"/>
  <c r="H394"/>
  <c r="H393" s="1"/>
  <c r="G394"/>
  <c r="G393" s="1"/>
  <c r="H1214" i="3"/>
  <c r="I1214"/>
  <c r="G1214"/>
  <c r="H1155"/>
  <c r="I1155"/>
  <c r="G1155"/>
  <c r="H222" i="1"/>
  <c r="I222"/>
  <c r="G221"/>
  <c r="H37" i="3"/>
  <c r="I37"/>
  <c r="G37"/>
  <c r="I515" i="1"/>
  <c r="I514" s="1"/>
  <c r="I513" s="1"/>
  <c r="I511" s="1"/>
  <c r="I510" s="1"/>
  <c r="H515"/>
  <c r="H514" s="1"/>
  <c r="H513" s="1"/>
  <c r="H511" s="1"/>
  <c r="H510" s="1"/>
  <c r="G515"/>
  <c r="G514" s="1"/>
  <c r="G513" s="1"/>
  <c r="H1439" i="3"/>
  <c r="I1439"/>
  <c r="I539" i="1"/>
  <c r="I538" s="1"/>
  <c r="I537" s="1"/>
  <c r="I536" s="1"/>
  <c r="H539"/>
  <c r="H538" s="1"/>
  <c r="H537" s="1"/>
  <c r="H536" s="1"/>
  <c r="G539"/>
  <c r="G538" s="1"/>
  <c r="G537" s="1"/>
  <c r="T1436" i="3" s="1"/>
  <c r="G535" i="1"/>
  <c r="G534" s="1"/>
  <c r="G533" s="1"/>
  <c r="G532" s="1"/>
  <c r="I534"/>
  <c r="I533" s="1"/>
  <c r="I532" s="1"/>
  <c r="H534"/>
  <c r="H533" s="1"/>
  <c r="H532" s="1"/>
  <c r="G530"/>
  <c r="G529" s="1"/>
  <c r="I529"/>
  <c r="H529"/>
  <c r="G527"/>
  <c r="I525"/>
  <c r="I524" s="1"/>
  <c r="H525"/>
  <c r="H524" s="1"/>
  <c r="G525"/>
  <c r="G524" s="1"/>
  <c r="H1175" i="3"/>
  <c r="I1175"/>
  <c r="G1175"/>
  <c r="H1171"/>
  <c r="I1171"/>
  <c r="G1171"/>
  <c r="H350" i="1"/>
  <c r="I350"/>
  <c r="G350"/>
  <c r="G349" s="1"/>
  <c r="I286"/>
  <c r="H286"/>
  <c r="G286"/>
  <c r="G285" s="1"/>
  <c r="H1245" i="3"/>
  <c r="I1245"/>
  <c r="G1245"/>
  <c r="I227" i="1"/>
  <c r="I226" s="1"/>
  <c r="I225" s="1"/>
  <c r="H227"/>
  <c r="H226" s="1"/>
  <c r="H225" s="1"/>
  <c r="H1475" i="3"/>
  <c r="I1475"/>
  <c r="G1475"/>
  <c r="I174" i="1"/>
  <c r="I173" s="1"/>
  <c r="I172" s="1"/>
  <c r="I935" i="3" s="1"/>
  <c r="I934" s="1"/>
  <c r="H174" i="1"/>
  <c r="H173" s="1"/>
  <c r="H172" s="1"/>
  <c r="H935" i="3" s="1"/>
  <c r="H934" s="1"/>
  <c r="G174" i="1"/>
  <c r="G173" s="1"/>
  <c r="I170"/>
  <c r="I169" s="1"/>
  <c r="H170"/>
  <c r="H169" s="1"/>
  <c r="G170"/>
  <c r="G169" s="1"/>
  <c r="I167"/>
  <c r="I166" s="1"/>
  <c r="I164" s="1"/>
  <c r="H167"/>
  <c r="H166" s="1"/>
  <c r="G167"/>
  <c r="G166" s="1"/>
  <c r="H1300" i="3"/>
  <c r="H1299" s="1"/>
  <c r="H1298" s="1"/>
  <c r="I1300"/>
  <c r="I1299" s="1"/>
  <c r="I1298" s="1"/>
  <c r="G1300"/>
  <c r="G1299" s="1"/>
  <c r="G1298" s="1"/>
  <c r="I114" i="1"/>
  <c r="I113" s="1"/>
  <c r="H113"/>
  <c r="G114"/>
  <c r="G113" s="1"/>
  <c r="G172" l="1"/>
  <c r="T1472" i="3" s="1"/>
  <c r="G511" i="1"/>
  <c r="G510" s="1"/>
  <c r="T34" i="3"/>
  <c r="H522" i="1"/>
  <c r="H521" s="1"/>
  <c r="I522"/>
  <c r="I521" s="1"/>
  <c r="G522"/>
  <c r="G521" s="1"/>
  <c r="G226"/>
  <c r="G225" s="1"/>
  <c r="J541"/>
  <c r="G165"/>
  <c r="G164" s="1"/>
  <c r="I165"/>
  <c r="H165"/>
  <c r="H164"/>
  <c r="H855" i="3" l="1"/>
  <c r="H854" s="1"/>
  <c r="H853" s="1"/>
  <c r="I855"/>
  <c r="I854" s="1"/>
  <c r="I853" s="1"/>
  <c r="I976" i="1"/>
  <c r="I975" s="1"/>
  <c r="H976"/>
  <c r="H975" s="1"/>
  <c r="H976" i="3"/>
  <c r="H975" s="1"/>
  <c r="H974" s="1"/>
  <c r="I976"/>
  <c r="I975" s="1"/>
  <c r="I974" s="1"/>
  <c r="G976"/>
  <c r="G975" s="1"/>
  <c r="G974" s="1"/>
  <c r="I1301" i="1"/>
  <c r="I1300" s="1"/>
  <c r="H1301"/>
  <c r="H1300" s="1"/>
  <c r="G1301"/>
  <c r="G1300" s="1"/>
  <c r="H573" i="3"/>
  <c r="H572" s="1"/>
  <c r="H571" s="1"/>
  <c r="I573"/>
  <c r="I572" s="1"/>
  <c r="I571" s="1"/>
  <c r="G573"/>
  <c r="G572" s="1"/>
  <c r="G571" s="1"/>
  <c r="G1174" i="1"/>
  <c r="G1173" s="1"/>
  <c r="I1174"/>
  <c r="I1173" s="1"/>
  <c r="H1174"/>
  <c r="H1173" s="1"/>
  <c r="H713" i="3"/>
  <c r="H712" s="1"/>
  <c r="H711" s="1"/>
  <c r="I713"/>
  <c r="I712" s="1"/>
  <c r="I711" s="1"/>
  <c r="G713"/>
  <c r="G712" s="1"/>
  <c r="G711" s="1"/>
  <c r="I831" i="1"/>
  <c r="I830" s="1"/>
  <c r="H831"/>
  <c r="H830" s="1"/>
  <c r="G831"/>
  <c r="G830" s="1"/>
  <c r="H768" i="3"/>
  <c r="I768"/>
  <c r="H755"/>
  <c r="I755"/>
  <c r="I755" i="1"/>
  <c r="I754" s="1"/>
  <c r="H755"/>
  <c r="H754" s="1"/>
  <c r="G755"/>
  <c r="G754" s="1"/>
  <c r="G620" i="3"/>
  <c r="G619" s="1"/>
  <c r="G618" s="1"/>
  <c r="I619"/>
  <c r="I618" s="1"/>
  <c r="H619"/>
  <c r="H618" s="1"/>
  <c r="I691" i="1"/>
  <c r="I690" s="1"/>
  <c r="H691"/>
  <c r="H690" s="1"/>
  <c r="G691"/>
  <c r="G690" s="1"/>
  <c r="G854" i="3" l="1"/>
  <c r="G853" s="1"/>
  <c r="G976" i="1"/>
  <c r="G975" s="1"/>
  <c r="I896"/>
  <c r="H896"/>
  <c r="I1406" l="1"/>
  <c r="H1406"/>
  <c r="I1336"/>
  <c r="H1336"/>
  <c r="G1167"/>
  <c r="I1165"/>
  <c r="H1165"/>
  <c r="G1165"/>
  <c r="I1052"/>
  <c r="H1052"/>
  <c r="I835"/>
  <c r="H835"/>
  <c r="G835"/>
  <c r="H2086" i="3" l="1"/>
  <c r="H2085" s="1"/>
  <c r="I2086"/>
  <c r="I2085" s="1"/>
  <c r="G2086"/>
  <c r="G2085" s="1"/>
  <c r="I2087"/>
  <c r="H2087"/>
  <c r="G2087"/>
  <c r="I1543" i="1"/>
  <c r="H1543"/>
  <c r="G1543"/>
  <c r="I1541"/>
  <c r="H1541"/>
  <c r="G1541"/>
  <c r="I2084" i="3" l="1"/>
  <c r="I2082" s="1"/>
  <c r="H2084"/>
  <c r="H2082" s="1"/>
  <c r="I1540" i="1"/>
  <c r="G2084" i="3"/>
  <c r="G1540" i="1"/>
  <c r="G1538" s="1"/>
  <c r="H1540"/>
  <c r="H723" i="3"/>
  <c r="I723"/>
  <c r="G723"/>
  <c r="H1538" i="1" l="1"/>
  <c r="J1543"/>
  <c r="I1538"/>
  <c r="K1543"/>
  <c r="G2082" i="3"/>
  <c r="H481"/>
  <c r="I481"/>
  <c r="H2754" i="1"/>
  <c r="H2753" s="1"/>
  <c r="I2754"/>
  <c r="I2753" s="1"/>
  <c r="H2751"/>
  <c r="H2750" s="1"/>
  <c r="I2751"/>
  <c r="I2750" s="1"/>
  <c r="G946" i="3"/>
  <c r="H1184" l="1"/>
  <c r="I1184"/>
  <c r="G1184"/>
  <c r="H1181"/>
  <c r="I1181"/>
  <c r="G1181"/>
  <c r="H1164"/>
  <c r="I1164"/>
  <c r="G1164"/>
  <c r="H1405"/>
  <c r="I1405"/>
  <c r="G1405"/>
  <c r="H1675"/>
  <c r="I1675"/>
  <c r="G1675"/>
  <c r="H1681"/>
  <c r="I1681"/>
  <c r="G1681"/>
  <c r="H1908"/>
  <c r="H1907" s="1"/>
  <c r="I1908"/>
  <c r="I1907" s="1"/>
  <c r="G1908"/>
  <c r="G1907" s="1"/>
  <c r="H1920"/>
  <c r="I1920"/>
  <c r="H2064"/>
  <c r="H2063" s="1"/>
  <c r="I2064"/>
  <c r="I2063" s="1"/>
  <c r="H1656"/>
  <c r="I1656"/>
  <c r="G1656"/>
  <c r="H1651"/>
  <c r="I1651"/>
  <c r="J1651"/>
  <c r="K1651"/>
  <c r="L1651"/>
  <c r="M1651"/>
  <c r="N1651"/>
  <c r="O1651"/>
  <c r="G1651"/>
  <c r="H1586"/>
  <c r="I1586"/>
  <c r="G1586"/>
  <c r="H1303"/>
  <c r="I1303"/>
  <c r="G1303"/>
  <c r="H1241"/>
  <c r="I1241"/>
  <c r="G1241"/>
  <c r="H1148"/>
  <c r="I1148"/>
  <c r="G1148"/>
  <c r="H1144"/>
  <c r="I1144"/>
  <c r="H1135"/>
  <c r="I1135"/>
  <c r="G1135"/>
  <c r="H1132"/>
  <c r="I1132"/>
  <c r="G1132"/>
  <c r="H1106"/>
  <c r="I1106"/>
  <c r="G1106"/>
  <c r="H1035"/>
  <c r="I1035"/>
  <c r="G1035"/>
  <c r="H922"/>
  <c r="I922"/>
  <c r="G922"/>
  <c r="H813"/>
  <c r="I813"/>
  <c r="G813"/>
  <c r="H810"/>
  <c r="I810"/>
  <c r="G810"/>
  <c r="H801"/>
  <c r="I801"/>
  <c r="J801"/>
  <c r="K801"/>
  <c r="L801"/>
  <c r="M801"/>
  <c r="N801"/>
  <c r="O801"/>
  <c r="G801"/>
  <c r="H807"/>
  <c r="I807"/>
  <c r="G807"/>
  <c r="H804"/>
  <c r="I804"/>
  <c r="G804"/>
  <c r="H786"/>
  <c r="I786"/>
  <c r="G786"/>
  <c r="H746"/>
  <c r="I746"/>
  <c r="G746"/>
  <c r="H743"/>
  <c r="I743"/>
  <c r="G743"/>
  <c r="G626"/>
  <c r="H626"/>
  <c r="I626"/>
  <c r="H617"/>
  <c r="I617"/>
  <c r="G617"/>
  <c r="H442"/>
  <c r="I442"/>
  <c r="G442"/>
  <c r="H438"/>
  <c r="I438"/>
  <c r="G438"/>
  <c r="H432"/>
  <c r="I432"/>
  <c r="G432"/>
  <c r="H434"/>
  <c r="I434"/>
  <c r="G434"/>
  <c r="H428"/>
  <c r="I428"/>
  <c r="G428"/>
  <c r="H426"/>
  <c r="I426"/>
  <c r="G426"/>
  <c r="H293"/>
  <c r="H292" s="1"/>
  <c r="H291" s="1"/>
  <c r="I293"/>
  <c r="I292" s="1"/>
  <c r="I291" s="1"/>
  <c r="G293"/>
  <c r="H2768" i="1"/>
  <c r="I2768"/>
  <c r="G2768"/>
  <c r="G1178"/>
  <c r="H1178"/>
  <c r="I1178"/>
  <c r="G299" i="3"/>
  <c r="I1945" i="1"/>
  <c r="H1945"/>
  <c r="G1945"/>
  <c r="G1944" s="1"/>
  <c r="H2749" l="1"/>
  <c r="I2749"/>
  <c r="G298" i="3" l="1"/>
  <c r="G297" s="1"/>
  <c r="I298"/>
  <c r="H298"/>
  <c r="G1193" l="1"/>
  <c r="G1205"/>
  <c r="G1297"/>
  <c r="I309" l="1"/>
  <c r="H309"/>
  <c r="G309"/>
  <c r="H1829" l="1"/>
  <c r="G1238" l="1"/>
  <c r="G1237" s="1"/>
  <c r="G1236" s="1"/>
  <c r="I1237"/>
  <c r="I1236" s="1"/>
  <c r="H1237"/>
  <c r="H1236" s="1"/>
  <c r="I412" i="1"/>
  <c r="I411" s="1"/>
  <c r="H412"/>
  <c r="H411" s="1"/>
  <c r="G412"/>
  <c r="G411" s="1"/>
  <c r="H1213" i="3"/>
  <c r="H1212" s="1"/>
  <c r="G816"/>
  <c r="G815" s="1"/>
  <c r="G814" s="1"/>
  <c r="I815"/>
  <c r="I814" s="1"/>
  <c r="H815"/>
  <c r="H814" s="1"/>
  <c r="I952" i="1"/>
  <c r="I951" s="1"/>
  <c r="H952"/>
  <c r="H951" s="1"/>
  <c r="G952"/>
  <c r="G951" s="1"/>
  <c r="I1213" i="3"/>
  <c r="I1212" s="1"/>
  <c r="G1213"/>
  <c r="G1212" s="1"/>
  <c r="I1210"/>
  <c r="I1209" s="1"/>
  <c r="H1210"/>
  <c r="H1209" s="1"/>
  <c r="G1210"/>
  <c r="G1209" s="1"/>
  <c r="I1207"/>
  <c r="I1206" s="1"/>
  <c r="H1207"/>
  <c r="H1206" s="1"/>
  <c r="G1207"/>
  <c r="G1206" s="1"/>
  <c r="I1204"/>
  <c r="I1203" s="1"/>
  <c r="H1204"/>
  <c r="H1203" s="1"/>
  <c r="G1204"/>
  <c r="G1203" s="1"/>
  <c r="I391" i="1"/>
  <c r="I390" s="1"/>
  <c r="H391"/>
  <c r="H390" s="1"/>
  <c r="G391"/>
  <c r="G390" s="1"/>
  <c r="I388"/>
  <c r="I387" s="1"/>
  <c r="H388"/>
  <c r="H387" s="1"/>
  <c r="G388"/>
  <c r="G387" s="1"/>
  <c r="I385"/>
  <c r="I384" s="1"/>
  <c r="H385"/>
  <c r="H384" s="1"/>
  <c r="G385"/>
  <c r="G384" s="1"/>
  <c r="I812" i="3" l="1"/>
  <c r="I811" s="1"/>
  <c r="H812"/>
  <c r="H811" s="1"/>
  <c r="G812"/>
  <c r="G811" s="1"/>
  <c r="I809"/>
  <c r="I808" s="1"/>
  <c r="H809"/>
  <c r="H808" s="1"/>
  <c r="G809"/>
  <c r="G808" s="1"/>
  <c r="I806"/>
  <c r="I805" s="1"/>
  <c r="H806"/>
  <c r="H805" s="1"/>
  <c r="G806"/>
  <c r="G805" s="1"/>
  <c r="I803"/>
  <c r="I802" s="1"/>
  <c r="H803"/>
  <c r="H802" s="1"/>
  <c r="G803"/>
  <c r="G802" s="1"/>
  <c r="I800"/>
  <c r="I799" s="1"/>
  <c r="H800"/>
  <c r="H799" s="1"/>
  <c r="G800"/>
  <c r="G799" s="1"/>
  <c r="I937" i="1" l="1"/>
  <c r="I936" s="1"/>
  <c r="H937"/>
  <c r="H936" s="1"/>
  <c r="G937"/>
  <c r="G936" s="1"/>
  <c r="I940"/>
  <c r="I939" s="1"/>
  <c r="H940"/>
  <c r="H939" s="1"/>
  <c r="G940"/>
  <c r="G939" s="1"/>
  <c r="I943"/>
  <c r="I942" s="1"/>
  <c r="H943"/>
  <c r="H942" s="1"/>
  <c r="G943"/>
  <c r="G942" s="1"/>
  <c r="I946"/>
  <c r="I945" s="1"/>
  <c r="H946"/>
  <c r="H945" s="1"/>
  <c r="G946"/>
  <c r="G945" s="1"/>
  <c r="I949"/>
  <c r="I948" s="1"/>
  <c r="H949"/>
  <c r="H948" s="1"/>
  <c r="G949"/>
  <c r="G948" s="1"/>
  <c r="G1373" l="1"/>
  <c r="G1308"/>
  <c r="G973" i="3" s="1"/>
  <c r="G193" i="1"/>
  <c r="G235" i="3" s="1"/>
  <c r="G1574" l="1"/>
  <c r="G2155" l="1"/>
  <c r="G312"/>
  <c r="G2212"/>
  <c r="G3282" i="1"/>
  <c r="I3279"/>
  <c r="I3278" s="1"/>
  <c r="H3279"/>
  <c r="H3278" s="1"/>
  <c r="G3206"/>
  <c r="G3205" s="1"/>
  <c r="G3204" s="1"/>
  <c r="G3203" s="1"/>
  <c r="G3202" s="1"/>
  <c r="I2674"/>
  <c r="H2674"/>
  <c r="G2674"/>
  <c r="G2673" s="1"/>
  <c r="G2672" s="1"/>
  <c r="G2671" s="1"/>
  <c r="G2670" s="1"/>
  <c r="I2668"/>
  <c r="H2668"/>
  <c r="G2668"/>
  <c r="G2667" s="1"/>
  <c r="G2666" s="1"/>
  <c r="G1050" i="3"/>
  <c r="G1049" s="1"/>
  <c r="G1048" s="1"/>
  <c r="I1049"/>
  <c r="I1048" s="1"/>
  <c r="H1049"/>
  <c r="H1048" s="1"/>
  <c r="G2011"/>
  <c r="G2465" i="1"/>
  <c r="G2464" s="1"/>
  <c r="G2463" s="1"/>
  <c r="G2368" s="1"/>
  <c r="G2219" i="3" l="1"/>
  <c r="I2083" i="1"/>
  <c r="H2083"/>
  <c r="G2083"/>
  <c r="G1868"/>
  <c r="I2052" i="3"/>
  <c r="I2051" s="1"/>
  <c r="H2052"/>
  <c r="H2051" s="1"/>
  <c r="I1494" i="1"/>
  <c r="H1494"/>
  <c r="G1494"/>
  <c r="G1493" s="1"/>
  <c r="G726" i="3"/>
  <c r="G725" s="1"/>
  <c r="G724" s="1"/>
  <c r="I725"/>
  <c r="I724" s="1"/>
  <c r="H725"/>
  <c r="H724" s="1"/>
  <c r="I889" i="1"/>
  <c r="I888" s="1"/>
  <c r="H889"/>
  <c r="H888" s="1"/>
  <c r="G889"/>
  <c r="G888" s="1"/>
  <c r="H566"/>
  <c r="I566"/>
  <c r="G2053" i="3" l="1"/>
  <c r="G2052" s="1"/>
  <c r="G2051" s="1"/>
  <c r="I1493" i="1"/>
  <c r="I2184"/>
  <c r="H1493"/>
  <c r="H2184"/>
  <c r="G1571" i="3"/>
  <c r="G1570" s="1"/>
  <c r="G1569" s="1"/>
  <c r="G1835" i="1"/>
  <c r="G1834" s="1"/>
  <c r="I1835"/>
  <c r="I1834" s="1"/>
  <c r="H1835"/>
  <c r="H1834" s="1"/>
  <c r="G1743" i="3"/>
  <c r="G1742" s="1"/>
  <c r="G1741" s="1"/>
  <c r="I1742"/>
  <c r="I1741" s="1"/>
  <c r="H1742"/>
  <c r="H1741" s="1"/>
  <c r="I2272" i="1"/>
  <c r="I2271" s="1"/>
  <c r="H2272"/>
  <c r="H2271" s="1"/>
  <c r="G2272"/>
  <c r="G2271" s="1"/>
  <c r="G1810"/>
  <c r="G1809" s="1"/>
  <c r="I1570" i="3"/>
  <c r="I1569" s="1"/>
  <c r="H1570"/>
  <c r="H1569" s="1"/>
  <c r="I1810" i="1"/>
  <c r="I1809" s="1"/>
  <c r="H1810"/>
  <c r="H1809" s="1"/>
  <c r="I1674" i="3"/>
  <c r="I1673" s="1"/>
  <c r="H1674"/>
  <c r="H1673" s="1"/>
  <c r="G1674"/>
  <c r="G1673" s="1"/>
  <c r="I2204" i="1"/>
  <c r="I2203" s="1"/>
  <c r="H2204"/>
  <c r="H2203" s="1"/>
  <c r="G2204"/>
  <c r="G2203" s="1"/>
  <c r="G2207"/>
  <c r="G2206" s="1"/>
  <c r="H2207"/>
  <c r="H2206" s="1"/>
  <c r="I2207"/>
  <c r="I2206" s="1"/>
  <c r="G964"/>
  <c r="G963" s="1"/>
  <c r="G798" i="3"/>
  <c r="G797" s="1"/>
  <c r="G796" s="1"/>
  <c r="I797"/>
  <c r="I796" s="1"/>
  <c r="H797"/>
  <c r="H796" s="1"/>
  <c r="I967" i="1"/>
  <c r="I966" s="1"/>
  <c r="H967"/>
  <c r="H966" s="1"/>
  <c r="G967"/>
  <c r="G966" s="1"/>
  <c r="G1066" i="3"/>
  <c r="G1065" s="1"/>
  <c r="I1065"/>
  <c r="I1064" s="1"/>
  <c r="H1065"/>
  <c r="H1064" s="1"/>
  <c r="I2637" i="1"/>
  <c r="I2636" s="1"/>
  <c r="H2637"/>
  <c r="H2636" s="1"/>
  <c r="G2637"/>
  <c r="G2636" s="1"/>
  <c r="G795" i="3"/>
  <c r="G794" s="1"/>
  <c r="G793" s="1"/>
  <c r="I794"/>
  <c r="I793" s="1"/>
  <c r="H794"/>
  <c r="H793" s="1"/>
  <c r="I964" i="1"/>
  <c r="I963" s="1"/>
  <c r="H964"/>
  <c r="H963" s="1"/>
  <c r="I1906" i="3"/>
  <c r="H1906"/>
  <c r="G1906"/>
  <c r="H2767" i="1"/>
  <c r="G2767"/>
  <c r="I2767"/>
  <c r="I2759"/>
  <c r="H2759"/>
  <c r="G2759"/>
  <c r="I1296" i="3"/>
  <c r="I1295" s="1"/>
  <c r="H1296"/>
  <c r="H1295" s="1"/>
  <c r="G1296"/>
  <c r="G1295" s="1"/>
  <c r="I303"/>
  <c r="H303"/>
  <c r="I785"/>
  <c r="I784" s="1"/>
  <c r="H785"/>
  <c r="H784" s="1"/>
  <c r="G785"/>
  <c r="G784" s="1"/>
  <c r="I955" i="1"/>
  <c r="I954" s="1"/>
  <c r="H955"/>
  <c r="H954" s="1"/>
  <c r="G955"/>
  <c r="G954" s="1"/>
  <c r="G783" i="3"/>
  <c r="G1823"/>
  <c r="G2161"/>
  <c r="G2160" s="1"/>
  <c r="H1253" i="1"/>
  <c r="H1252" s="1"/>
  <c r="I1253"/>
  <c r="I1252" s="1"/>
  <c r="G1253"/>
  <c r="G1252" s="1"/>
  <c r="I921" i="3"/>
  <c r="I920" s="1"/>
  <c r="H921"/>
  <c r="H920" s="1"/>
  <c r="G921"/>
  <c r="G920" s="1"/>
  <c r="I1304" i="1"/>
  <c r="I1303" s="1"/>
  <c r="H1304"/>
  <c r="H1303" s="1"/>
  <c r="G1304"/>
  <c r="G1303" s="1"/>
  <c r="I722" i="3"/>
  <c r="I721" s="1"/>
  <c r="H722"/>
  <c r="H721" s="1"/>
  <c r="G722"/>
  <c r="G721" s="1"/>
  <c r="I886" i="1"/>
  <c r="I885" s="1"/>
  <c r="H886"/>
  <c r="H885" s="1"/>
  <c r="G886"/>
  <c r="G885" s="1"/>
  <c r="G475" i="3"/>
  <c r="G482"/>
  <c r="G481" s="1"/>
  <c r="G2754" i="1"/>
  <c r="G2753" s="1"/>
  <c r="G2751"/>
  <c r="G2750" s="1"/>
  <c r="G484" i="3"/>
  <c r="G303"/>
  <c r="G1921" i="1"/>
  <c r="G1920" s="1"/>
  <c r="G422" i="3" s="1"/>
  <c r="G421" s="1"/>
  <c r="G420" s="1"/>
  <c r="G1689" i="1"/>
  <c r="G1688" s="1"/>
  <c r="G1687" s="1"/>
  <c r="G2153" i="3" s="1"/>
  <c r="G444" i="1"/>
  <c r="G443" s="1"/>
  <c r="H2183" l="1"/>
  <c r="H2180" s="1"/>
  <c r="H2214" i="3"/>
  <c r="H2213" s="1"/>
  <c r="I2214"/>
  <c r="I2213" s="1"/>
  <c r="I2183" i="1"/>
  <c r="I2180" s="1"/>
  <c r="G1064" i="3"/>
  <c r="J1389"/>
  <c r="G2749" i="1"/>
  <c r="G2152" i="3"/>
  <c r="I1650"/>
  <c r="H1650"/>
  <c r="G1650"/>
  <c r="I3239" i="1"/>
  <c r="I3238" s="1"/>
  <c r="H3239"/>
  <c r="H3238" s="1"/>
  <c r="G3239"/>
  <c r="I1131" i="3"/>
  <c r="I1130" s="1"/>
  <c r="H1131"/>
  <c r="H1130" s="1"/>
  <c r="G1131"/>
  <c r="G1130" s="1"/>
  <c r="I322" i="1"/>
  <c r="I321" s="1"/>
  <c r="H322"/>
  <c r="H321" s="1"/>
  <c r="G322"/>
  <c r="G321" s="1"/>
  <c r="G2243" i="3"/>
  <c r="G2242" s="1"/>
  <c r="G2241" s="1"/>
  <c r="I2242"/>
  <c r="I2241" s="1"/>
  <c r="H2242"/>
  <c r="H2241" s="1"/>
  <c r="G1112" i="1"/>
  <c r="G1111" s="1"/>
  <c r="I1112"/>
  <c r="I1111" s="1"/>
  <c r="H1112"/>
  <c r="H1111" s="1"/>
  <c r="I424"/>
  <c r="I423" s="1"/>
  <c r="H424"/>
  <c r="H423" s="1"/>
  <c r="G424"/>
  <c r="G423" s="1"/>
  <c r="I1302" i="3"/>
  <c r="I1301" s="1"/>
  <c r="H1302"/>
  <c r="H1301" s="1"/>
  <c r="G1302"/>
  <c r="G1301" s="1"/>
  <c r="G1276"/>
  <c r="G2063"/>
  <c r="G1920"/>
  <c r="G1919" s="1"/>
  <c r="G1918" s="1"/>
  <c r="I1919"/>
  <c r="I1918" s="1"/>
  <c r="H1919"/>
  <c r="H1918" s="1"/>
  <c r="I2797" i="1"/>
  <c r="I2796" s="1"/>
  <c r="H2797"/>
  <c r="H2796" s="1"/>
  <c r="G2797"/>
  <c r="G2796" s="1"/>
  <c r="G1479" i="3"/>
  <c r="G1478" s="1"/>
  <c r="G1477" s="1"/>
  <c r="I1478"/>
  <c r="H1478"/>
  <c r="G1517" i="1"/>
  <c r="G623" i="3" l="1"/>
  <c r="G622" s="1"/>
  <c r="G621" s="1"/>
  <c r="I622"/>
  <c r="I621" s="1"/>
  <c r="H622"/>
  <c r="H621" s="1"/>
  <c r="H1325" i="1"/>
  <c r="H1324" s="1"/>
  <c r="I1325"/>
  <c r="I1324" s="1"/>
  <c r="G1325"/>
  <c r="G1324" s="1"/>
  <c r="I918" i="3"/>
  <c r="I917" s="1"/>
  <c r="H918"/>
  <c r="H917" s="1"/>
  <c r="G918"/>
  <c r="G917" s="1"/>
  <c r="G1167"/>
  <c r="G1166" s="1"/>
  <c r="G1165" s="1"/>
  <c r="I1166"/>
  <c r="I1165" s="1"/>
  <c r="H1166"/>
  <c r="H1165" s="1"/>
  <c r="G1151"/>
  <c r="G1938" l="1"/>
  <c r="G1937" s="1"/>
  <c r="G1250" i="1"/>
  <c r="G1249" s="1"/>
  <c r="G1248" s="1"/>
  <c r="G1640" i="3"/>
  <c r="G1639" s="1"/>
  <c r="G1638" s="1"/>
  <c r="G1670" i="1"/>
  <c r="G1669" s="1"/>
  <c r="G292" i="3" l="1"/>
  <c r="G291" s="1"/>
  <c r="G1938" i="1"/>
  <c r="G441" i="3"/>
  <c r="G440" s="1"/>
  <c r="G439" s="1"/>
  <c r="G1959" i="1"/>
  <c r="G1958" s="1"/>
  <c r="G1957" s="1"/>
  <c r="G446" i="3"/>
  <c r="G445" s="1"/>
  <c r="G444" s="1"/>
  <c r="G443" s="1"/>
  <c r="G1963" i="1"/>
  <c r="G1962" s="1"/>
  <c r="G1961" s="1"/>
  <c r="I1105" i="3"/>
  <c r="I1104" s="1"/>
  <c r="H1105"/>
  <c r="H1104" s="1"/>
  <c r="G1105"/>
  <c r="G1104" s="1"/>
  <c r="I1068"/>
  <c r="I1067" s="1"/>
  <c r="H1068"/>
  <c r="H1067" s="1"/>
  <c r="G1068"/>
  <c r="I2643" i="1"/>
  <c r="I2642" s="1"/>
  <c r="H2643"/>
  <c r="H2642" s="1"/>
  <c r="G2643"/>
  <c r="G2642" s="1"/>
  <c r="I1585" i="3"/>
  <c r="I1584" s="1"/>
  <c r="H1585"/>
  <c r="H1584" s="1"/>
  <c r="G1585"/>
  <c r="G1584" s="1"/>
  <c r="G1841" i="1"/>
  <c r="G1840" s="1"/>
  <c r="I1841"/>
  <c r="I1840" s="1"/>
  <c r="H1841"/>
  <c r="H1840" s="1"/>
  <c r="I1150" i="3"/>
  <c r="I1149" s="1"/>
  <c r="H1150"/>
  <c r="H1149" s="1"/>
  <c r="G1150"/>
  <c r="G1149" s="1"/>
  <c r="G415" i="1"/>
  <c r="G414" s="1"/>
  <c r="I415"/>
  <c r="I414" s="1"/>
  <c r="H415"/>
  <c r="H414" s="1"/>
  <c r="I295" i="3"/>
  <c r="I294" s="1"/>
  <c r="H295"/>
  <c r="H294" s="1"/>
  <c r="G295"/>
  <c r="G294" s="1"/>
  <c r="G1942" i="1"/>
  <c r="G1941" s="1"/>
  <c r="I1942"/>
  <c r="I1941" s="1"/>
  <c r="H1942"/>
  <c r="H1941" s="1"/>
  <c r="G712"/>
  <c r="G711" s="1"/>
  <c r="G709"/>
  <c r="G708" s="1"/>
  <c r="I709"/>
  <c r="I708" s="1"/>
  <c r="H709"/>
  <c r="H708" s="1"/>
  <c r="I712"/>
  <c r="I711" s="1"/>
  <c r="H712"/>
  <c r="H711" s="1"/>
  <c r="I1034" i="3"/>
  <c r="I1033" s="1"/>
  <c r="H1034"/>
  <c r="H1033" s="1"/>
  <c r="G1034"/>
  <c r="G1033" s="1"/>
  <c r="G1067" l="1"/>
  <c r="J1392"/>
  <c r="G284"/>
  <c r="G768"/>
  <c r="G767" s="1"/>
  <c r="G766" s="1"/>
  <c r="I2001" i="1"/>
  <c r="I2000" s="1"/>
  <c r="H2001"/>
  <c r="H2000" s="1"/>
  <c r="G2001"/>
  <c r="G2000" s="1"/>
  <c r="G1653" i="3"/>
  <c r="G1822"/>
  <c r="G1821" s="1"/>
  <c r="G2528" i="1"/>
  <c r="G2527" s="1"/>
  <c r="G2535"/>
  <c r="H777" i="3"/>
  <c r="I777"/>
  <c r="G777"/>
  <c r="G715" i="1"/>
  <c r="G714" s="1"/>
  <c r="I715"/>
  <c r="I714" s="1"/>
  <c r="H715"/>
  <c r="H714" s="1"/>
  <c r="H767" i="3"/>
  <c r="H766" s="1"/>
  <c r="I767"/>
  <c r="I766" s="1"/>
  <c r="G1181" i="1"/>
  <c r="G1180" s="1"/>
  <c r="I1181"/>
  <c r="I1180" s="1"/>
  <c r="H1181"/>
  <c r="H1180" s="1"/>
  <c r="G979"/>
  <c r="G978" s="1"/>
  <c r="I979"/>
  <c r="I978" s="1"/>
  <c r="H979"/>
  <c r="H978" s="1"/>
  <c r="H761" i="3"/>
  <c r="I761"/>
  <c r="I625"/>
  <c r="I624" s="1"/>
  <c r="H625"/>
  <c r="H624" s="1"/>
  <c r="G625"/>
  <c r="G624" s="1"/>
  <c r="I1328" i="1"/>
  <c r="I1327" s="1"/>
  <c r="H1328"/>
  <c r="H1327" s="1"/>
  <c r="G1328"/>
  <c r="G1327" s="1"/>
  <c r="I1351"/>
  <c r="I1003" i="3" s="1"/>
  <c r="H1351" i="1"/>
  <c r="H1003" i="3" s="1"/>
  <c r="G1351" i="1"/>
  <c r="I616" i="3"/>
  <c r="I615" s="1"/>
  <c r="H616"/>
  <c r="H615" s="1"/>
  <c r="G616"/>
  <c r="G615" s="1"/>
  <c r="I1322" i="1"/>
  <c r="I1321" s="1"/>
  <c r="H1322"/>
  <c r="H1321" s="1"/>
  <c r="G1322"/>
  <c r="G1321" s="1"/>
  <c r="G1354"/>
  <c r="I1680" i="3"/>
  <c r="I1679" s="1"/>
  <c r="H1680"/>
  <c r="H1679" s="1"/>
  <c r="G1680"/>
  <c r="G1679" s="1"/>
  <c r="G1936"/>
  <c r="G1320" i="1" l="1"/>
  <c r="G1003" i="3"/>
  <c r="G1714" i="1"/>
  <c r="G1713" s="1"/>
  <c r="I1320"/>
  <c r="H1320"/>
  <c r="H1746" i="3"/>
  <c r="I1746"/>
  <c r="G1746"/>
  <c r="I1177" i="1"/>
  <c r="H1177"/>
  <c r="G1177"/>
  <c r="H480" i="3"/>
  <c r="I480"/>
  <c r="H1134"/>
  <c r="H1133" s="1"/>
  <c r="I1134"/>
  <c r="I1133" s="1"/>
  <c r="H212" i="1"/>
  <c r="H211" s="1"/>
  <c r="I212"/>
  <c r="I211" s="1"/>
  <c r="H502" i="3"/>
  <c r="I502"/>
  <c r="G502"/>
  <c r="G480"/>
  <c r="H475"/>
  <c r="I475"/>
  <c r="H492"/>
  <c r="H491" s="1"/>
  <c r="H490" s="1"/>
  <c r="I492"/>
  <c r="I491" s="1"/>
  <c r="I490" s="1"/>
  <c r="G492"/>
  <c r="G491" s="1"/>
  <c r="G490" s="1"/>
  <c r="G2143" i="1"/>
  <c r="G2142" s="1"/>
  <c r="I2143"/>
  <c r="I2142" s="1"/>
  <c r="H2143"/>
  <c r="H2142" s="1"/>
  <c r="G1712" l="1"/>
  <c r="H311" i="3"/>
  <c r="H308" s="1"/>
  <c r="I311"/>
  <c r="I308" s="1"/>
  <c r="H1949" i="1"/>
  <c r="H1948" s="1"/>
  <c r="I1949"/>
  <c r="I1948" s="1"/>
  <c r="G1312" l="1"/>
  <c r="I437" i="3"/>
  <c r="I436" s="1"/>
  <c r="I435" s="1"/>
  <c r="H437"/>
  <c r="H436" s="1"/>
  <c r="H435" s="1"/>
  <c r="G437"/>
  <c r="I3225" i="1"/>
  <c r="I3224" s="1"/>
  <c r="I3223" s="1"/>
  <c r="H3225"/>
  <c r="H3224" s="1"/>
  <c r="H3223" s="1"/>
  <c r="G3225"/>
  <c r="I427" i="3"/>
  <c r="H427"/>
  <c r="G427"/>
  <c r="I425"/>
  <c r="I424" s="1"/>
  <c r="H425"/>
  <c r="H424" s="1"/>
  <c r="G425"/>
  <c r="I3213" i="1"/>
  <c r="H3213"/>
  <c r="G3213"/>
  <c r="G430" i="3"/>
  <c r="G429" s="1"/>
  <c r="I433"/>
  <c r="H433"/>
  <c r="G3219" i="1"/>
  <c r="I3219"/>
  <c r="H3219"/>
  <c r="G286" i="3"/>
  <c r="G285" s="1"/>
  <c r="H286"/>
  <c r="H285" s="1"/>
  <c r="H284" s="1"/>
  <c r="I286"/>
  <c r="I285" s="1"/>
  <c r="I3215" i="1"/>
  <c r="I3212" s="1"/>
  <c r="H3215"/>
  <c r="H3212" s="1"/>
  <c r="G3215"/>
  <c r="I431" i="3"/>
  <c r="I430" s="1"/>
  <c r="I429" s="1"/>
  <c r="H431"/>
  <c r="H430" s="1"/>
  <c r="H429" s="1"/>
  <c r="G431"/>
  <c r="G311"/>
  <c r="I307"/>
  <c r="H307"/>
  <c r="I1947" i="1"/>
  <c r="H1947"/>
  <c r="G1684" i="3"/>
  <c r="I3291" i="1"/>
  <c r="I3290" s="1"/>
  <c r="I3289" s="1"/>
  <c r="I3286" s="1"/>
  <c r="H3291"/>
  <c r="H3290" s="1"/>
  <c r="H3289" s="1"/>
  <c r="H3286" s="1"/>
  <c r="G3291"/>
  <c r="G3290" s="1"/>
  <c r="G3289" s="1"/>
  <c r="G3286" s="1"/>
  <c r="I1694" i="3"/>
  <c r="I1693" s="1"/>
  <c r="H1694"/>
  <c r="H1693" s="1"/>
  <c r="G1694"/>
  <c r="G1693" s="1"/>
  <c r="I3275" i="1"/>
  <c r="I3274" s="1"/>
  <c r="H3275"/>
  <c r="H3274" s="1"/>
  <c r="G3275"/>
  <c r="G3274" s="1"/>
  <c r="G3270" s="1"/>
  <c r="G1664" i="3"/>
  <c r="I3272" i="1"/>
  <c r="I3271" s="1"/>
  <c r="H3272"/>
  <c r="H3271" s="1"/>
  <c r="G3272"/>
  <c r="G3271" s="1"/>
  <c r="I3270"/>
  <c r="I3269" s="1"/>
  <c r="H3270"/>
  <c r="H3269" s="1"/>
  <c r="I3267"/>
  <c r="I3266" s="1"/>
  <c r="H3267"/>
  <c r="H3266" s="1"/>
  <c r="G3267"/>
  <c r="G3266" s="1"/>
  <c r="G3259" s="1"/>
  <c r="I3264"/>
  <c r="I3263" s="1"/>
  <c r="H3264"/>
  <c r="H3263" s="1"/>
  <c r="G3264"/>
  <c r="G3263" s="1"/>
  <c r="I3261"/>
  <c r="I3260" s="1"/>
  <c r="H3261"/>
  <c r="H3260" s="1"/>
  <c r="G3261"/>
  <c r="G3260" s="1"/>
  <c r="G1710" i="3"/>
  <c r="I3257" i="1"/>
  <c r="I3256" s="1"/>
  <c r="H3257"/>
  <c r="H3256" s="1"/>
  <c r="G3257"/>
  <c r="G3256" s="1"/>
  <c r="G3254"/>
  <c r="G3253" s="1"/>
  <c r="I3254"/>
  <c r="I3253" s="1"/>
  <c r="H3254"/>
  <c r="H3253" s="1"/>
  <c r="I3251"/>
  <c r="I3250" s="1"/>
  <c r="H3251"/>
  <c r="H3250" s="1"/>
  <c r="G3251"/>
  <c r="G3250" s="1"/>
  <c r="I3247"/>
  <c r="I3246" s="1"/>
  <c r="H3247"/>
  <c r="H3246" s="1"/>
  <c r="G3247"/>
  <c r="G3246" s="1"/>
  <c r="G1652" i="3"/>
  <c r="G1649" s="1"/>
  <c r="H3295" i="1"/>
  <c r="H3294" s="1"/>
  <c r="H3293" s="1"/>
  <c r="H3245" s="1"/>
  <c r="I3295"/>
  <c r="I3294" s="1"/>
  <c r="I3293" s="1"/>
  <c r="G3295"/>
  <c r="G3297"/>
  <c r="G3296" s="1"/>
  <c r="I3297"/>
  <c r="I3296" s="1"/>
  <c r="H3297"/>
  <c r="H3296" s="1"/>
  <c r="H3237"/>
  <c r="H3236" s="1"/>
  <c r="H3208" s="1"/>
  <c r="H3299" s="1"/>
  <c r="I3237"/>
  <c r="I3236" s="1"/>
  <c r="I3208" s="1"/>
  <c r="I3299" s="1"/>
  <c r="G3241"/>
  <c r="I3234"/>
  <c r="H3234"/>
  <c r="G3234"/>
  <c r="G2013" s="1"/>
  <c r="G2012" s="1"/>
  <c r="G2011" s="1"/>
  <c r="I3232"/>
  <c r="H3232"/>
  <c r="G3232"/>
  <c r="G3228"/>
  <c r="G3227" s="1"/>
  <c r="I3221"/>
  <c r="I3218" s="1"/>
  <c r="I3217" s="1"/>
  <c r="H3221"/>
  <c r="H3218" s="1"/>
  <c r="H3217" s="1"/>
  <c r="G3221"/>
  <c r="G2013" i="3"/>
  <c r="I1116" i="1"/>
  <c r="H1116"/>
  <c r="G1116"/>
  <c r="G1115" s="1"/>
  <c r="G1114" s="1"/>
  <c r="G1800" i="3"/>
  <c r="I1147"/>
  <c r="I1146" s="1"/>
  <c r="H1147"/>
  <c r="H1146" s="1"/>
  <c r="G1147"/>
  <c r="G1146" s="1"/>
  <c r="I1143"/>
  <c r="I1142" s="1"/>
  <c r="H1143"/>
  <c r="H1142" s="1"/>
  <c r="G1142"/>
  <c r="I1140"/>
  <c r="I1139" s="1"/>
  <c r="H1140"/>
  <c r="H1139" s="1"/>
  <c r="G1140"/>
  <c r="I219" i="1"/>
  <c r="I218" s="1"/>
  <c r="H219"/>
  <c r="H218" s="1"/>
  <c r="G219"/>
  <c r="G218" s="1"/>
  <c r="I1719" i="3"/>
  <c r="H1719"/>
  <c r="H1005"/>
  <c r="H1004" s="1"/>
  <c r="I1005"/>
  <c r="I1004" s="1"/>
  <c r="H1353" i="1"/>
  <c r="H1352" s="1"/>
  <c r="I1353"/>
  <c r="I1352" s="1"/>
  <c r="I1293" i="3"/>
  <c r="I1292" s="1"/>
  <c r="H1293"/>
  <c r="H1292" s="1"/>
  <c r="G1293"/>
  <c r="G1292" s="1"/>
  <c r="I270" i="1"/>
  <c r="I269" s="1"/>
  <c r="H270"/>
  <c r="H269" s="1"/>
  <c r="G270"/>
  <c r="G269" s="1"/>
  <c r="H1115" l="1"/>
  <c r="H1114" s="1"/>
  <c r="H1740"/>
  <c r="H1739" s="1"/>
  <c r="H1736" s="1"/>
  <c r="I1115"/>
  <c r="I1114" s="1"/>
  <c r="I1740"/>
  <c r="I1739" s="1"/>
  <c r="I1736" s="1"/>
  <c r="G308" i="3"/>
  <c r="G307" s="1"/>
  <c r="G3238" i="1"/>
  <c r="G3237" s="1"/>
  <c r="G3236" s="1"/>
  <c r="G3218"/>
  <c r="G3217" s="1"/>
  <c r="I423" i="3"/>
  <c r="H3231" i="1"/>
  <c r="H3230" s="1"/>
  <c r="H3210" s="1"/>
  <c r="H3209" s="1"/>
  <c r="G3212"/>
  <c r="G3211" s="1"/>
  <c r="H3244"/>
  <c r="H3243" s="1"/>
  <c r="G424" i="3"/>
  <c r="G423" s="1"/>
  <c r="H3211" i="1"/>
  <c r="G3224"/>
  <c r="G3223" s="1"/>
  <c r="I3211"/>
  <c r="H423" i="3"/>
  <c r="G433"/>
  <c r="G3245" i="1"/>
  <c r="G3244" s="1"/>
  <c r="I3245"/>
  <c r="I3244" s="1"/>
  <c r="I3243" s="1"/>
  <c r="I3259"/>
  <c r="H3259"/>
  <c r="I3231"/>
  <c r="I3230" s="1"/>
  <c r="I3210" s="1"/>
  <c r="I3209" s="1"/>
  <c r="G3231"/>
  <c r="G3230" s="1"/>
  <c r="I2096" i="3"/>
  <c r="I2104"/>
  <c r="I2103" s="1"/>
  <c r="G1199"/>
  <c r="G1198" s="1"/>
  <c r="G1197" s="1"/>
  <c r="I1198"/>
  <c r="I1197" s="1"/>
  <c r="H1198"/>
  <c r="H1197" s="1"/>
  <c r="I418" i="1"/>
  <c r="I417" s="1"/>
  <c r="H418"/>
  <c r="H417" s="1"/>
  <c r="G418"/>
  <c r="G417" s="1"/>
  <c r="G1719" i="3"/>
  <c r="G1718" s="1"/>
  <c r="G1717" s="1"/>
  <c r="I1718"/>
  <c r="I1717" s="1"/>
  <c r="H1718"/>
  <c r="H1717" s="1"/>
  <c r="G2105" i="1"/>
  <c r="G2104" s="1"/>
  <c r="G2093" s="1"/>
  <c r="I2105"/>
  <c r="I2104" s="1"/>
  <c r="I2093" s="1"/>
  <c r="H2105"/>
  <c r="H2104" s="1"/>
  <c r="H2093" s="1"/>
  <c r="G289" i="3"/>
  <c r="G288" s="1"/>
  <c r="G1949" i="1"/>
  <c r="G1948" s="1"/>
  <c r="G1947" s="1"/>
  <c r="G1006" i="3"/>
  <c r="G1005" s="1"/>
  <c r="G1004" s="1"/>
  <c r="G1353" i="1"/>
  <c r="G1352" s="1"/>
  <c r="H1628" i="3"/>
  <c r="H1627" s="1"/>
  <c r="H1626" s="1"/>
  <c r="I1628"/>
  <c r="I1627" s="1"/>
  <c r="I1626" s="1"/>
  <c r="G1628"/>
  <c r="G1627" s="1"/>
  <c r="G1626" s="1"/>
  <c r="I1658" i="1"/>
  <c r="I1657" s="1"/>
  <c r="H1658"/>
  <c r="H1657" s="1"/>
  <c r="G1658"/>
  <c r="G1657" s="1"/>
  <c r="I1711" l="1"/>
  <c r="I2180" i="3"/>
  <c r="H1711" i="1"/>
  <c r="H2180" i="3"/>
  <c r="G3210" i="1"/>
  <c r="G3209" s="1"/>
  <c r="G3208" s="1"/>
  <c r="G1820" i="3"/>
  <c r="G1819" s="1"/>
  <c r="G1818" s="1"/>
  <c r="G1816"/>
  <c r="G1815" s="1"/>
  <c r="G1813"/>
  <c r="H1811"/>
  <c r="H1810" s="1"/>
  <c r="G1811"/>
  <c r="I1810"/>
  <c r="G1809"/>
  <c r="G1808" s="1"/>
  <c r="H1806"/>
  <c r="H1805" s="1"/>
  <c r="G1806"/>
  <c r="I1805"/>
  <c r="G1803"/>
  <c r="G1802" s="1"/>
  <c r="G1801" s="1"/>
  <c r="G1799"/>
  <c r="G1798" s="1"/>
  <c r="G2531" i="1"/>
  <c r="G2530" s="1"/>
  <c r="G1094"/>
  <c r="G1093" s="1"/>
  <c r="I1105"/>
  <c r="I1104" s="1"/>
  <c r="H1105"/>
  <c r="H1104" s="1"/>
  <c r="G1105"/>
  <c r="G1104" s="1"/>
  <c r="I1101"/>
  <c r="I1100" s="1"/>
  <c r="H1101"/>
  <c r="H1100" s="1"/>
  <c r="G1101"/>
  <c r="G1100" l="1"/>
  <c r="G2182" i="3"/>
  <c r="G2181" s="1"/>
  <c r="I1099" i="1"/>
  <c r="I1103"/>
  <c r="H1099"/>
  <c r="H1103"/>
  <c r="G1099"/>
  <c r="G1103"/>
  <c r="G1072" i="3"/>
  <c r="G1805"/>
  <c r="G1810"/>
  <c r="G610"/>
  <c r="G609" s="1"/>
  <c r="G828" i="1"/>
  <c r="G827" s="1"/>
  <c r="I1404" i="3"/>
  <c r="I1403" s="1"/>
  <c r="I1402" s="1"/>
  <c r="H1404"/>
  <c r="H1403" s="1"/>
  <c r="H1402" s="1"/>
  <c r="G1404"/>
  <c r="G1403" s="1"/>
  <c r="G1402" s="1"/>
  <c r="H822" l="1"/>
  <c r="H895" i="1"/>
  <c r="H894" s="1"/>
  <c r="I895"/>
  <c r="I894" s="1"/>
  <c r="G895"/>
  <c r="G894" s="1"/>
  <c r="G2105" i="3" l="1"/>
  <c r="G2104" s="1"/>
  <c r="G2103" s="1"/>
  <c r="H2104"/>
  <c r="H2103" s="1"/>
  <c r="I1560" i="1"/>
  <c r="H1560"/>
  <c r="G602" i="3"/>
  <c r="I1137"/>
  <c r="I1136" s="1"/>
  <c r="H1137"/>
  <c r="H1136" s="1"/>
  <c r="G1137"/>
  <c r="G1136" s="1"/>
  <c r="G1134"/>
  <c r="G1133" s="1"/>
  <c r="G1196"/>
  <c r="G1429"/>
  <c r="I1559" i="1" l="1"/>
  <c r="K1566"/>
  <c r="H1559"/>
  <c r="J1566"/>
  <c r="G1560"/>
  <c r="G1559" s="1"/>
  <c r="G479" i="3"/>
  <c r="I479"/>
  <c r="H479"/>
  <c r="G2138" i="1"/>
  <c r="I2138"/>
  <c r="H2138"/>
  <c r="G474" i="3"/>
  <c r="I474"/>
  <c r="H474"/>
  <c r="G2133" i="1"/>
  <c r="I2133"/>
  <c r="H2133"/>
  <c r="I972" i="3"/>
  <c r="I971" s="1"/>
  <c r="H972"/>
  <c r="H971" s="1"/>
  <c r="G972"/>
  <c r="G971" s="1"/>
  <c r="I1307" i="1"/>
  <c r="I1306" s="1"/>
  <c r="H1307"/>
  <c r="H1306" s="1"/>
  <c r="G1307"/>
  <c r="G1306" s="1"/>
  <c r="H1161" i="3"/>
  <c r="I1161"/>
  <c r="G1161"/>
  <c r="H1454"/>
  <c r="I1454"/>
  <c r="H1457"/>
  <c r="I1457"/>
  <c r="G1457"/>
  <c r="I1246" i="1"/>
  <c r="I1245" s="1"/>
  <c r="I1886" s="1"/>
  <c r="I1885" s="1"/>
  <c r="I1882" s="1"/>
  <c r="I1878" s="1"/>
  <c r="I1874" s="1"/>
  <c r="H1246"/>
  <c r="H1245" s="1"/>
  <c r="H1886" s="1"/>
  <c r="H1885" s="1"/>
  <c r="H1882" s="1"/>
  <c r="H1878" s="1"/>
  <c r="H1874" s="1"/>
  <c r="G1246"/>
  <c r="G1245" s="1"/>
  <c r="I1243"/>
  <c r="I1242" s="1"/>
  <c r="H1243"/>
  <c r="H1242" s="1"/>
  <c r="G1243"/>
  <c r="G1242" s="1"/>
  <c r="I1240"/>
  <c r="I1239" s="1"/>
  <c r="H1240"/>
  <c r="H1239" s="1"/>
  <c r="G1240"/>
  <c r="G1239" s="1"/>
  <c r="G1236"/>
  <c r="G1235" s="1"/>
  <c r="G1234" s="1"/>
  <c r="G1233" s="1"/>
  <c r="I1235"/>
  <c r="I1234" s="1"/>
  <c r="I1233" s="1"/>
  <c r="H1235"/>
  <c r="H1234" s="1"/>
  <c r="H1233" s="1"/>
  <c r="G1231"/>
  <c r="G1230" s="1"/>
  <c r="I1230"/>
  <c r="H1230"/>
  <c r="G1228"/>
  <c r="I1226"/>
  <c r="I1225" s="1"/>
  <c r="H1226"/>
  <c r="H1225" s="1"/>
  <c r="G1226"/>
  <c r="G1225" s="1"/>
  <c r="I1655" i="3"/>
  <c r="H1655"/>
  <c r="G1655"/>
  <c r="H2238" i="1"/>
  <c r="I2238"/>
  <c r="G2238"/>
  <c r="I2239"/>
  <c r="H2239"/>
  <c r="G2239"/>
  <c r="G2260"/>
  <c r="I1002" i="3"/>
  <c r="I1001" s="1"/>
  <c r="I1000" s="1"/>
  <c r="H1002"/>
  <c r="H1001" s="1"/>
  <c r="H1000" s="1"/>
  <c r="G1002"/>
  <c r="G1001" s="1"/>
  <c r="G1000" s="1"/>
  <c r="I1350" i="1"/>
  <c r="I1349" s="1"/>
  <c r="I1348" s="1"/>
  <c r="H1350"/>
  <c r="H1349" s="1"/>
  <c r="H1348" s="1"/>
  <c r="G1350"/>
  <c r="G1349" s="1"/>
  <c r="G1348" s="1"/>
  <c r="H1710" i="3"/>
  <c r="I1710"/>
  <c r="I640" i="1"/>
  <c r="I639" s="1"/>
  <c r="H640"/>
  <c r="H639" s="1"/>
  <c r="G640"/>
  <c r="G639" s="1"/>
  <c r="I1722" i="3"/>
  <c r="H1722"/>
  <c r="H1178"/>
  <c r="I1178"/>
  <c r="G1178"/>
  <c r="G1524"/>
  <c r="G1506"/>
  <c r="H2622" i="1"/>
  <c r="H2621" s="1"/>
  <c r="I2622"/>
  <c r="I2621" s="1"/>
  <c r="H64" i="3"/>
  <c r="I64"/>
  <c r="G64"/>
  <c r="H158" i="1"/>
  <c r="I158"/>
  <c r="I636" l="1"/>
  <c r="I635" s="1"/>
  <c r="H1223"/>
  <c r="H1222" s="1"/>
  <c r="I1223"/>
  <c r="I1222" s="1"/>
  <c r="G1238"/>
  <c r="G1223"/>
  <c r="G1222" s="1"/>
  <c r="I1238"/>
  <c r="H1238"/>
  <c r="H636"/>
  <c r="H635" s="1"/>
  <c r="G636"/>
  <c r="G635" s="1"/>
  <c r="I302" i="3"/>
  <c r="I301" s="1"/>
  <c r="I300" s="1"/>
  <c r="H302"/>
  <c r="H301" s="1"/>
  <c r="H300" s="1"/>
  <c r="G302"/>
  <c r="G301" s="1"/>
  <c r="G300" s="1"/>
  <c r="I284"/>
  <c r="I1936" i="1"/>
  <c r="I1935" s="1"/>
  <c r="I1934" s="1"/>
  <c r="H1936"/>
  <c r="H1935" s="1"/>
  <c r="H1934" s="1"/>
  <c r="G1936"/>
  <c r="G1935" s="1"/>
  <c r="G1934" s="1"/>
  <c r="I745" i="3"/>
  <c r="I744" s="1"/>
  <c r="H745"/>
  <c r="H744" s="1"/>
  <c r="G745"/>
  <c r="G744" s="1"/>
  <c r="I901" i="1"/>
  <c r="I900" s="1"/>
  <c r="H901"/>
  <c r="H900" s="1"/>
  <c r="G901"/>
  <c r="G900" s="1"/>
  <c r="H792" i="3"/>
  <c r="H791" s="1"/>
  <c r="H790" s="1"/>
  <c r="I792"/>
  <c r="I791" s="1"/>
  <c r="I790" s="1"/>
  <c r="G792"/>
  <c r="G791" s="1"/>
  <c r="G790" s="1"/>
  <c r="I898" i="1"/>
  <c r="I897" s="1"/>
  <c r="H898"/>
  <c r="H897" s="1"/>
  <c r="G898"/>
  <c r="G897" s="1"/>
  <c r="I742" i="3"/>
  <c r="I741" s="1"/>
  <c r="H742"/>
  <c r="H741" s="1"/>
  <c r="G742"/>
  <c r="G741" s="1"/>
  <c r="I961" i="1"/>
  <c r="H961"/>
  <c r="G961"/>
  <c r="G960" s="1"/>
  <c r="I782" i="3"/>
  <c r="I781" s="1"/>
  <c r="H782"/>
  <c r="H781" s="1"/>
  <c r="G782"/>
  <c r="G781" s="1"/>
  <c r="I934" i="1"/>
  <c r="I933" s="1"/>
  <c r="H934"/>
  <c r="H933" s="1"/>
  <c r="G934"/>
  <c r="G933" s="1"/>
  <c r="I234" i="3"/>
  <c r="I233" s="1"/>
  <c r="H234"/>
  <c r="H233" s="1"/>
  <c r="G234"/>
  <c r="G233" s="1"/>
  <c r="I196" i="1"/>
  <c r="I195" s="1"/>
  <c r="H196"/>
  <c r="H195" s="1"/>
  <c r="G196"/>
  <c r="G195" s="1"/>
  <c r="I1399"/>
  <c r="I1398" s="1"/>
  <c r="H1399"/>
  <c r="H1398" s="1"/>
  <c r="G1399"/>
  <c r="G1398" s="1"/>
  <c r="I1396"/>
  <c r="I1395" s="1"/>
  <c r="H1396"/>
  <c r="H1395" s="1"/>
  <c r="G1396"/>
  <c r="G1395" s="1"/>
  <c r="I1393"/>
  <c r="I1392" s="1"/>
  <c r="H1393"/>
  <c r="H1392" s="1"/>
  <c r="G1393"/>
  <c r="G1392" s="1"/>
  <c r="G1389"/>
  <c r="G1388" s="1"/>
  <c r="G1387" s="1"/>
  <c r="G1386" s="1"/>
  <c r="G1745" s="1"/>
  <c r="G1744" s="1"/>
  <c r="G1743" s="1"/>
  <c r="I1388"/>
  <c r="I1387" s="1"/>
  <c r="I1386" s="1"/>
  <c r="H1388"/>
  <c r="H1387" s="1"/>
  <c r="H1386" s="1"/>
  <c r="G1384"/>
  <c r="G1383" s="1"/>
  <c r="I1383"/>
  <c r="H1383"/>
  <c r="G1381"/>
  <c r="I1379"/>
  <c r="I1378" s="1"/>
  <c r="H1379"/>
  <c r="H1378" s="1"/>
  <c r="G1379"/>
  <c r="G1378" s="1"/>
  <c r="I1828" i="3"/>
  <c r="I1827" s="1"/>
  <c r="H1828"/>
  <c r="H1827" s="1"/>
  <c r="I2266" i="1"/>
  <c r="I2265" s="1"/>
  <c r="H2266"/>
  <c r="H2265" s="1"/>
  <c r="G2266"/>
  <c r="G2265" s="1"/>
  <c r="H960" l="1"/>
  <c r="H1569"/>
  <c r="H1568" s="1"/>
  <c r="I960"/>
  <c r="I1569"/>
  <c r="I1568" s="1"/>
  <c r="G1829" i="3"/>
  <c r="I1376" i="1"/>
  <c r="I1375" s="1"/>
  <c r="H1376"/>
  <c r="H1375" s="1"/>
  <c r="G1376"/>
  <c r="G1375" s="1"/>
  <c r="G1391"/>
  <c r="G1390" s="1"/>
  <c r="H1391"/>
  <c r="H1390" s="1"/>
  <c r="I1391"/>
  <c r="I1390" s="1"/>
  <c r="G1828" i="3" l="1"/>
  <c r="G1827" s="1"/>
  <c r="H1563" i="1"/>
  <c r="H1562"/>
  <c r="I1562"/>
  <c r="I1563"/>
  <c r="I1374"/>
  <c r="H1374"/>
  <c r="G1374"/>
  <c r="I536" i="3"/>
  <c r="H536"/>
  <c r="G536"/>
  <c r="H594"/>
  <c r="H593" s="1"/>
  <c r="H592" s="1"/>
  <c r="I594"/>
  <c r="I593" s="1"/>
  <c r="I592" s="1"/>
  <c r="G594"/>
  <c r="G593" s="1"/>
  <c r="G592" s="1"/>
  <c r="I1171" i="1"/>
  <c r="I1170" s="1"/>
  <c r="H1171"/>
  <c r="H1170" s="1"/>
  <c r="G1171"/>
  <c r="G1170" s="1"/>
  <c r="I710" i="3"/>
  <c r="H710"/>
  <c r="H585"/>
  <c r="H584" s="1"/>
  <c r="H583" s="1"/>
  <c r="I585"/>
  <c r="I584" s="1"/>
  <c r="I583" s="1"/>
  <c r="G477"/>
  <c r="G539"/>
  <c r="H484"/>
  <c r="I484"/>
  <c r="H477"/>
  <c r="I477"/>
  <c r="I2140" i="1"/>
  <c r="I2137" s="1"/>
  <c r="H2140"/>
  <c r="H2137" s="1"/>
  <c r="I2135"/>
  <c r="I2132" s="1"/>
  <c r="H2135"/>
  <c r="H2132" s="1"/>
  <c r="H1039" i="3"/>
  <c r="I1039"/>
  <c r="G1039"/>
  <c r="I2005" i="1"/>
  <c r="I2004" s="1"/>
  <c r="H2005"/>
  <c r="H2004" s="1"/>
  <c r="G2005"/>
  <c r="G2004" s="1"/>
  <c r="G2003" s="1"/>
  <c r="G1999" s="1"/>
  <c r="I1428" i="3"/>
  <c r="I1427" s="1"/>
  <c r="I1426" s="1"/>
  <c r="H1428"/>
  <c r="H1427" s="1"/>
  <c r="H1426" s="1"/>
  <c r="G1428"/>
  <c r="G1427" s="1"/>
  <c r="G1426" s="1"/>
  <c r="I283" i="1"/>
  <c r="I282" s="1"/>
  <c r="I281" s="1"/>
  <c r="H283"/>
  <c r="H282" s="1"/>
  <c r="H281" s="1"/>
  <c r="G283"/>
  <c r="G282" s="1"/>
  <c r="G281" s="1"/>
  <c r="I1413" i="3"/>
  <c r="I1412" s="1"/>
  <c r="H1413"/>
  <c r="H1412" s="1"/>
  <c r="G1413"/>
  <c r="G1412" s="1"/>
  <c r="I276" i="1"/>
  <c r="I275" s="1"/>
  <c r="H276"/>
  <c r="H275" s="1"/>
  <c r="G276"/>
  <c r="G275" s="1"/>
  <c r="I1955"/>
  <c r="H1955"/>
  <c r="G1955"/>
  <c r="I1953"/>
  <c r="H1953"/>
  <c r="G1953"/>
  <c r="J982" i="3"/>
  <c r="K982"/>
  <c r="L982"/>
  <c r="M982"/>
  <c r="N982"/>
  <c r="O982"/>
  <c r="H983"/>
  <c r="H982" s="1"/>
  <c r="H981" s="1"/>
  <c r="H980" s="1"/>
  <c r="I983"/>
  <c r="I982" s="1"/>
  <c r="I981" s="1"/>
  <c r="I980" s="1"/>
  <c r="H987"/>
  <c r="H986" s="1"/>
  <c r="I987"/>
  <c r="I986" s="1"/>
  <c r="H989"/>
  <c r="H988" s="1"/>
  <c r="I989"/>
  <c r="I988" s="1"/>
  <c r="H545"/>
  <c r="H544" s="1"/>
  <c r="H543" s="1"/>
  <c r="I545"/>
  <c r="I544" s="1"/>
  <c r="I543" s="1"/>
  <c r="H221" i="1"/>
  <c r="I221"/>
  <c r="H946" i="3"/>
  <c r="H945" s="1"/>
  <c r="I946"/>
  <c r="I945" s="1"/>
  <c r="H913"/>
  <c r="I913"/>
  <c r="H819"/>
  <c r="H818" s="1"/>
  <c r="H817" s="1"/>
  <c r="I819"/>
  <c r="I818" s="1"/>
  <c r="I817" s="1"/>
  <c r="H776"/>
  <c r="H775" s="1"/>
  <c r="I776"/>
  <c r="I775" s="1"/>
  <c r="H760"/>
  <c r="H759" s="1"/>
  <c r="I760"/>
  <c r="I759" s="1"/>
  <c r="H754"/>
  <c r="H753" s="1"/>
  <c r="I754"/>
  <c r="I753" s="1"/>
  <c r="G754"/>
  <c r="G753" s="1"/>
  <c r="H752"/>
  <c r="H751" s="1"/>
  <c r="H750" s="1"/>
  <c r="I752"/>
  <c r="I751" s="1"/>
  <c r="I750" s="1"/>
  <c r="G752"/>
  <c r="G751" s="1"/>
  <c r="G750" s="1"/>
  <c r="H740"/>
  <c r="I740"/>
  <c r="H701"/>
  <c r="H700" s="1"/>
  <c r="H699" s="1"/>
  <c r="I701"/>
  <c r="I700" s="1"/>
  <c r="I699" s="1"/>
  <c r="G701"/>
  <c r="G700" s="1"/>
  <c r="G699" s="1"/>
  <c r="H680"/>
  <c r="H679" s="1"/>
  <c r="I680"/>
  <c r="I679" s="1"/>
  <c r="H678"/>
  <c r="I678"/>
  <c r="H677"/>
  <c r="I677"/>
  <c r="H676"/>
  <c r="I676"/>
  <c r="J674"/>
  <c r="K674"/>
  <c r="L674"/>
  <c r="M674"/>
  <c r="N674"/>
  <c r="O674"/>
  <c r="H668"/>
  <c r="I669"/>
  <c r="H667"/>
  <c r="H666" s="1"/>
  <c r="H665" s="1"/>
  <c r="H664" s="1"/>
  <c r="I667"/>
  <c r="I666" s="1"/>
  <c r="I665" s="1"/>
  <c r="I664" s="1"/>
  <c r="H652"/>
  <c r="H651" s="1"/>
  <c r="H650" s="1"/>
  <c r="I652"/>
  <c r="I651" s="1"/>
  <c r="I650" s="1"/>
  <c r="H642"/>
  <c r="H641" s="1"/>
  <c r="I642"/>
  <c r="I641" s="1"/>
  <c r="H632"/>
  <c r="H631" s="1"/>
  <c r="H630" s="1"/>
  <c r="I632"/>
  <c r="I631" s="1"/>
  <c r="I630" s="1"/>
  <c r="H599"/>
  <c r="H598" s="1"/>
  <c r="I599"/>
  <c r="I598" s="1"/>
  <c r="H591"/>
  <c r="H590" s="1"/>
  <c r="H589" s="1"/>
  <c r="I591"/>
  <c r="I590" s="1"/>
  <c r="I589" s="1"/>
  <c r="G591"/>
  <c r="G590" s="1"/>
  <c r="G589" s="1"/>
  <c r="H588"/>
  <c r="H587" s="1"/>
  <c r="H586" s="1"/>
  <c r="I588"/>
  <c r="I587" s="1"/>
  <c r="I586" s="1"/>
  <c r="H582"/>
  <c r="H581" s="1"/>
  <c r="H580" s="1"/>
  <c r="I582"/>
  <c r="I581" s="1"/>
  <c r="I580" s="1"/>
  <c r="H558"/>
  <c r="H557" s="1"/>
  <c r="H556" s="1"/>
  <c r="I558"/>
  <c r="I557" s="1"/>
  <c r="I556" s="1"/>
  <c r="H551"/>
  <c r="H550" s="1"/>
  <c r="H549" s="1"/>
  <c r="I551"/>
  <c r="I550" s="1"/>
  <c r="I549" s="1"/>
  <c r="G588"/>
  <c r="G587" s="1"/>
  <c r="G586" s="1"/>
  <c r="I867" i="1"/>
  <c r="I866" s="1"/>
  <c r="H867"/>
  <c r="H866" s="1"/>
  <c r="G867"/>
  <c r="G866" s="1"/>
  <c r="I910"/>
  <c r="I909" s="1"/>
  <c r="H910"/>
  <c r="H909" s="1"/>
  <c r="G910"/>
  <c r="G909" s="1"/>
  <c r="I907"/>
  <c r="I906" s="1"/>
  <c r="H907"/>
  <c r="H906" s="1"/>
  <c r="G907"/>
  <c r="G906" s="1"/>
  <c r="I608" i="3"/>
  <c r="I607" s="1"/>
  <c r="I606" s="1"/>
  <c r="H608"/>
  <c r="H607" s="1"/>
  <c r="H606" s="1"/>
  <c r="I1184" i="1"/>
  <c r="I1183" s="1"/>
  <c r="H1184"/>
  <c r="H1183" s="1"/>
  <c r="G1184"/>
  <c r="G1183" s="1"/>
  <c r="I846"/>
  <c r="I845" s="1"/>
  <c r="H846"/>
  <c r="H845" s="1"/>
  <c r="G846"/>
  <c r="G845" s="1"/>
  <c r="G669" i="3"/>
  <c r="G608"/>
  <c r="I812" i="1"/>
  <c r="I811" s="1"/>
  <c r="H812"/>
  <c r="H811" s="1"/>
  <c r="G667" i="3"/>
  <c r="I1149" i="1"/>
  <c r="I1148" s="1"/>
  <c r="H1149"/>
  <c r="H1148" s="1"/>
  <c r="G1149"/>
  <c r="G1148" s="1"/>
  <c r="H1140"/>
  <c r="I1140"/>
  <c r="G1140"/>
  <c r="I698" i="3"/>
  <c r="I697" s="1"/>
  <c r="I696" s="1"/>
  <c r="H698"/>
  <c r="H697" s="1"/>
  <c r="H696" s="1"/>
  <c r="I702" i="1"/>
  <c r="I701" s="1"/>
  <c r="H702"/>
  <c r="H701" s="1"/>
  <c r="G702"/>
  <c r="G701" s="1"/>
  <c r="I694"/>
  <c r="I693" s="1"/>
  <c r="H570" i="3"/>
  <c r="H569" s="1"/>
  <c r="H568" s="1"/>
  <c r="I685" i="1"/>
  <c r="I684" s="1"/>
  <c r="H685"/>
  <c r="H684" s="1"/>
  <c r="G685"/>
  <c r="G684" s="1"/>
  <c r="I535" i="3" l="1"/>
  <c r="I534" s="1"/>
  <c r="H539"/>
  <c r="I539"/>
  <c r="H1999" i="1"/>
  <c r="H2003"/>
  <c r="I1999"/>
  <c r="I2003"/>
  <c r="G585" i="3"/>
  <c r="G584" s="1"/>
  <c r="G583" s="1"/>
  <c r="H694" i="1"/>
  <c r="H693" s="1"/>
  <c r="H912" i="3"/>
  <c r="H911" s="1"/>
  <c r="I912"/>
  <c r="I911" s="1"/>
  <c r="G812" i="1"/>
  <c r="G811" s="1"/>
  <c r="G694"/>
  <c r="G693" s="1"/>
  <c r="I739" i="3"/>
  <c r="H739"/>
  <c r="H771"/>
  <c r="H770" s="1"/>
  <c r="H769" s="1"/>
  <c r="I570"/>
  <c r="I569" s="1"/>
  <c r="I568" s="1"/>
  <c r="H709"/>
  <c r="H708" s="1"/>
  <c r="G771"/>
  <c r="G570"/>
  <c r="G569" s="1"/>
  <c r="G568" s="1"/>
  <c r="I709"/>
  <c r="I708" s="1"/>
  <c r="G1952" i="1"/>
  <c r="G1951" s="1"/>
  <c r="G1933" s="1"/>
  <c r="G2135"/>
  <c r="G2132" s="1"/>
  <c r="G2140"/>
  <c r="G2137" s="1"/>
  <c r="G709" i="3"/>
  <c r="G708" s="1"/>
  <c r="H675"/>
  <c r="H674" s="1"/>
  <c r="I1952" i="1"/>
  <c r="I1951" s="1"/>
  <c r="I1933" s="1"/>
  <c r="I771" i="3"/>
  <c r="I770" s="1"/>
  <c r="I769" s="1"/>
  <c r="H1952" i="1"/>
  <c r="H1951" s="1"/>
  <c r="H1933" s="1"/>
  <c r="H669" i="3"/>
  <c r="I668"/>
  <c r="H535"/>
  <c r="H534" s="1"/>
  <c r="I675"/>
  <c r="I674" s="1"/>
  <c r="G668"/>
  <c r="J1724"/>
  <c r="K1724"/>
  <c r="L1724"/>
  <c r="M1724"/>
  <c r="N1724"/>
  <c r="O1724"/>
  <c r="H1926"/>
  <c r="I1926"/>
  <c r="H1917"/>
  <c r="I1917"/>
  <c r="H1911"/>
  <c r="I1911"/>
  <c r="H1905"/>
  <c r="I1905"/>
  <c r="H1716"/>
  <c r="I1716"/>
  <c r="H1692"/>
  <c r="I1692"/>
  <c r="H1684"/>
  <c r="I1684"/>
  <c r="H1664"/>
  <c r="I1664"/>
  <c r="H1658"/>
  <c r="I1658"/>
  <c r="I1825"/>
  <c r="I1824" s="1"/>
  <c r="H1825"/>
  <c r="H1824" s="1"/>
  <c r="G1825"/>
  <c r="G1824" s="1"/>
  <c r="I2534" i="1"/>
  <c r="I1641" i="3" l="1"/>
  <c r="H1641"/>
  <c r="H1725"/>
  <c r="H1724" s="1"/>
  <c r="H1723" s="1"/>
  <c r="I1725"/>
  <c r="I1724" s="1"/>
  <c r="I1723" s="1"/>
  <c r="H1689"/>
  <c r="H1688" s="1"/>
  <c r="I1689"/>
  <c r="I1688" s="1"/>
  <c r="G1658"/>
  <c r="H487"/>
  <c r="I487"/>
  <c r="G1716"/>
  <c r="G1641" s="1"/>
  <c r="G1692"/>
  <c r="G1689"/>
  <c r="H1053"/>
  <c r="I1053"/>
  <c r="G1053"/>
  <c r="H1060"/>
  <c r="I1060"/>
  <c r="G1060"/>
  <c r="H1057"/>
  <c r="I1057"/>
  <c r="G1057"/>
  <c r="H1072"/>
  <c r="I1072"/>
  <c r="I2640" i="1"/>
  <c r="I2620" s="1"/>
  <c r="H2640"/>
  <c r="H2620" s="1"/>
  <c r="H2609" s="1"/>
  <c r="G2640"/>
  <c r="I2639"/>
  <c r="H2639"/>
  <c r="G2639"/>
  <c r="I2631"/>
  <c r="I2630" s="1"/>
  <c r="H2631"/>
  <c r="H2630" s="1"/>
  <c r="G2631"/>
  <c r="I2628"/>
  <c r="I2627" s="1"/>
  <c r="H2628"/>
  <c r="H2627" s="1"/>
  <c r="G2628"/>
  <c r="G2627" s="1"/>
  <c r="I2625"/>
  <c r="I2624" s="1"/>
  <c r="H2625"/>
  <c r="H2624" s="1"/>
  <c r="G2625"/>
  <c r="G2624" s="1"/>
  <c r="G2622"/>
  <c r="G2621" s="1"/>
  <c r="I2533"/>
  <c r="I2506" s="1"/>
  <c r="I2505" s="1"/>
  <c r="H2534"/>
  <c r="H2533" s="1"/>
  <c r="H2506" s="1"/>
  <c r="H2505" s="1"/>
  <c r="G2534"/>
  <c r="G2533" s="1"/>
  <c r="G2525"/>
  <c r="G2524" s="1"/>
  <c r="G2522"/>
  <c r="H2520"/>
  <c r="H2519" s="1"/>
  <c r="G2520"/>
  <c r="I2519"/>
  <c r="G2518"/>
  <c r="G2517" s="1"/>
  <c r="H2515"/>
  <c r="H2514" s="1"/>
  <c r="H2464" s="1"/>
  <c r="H2463" s="1"/>
  <c r="H2368" s="1"/>
  <c r="G2515"/>
  <c r="I2514"/>
  <c r="I2464" s="1"/>
  <c r="I2463" s="1"/>
  <c r="I2368" s="1"/>
  <c r="G2512"/>
  <c r="G2511" s="1"/>
  <c r="G2510" s="1"/>
  <c r="G2508"/>
  <c r="G2507" s="1"/>
  <c r="I2262"/>
  <c r="I2261" s="1"/>
  <c r="H2262"/>
  <c r="H2261" s="1"/>
  <c r="G2262"/>
  <c r="G2261" s="1"/>
  <c r="I2258"/>
  <c r="H2258"/>
  <c r="G2258"/>
  <c r="H2257"/>
  <c r="H2256" s="1"/>
  <c r="H2255" s="1"/>
  <c r="I2256"/>
  <c r="I2255" s="1"/>
  <c r="G2256"/>
  <c r="G2255" s="1"/>
  <c r="H2276"/>
  <c r="H2274" s="1"/>
  <c r="G2276"/>
  <c r="G2275" s="1"/>
  <c r="G2274" s="1"/>
  <c r="I2276"/>
  <c r="I2274" s="1"/>
  <c r="I2253"/>
  <c r="I2252" s="1"/>
  <c r="H2253"/>
  <c r="H2252" s="1"/>
  <c r="G2253"/>
  <c r="G2252" s="1"/>
  <c r="I2250"/>
  <c r="I2249" s="1"/>
  <c r="H2250"/>
  <c r="H2249" s="1"/>
  <c r="G2250"/>
  <c r="G2249" s="1"/>
  <c r="I2247"/>
  <c r="I2246" s="1"/>
  <c r="H2247"/>
  <c r="H2246" s="1"/>
  <c r="G2247"/>
  <c r="G2246" s="1"/>
  <c r="I2244"/>
  <c r="I2243" s="1"/>
  <c r="H2244"/>
  <c r="H2243" s="1"/>
  <c r="G2244"/>
  <c r="G2243" s="1"/>
  <c r="I2241"/>
  <c r="H2241"/>
  <c r="G2241"/>
  <c r="I2201"/>
  <c r="I2200" s="1"/>
  <c r="H2201"/>
  <c r="H2200" s="1"/>
  <c r="G2201"/>
  <c r="G2200" s="1"/>
  <c r="I2198"/>
  <c r="I2197" s="1"/>
  <c r="H2198"/>
  <c r="H2197" s="1"/>
  <c r="G2198"/>
  <c r="G2197" s="1"/>
  <c r="G2195"/>
  <c r="I2193"/>
  <c r="I2192" s="1"/>
  <c r="H2193"/>
  <c r="H2192" s="1"/>
  <c r="G2193"/>
  <c r="I501" i="3"/>
  <c r="I500" s="1"/>
  <c r="H501"/>
  <c r="H500" s="1"/>
  <c r="G501"/>
  <c r="I498"/>
  <c r="I497" s="1"/>
  <c r="H498"/>
  <c r="H497" s="1"/>
  <c r="G498"/>
  <c r="G497" s="1"/>
  <c r="I495"/>
  <c r="I494" s="1"/>
  <c r="H495"/>
  <c r="H494" s="1"/>
  <c r="G495"/>
  <c r="G494" s="1"/>
  <c r="I2127" i="1"/>
  <c r="I2126" s="1"/>
  <c r="H2127"/>
  <c r="H2126" s="1"/>
  <c r="G2127"/>
  <c r="G2126" s="1"/>
  <c r="I2124"/>
  <c r="I2123" s="1"/>
  <c r="H2124"/>
  <c r="H2123" s="1"/>
  <c r="G2124"/>
  <c r="G2123" s="1"/>
  <c r="I2121"/>
  <c r="I2120" s="1"/>
  <c r="H2121"/>
  <c r="H2120" s="1"/>
  <c r="G2121"/>
  <c r="G2120" s="1"/>
  <c r="I1796" i="3"/>
  <c r="I1795" s="1"/>
  <c r="H1796"/>
  <c r="H1795" s="1"/>
  <c r="G1796"/>
  <c r="G1795" s="1"/>
  <c r="I1793"/>
  <c r="I1792" s="1"/>
  <c r="H1793"/>
  <c r="H1792" s="1"/>
  <c r="G1793"/>
  <c r="G1792" s="1"/>
  <c r="I1790"/>
  <c r="I1789" s="1"/>
  <c r="H1790"/>
  <c r="H1789" s="1"/>
  <c r="G1790"/>
  <c r="G1789" s="1"/>
  <c r="I2108" i="1"/>
  <c r="I2107" s="1"/>
  <c r="H2108"/>
  <c r="H2107" s="1"/>
  <c r="G2108"/>
  <c r="G2107" s="1"/>
  <c r="I2102"/>
  <c r="I2101" s="1"/>
  <c r="H2102"/>
  <c r="H2101" s="1"/>
  <c r="G2102"/>
  <c r="G2101" s="1"/>
  <c r="I2099"/>
  <c r="I2098" s="1"/>
  <c r="H2099"/>
  <c r="H2098" s="1"/>
  <c r="G2099"/>
  <c r="G2098" s="1"/>
  <c r="H3145"/>
  <c r="G3145"/>
  <c r="G3144" s="1"/>
  <c r="I63" i="3"/>
  <c r="H63"/>
  <c r="G63"/>
  <c r="I61"/>
  <c r="H61"/>
  <c r="G61"/>
  <c r="I1615" i="1"/>
  <c r="H1615"/>
  <c r="G1615"/>
  <c r="I1613"/>
  <c r="H1613"/>
  <c r="G1613"/>
  <c r="G2009" s="1"/>
  <c r="G2008" s="1"/>
  <c r="G2007" s="1"/>
  <c r="G2119" l="1"/>
  <c r="G2092" s="1"/>
  <c r="G2620"/>
  <c r="G2609" s="1"/>
  <c r="I2191"/>
  <c r="I2190" s="1"/>
  <c r="H2191"/>
  <c r="H2190" s="1"/>
  <c r="T1664" i="3"/>
  <c r="G2506" i="1"/>
  <c r="I2609"/>
  <c r="I2608" s="1"/>
  <c r="P1040" i="3"/>
  <c r="P1052" s="1"/>
  <c r="G2630" i="1"/>
  <c r="J2608"/>
  <c r="H2119"/>
  <c r="H2092" s="1"/>
  <c r="I2119"/>
  <c r="I2092" s="1"/>
  <c r="G2519"/>
  <c r="I60" i="3"/>
  <c r="H1612" i="1"/>
  <c r="G2192"/>
  <c r="G2191" s="1"/>
  <c r="G2514"/>
  <c r="G1612"/>
  <c r="G60" i="3"/>
  <c r="H60"/>
  <c r="H2608" i="1"/>
  <c r="I1612"/>
  <c r="G50"/>
  <c r="G49" s="1"/>
  <c r="I50"/>
  <c r="I49" s="1"/>
  <c r="H50"/>
  <c r="H49" s="1"/>
  <c r="I1201" i="3"/>
  <c r="I1200" s="1"/>
  <c r="H1201"/>
  <c r="H1200" s="1"/>
  <c r="G1201"/>
  <c r="G1200" s="1"/>
  <c r="I421" i="1"/>
  <c r="I420" s="1"/>
  <c r="H421"/>
  <c r="H420" s="1"/>
  <c r="G421"/>
  <c r="G420" s="1"/>
  <c r="I1170" i="3"/>
  <c r="H1170"/>
  <c r="I1192"/>
  <c r="I1191" s="1"/>
  <c r="H1192"/>
  <c r="H1191" s="1"/>
  <c r="G1192"/>
  <c r="G1191" s="1"/>
  <c r="I379" i="1"/>
  <c r="I378" s="1"/>
  <c r="H379"/>
  <c r="H378" s="1"/>
  <c r="G379"/>
  <c r="G378" s="1"/>
  <c r="I1174" i="3"/>
  <c r="H1174"/>
  <c r="G353" i="1"/>
  <c r="I1195" i="3"/>
  <c r="I1194" s="1"/>
  <c r="H1195"/>
  <c r="H1194" s="1"/>
  <c r="G1195"/>
  <c r="G1194" s="1"/>
  <c r="I382" i="1"/>
  <c r="I381" s="1"/>
  <c r="H382"/>
  <c r="H381" s="1"/>
  <c r="G382"/>
  <c r="G381" s="1"/>
  <c r="I1190" i="3"/>
  <c r="I1189" s="1"/>
  <c r="I1188" s="1"/>
  <c r="H1190"/>
  <c r="H1189" s="1"/>
  <c r="H1188" s="1"/>
  <c r="G1190"/>
  <c r="G1189" s="1"/>
  <c r="G1188" s="1"/>
  <c r="H1187"/>
  <c r="H1186" s="1"/>
  <c r="H1185" s="1"/>
  <c r="I1187"/>
  <c r="I1186" s="1"/>
  <c r="I1185" s="1"/>
  <c r="G370" i="1"/>
  <c r="G369" s="1"/>
  <c r="I1240" i="3"/>
  <c r="I1239" s="1"/>
  <c r="H1240"/>
  <c r="H1239" s="1"/>
  <c r="G1240"/>
  <c r="G1239" s="1"/>
  <c r="I376" i="1"/>
  <c r="I375" s="1"/>
  <c r="H376"/>
  <c r="H375" s="1"/>
  <c r="G376"/>
  <c r="G375" s="1"/>
  <c r="I370"/>
  <c r="I369" s="1"/>
  <c r="H370"/>
  <c r="H369" s="1"/>
  <c r="I1183" i="3"/>
  <c r="I1182" s="1"/>
  <c r="H1183"/>
  <c r="H1182" s="1"/>
  <c r="G1183"/>
  <c r="G1182" s="1"/>
  <c r="I367" i="1"/>
  <c r="I366" s="1"/>
  <c r="H367"/>
  <c r="H366" s="1"/>
  <c r="G367"/>
  <c r="G366" s="1"/>
  <c r="I1180" i="3"/>
  <c r="I1179" s="1"/>
  <c r="H1180"/>
  <c r="H1179" s="1"/>
  <c r="G1180"/>
  <c r="G1179" s="1"/>
  <c r="H1288"/>
  <c r="I1288"/>
  <c r="G1288"/>
  <c r="I364" i="1"/>
  <c r="I363" s="1"/>
  <c r="H364"/>
  <c r="H363" s="1"/>
  <c r="G364"/>
  <c r="G363" s="1"/>
  <c r="I361"/>
  <c r="I360" s="1"/>
  <c r="H361"/>
  <c r="H360" s="1"/>
  <c r="G361"/>
  <c r="G360" s="1"/>
  <c r="I1177" i="3"/>
  <c r="I1176" s="1"/>
  <c r="H1177"/>
  <c r="H1176" s="1"/>
  <c r="G1177"/>
  <c r="G1176" s="1"/>
  <c r="I358" i="1"/>
  <c r="I357" s="1"/>
  <c r="H358"/>
  <c r="H357" s="1"/>
  <c r="G358"/>
  <c r="G357" s="1"/>
  <c r="H1398" i="3"/>
  <c r="I1398"/>
  <c r="G1398"/>
  <c r="H1374"/>
  <c r="I1374"/>
  <c r="G1374"/>
  <c r="I56" i="1"/>
  <c r="I55" s="1"/>
  <c r="H56"/>
  <c r="H55" s="1"/>
  <c r="G56"/>
  <c r="G55" s="1"/>
  <c r="I1163" i="3"/>
  <c r="I1162" s="1"/>
  <c r="H1163"/>
  <c r="H1162" s="1"/>
  <c r="G1163"/>
  <c r="G1162" s="1"/>
  <c r="I59" i="1"/>
  <c r="I58" s="1"/>
  <c r="H59"/>
  <c r="H58" s="1"/>
  <c r="G59"/>
  <c r="G58" s="1"/>
  <c r="I1160" i="3"/>
  <c r="I1159" s="1"/>
  <c r="H1160"/>
  <c r="H1159" s="1"/>
  <c r="G1160"/>
  <c r="G1159" s="1"/>
  <c r="I53" i="1"/>
  <c r="I52" s="1"/>
  <c r="H53"/>
  <c r="H52" s="1"/>
  <c r="G53"/>
  <c r="G52" s="1"/>
  <c r="I1456" i="3"/>
  <c r="I1455" s="1"/>
  <c r="H1456"/>
  <c r="H1455" s="1"/>
  <c r="G1456"/>
  <c r="G1455" s="1"/>
  <c r="G1453"/>
  <c r="G1452" s="1"/>
  <c r="I1453"/>
  <c r="I1452" s="1"/>
  <c r="H1453"/>
  <c r="H1452" s="1"/>
  <c r="G2128"/>
  <c r="G2127" s="1"/>
  <c r="G2130"/>
  <c r="G2129" s="1"/>
  <c r="G2190" i="1" l="1"/>
  <c r="T1040" i="3"/>
  <c r="T463"/>
  <c r="G2608" i="1"/>
  <c r="I1173" i="3"/>
  <c r="I1172" s="1"/>
  <c r="H1173"/>
  <c r="H1172" s="1"/>
  <c r="I1169"/>
  <c r="I1168" s="1"/>
  <c r="H1169"/>
  <c r="H1168" s="1"/>
  <c r="I349" i="1"/>
  <c r="H353"/>
  <c r="H349"/>
  <c r="I353"/>
  <c r="H373"/>
  <c r="H372" s="1"/>
  <c r="G1187" i="3"/>
  <c r="G1186" s="1"/>
  <c r="G1185" s="1"/>
  <c r="I373" i="1"/>
  <c r="I372" s="1"/>
  <c r="G373"/>
  <c r="G372" s="1"/>
  <c r="G1174" i="3"/>
  <c r="G1170"/>
  <c r="G2126"/>
  <c r="I2824" i="1"/>
  <c r="I2823" s="1"/>
  <c r="H2824"/>
  <c r="H2823" s="1"/>
  <c r="G2824"/>
  <c r="G2823" s="1"/>
  <c r="G2822" s="1"/>
  <c r="G2821" s="1"/>
  <c r="G2820"/>
  <c r="G2819" s="1"/>
  <c r="G2818" s="1"/>
  <c r="G2817" s="1"/>
  <c r="I2819"/>
  <c r="I2818" s="1"/>
  <c r="I2817" s="1"/>
  <c r="H2819"/>
  <c r="H2818" s="1"/>
  <c r="H2817" s="1"/>
  <c r="G2815"/>
  <c r="G2814" s="1"/>
  <c r="I2814"/>
  <c r="H2814"/>
  <c r="G2812"/>
  <c r="I2810"/>
  <c r="I2809" s="1"/>
  <c r="H2810"/>
  <c r="H2809" s="1"/>
  <c r="G2810"/>
  <c r="G2809" s="1"/>
  <c r="J1475" i="3"/>
  <c r="K1475"/>
  <c r="L1475"/>
  <c r="M1475"/>
  <c r="N1475"/>
  <c r="O1475"/>
  <c r="I2664" i="1"/>
  <c r="H2664"/>
  <c r="G2664"/>
  <c r="G2663" s="1"/>
  <c r="I2661"/>
  <c r="H2661"/>
  <c r="G2661"/>
  <c r="G2660" s="1"/>
  <c r="I2657"/>
  <c r="I2656" s="1"/>
  <c r="H2657"/>
  <c r="H2656" s="1"/>
  <c r="G2657"/>
  <c r="G2656" s="1"/>
  <c r="I2654"/>
  <c r="I2653" s="1"/>
  <c r="I2651" s="1"/>
  <c r="H2654"/>
  <c r="H2653" s="1"/>
  <c r="H2651" s="1"/>
  <c r="G2654"/>
  <c r="G2653" s="1"/>
  <c r="G1725" i="3"/>
  <c r="J1722"/>
  <c r="K1722"/>
  <c r="L1722"/>
  <c r="M1722"/>
  <c r="N1722"/>
  <c r="O1722"/>
  <c r="I2095" i="1"/>
  <c r="I2094" s="1"/>
  <c r="H2095"/>
  <c r="H2094" s="1"/>
  <c r="G2095"/>
  <c r="G2094" s="1"/>
  <c r="G1985" i="3"/>
  <c r="G1984" s="1"/>
  <c r="G1983" s="1"/>
  <c r="G1982" s="1"/>
  <c r="I1984"/>
  <c r="I1983" s="1"/>
  <c r="I1982" s="1"/>
  <c r="H1984"/>
  <c r="H1983" s="1"/>
  <c r="H1982" s="1"/>
  <c r="I2079" i="1"/>
  <c r="I2078" s="1"/>
  <c r="I2077" s="1"/>
  <c r="H2079"/>
  <c r="H2078" s="1"/>
  <c r="H2077" s="1"/>
  <c r="G2079"/>
  <c r="G2078" s="1"/>
  <c r="G2077" s="1"/>
  <c r="G1173" i="3" l="1"/>
  <c r="G1172" s="1"/>
  <c r="G1169"/>
  <c r="G1168" s="1"/>
  <c r="G2659" i="1"/>
  <c r="H2807"/>
  <c r="H2806" s="1"/>
  <c r="H59" i="3"/>
  <c r="G59"/>
  <c r="I59"/>
  <c r="H2652" i="1"/>
  <c r="I2807"/>
  <c r="I2806" s="1"/>
  <c r="I2822"/>
  <c r="I2821" s="1"/>
  <c r="H2822"/>
  <c r="H2821" s="1"/>
  <c r="G2652"/>
  <c r="G2651" s="1"/>
  <c r="G2807"/>
  <c r="G2806" s="1"/>
  <c r="I2652"/>
  <c r="H2660"/>
  <c r="H2659" s="1"/>
  <c r="I2660"/>
  <c r="I2659" s="1"/>
  <c r="I568"/>
  <c r="H568"/>
  <c r="G568"/>
  <c r="G567" s="1"/>
  <c r="G566" s="1"/>
  <c r="G2650" l="1"/>
  <c r="H2805"/>
  <c r="G2805"/>
  <c r="I2805"/>
  <c r="H2650"/>
  <c r="H2649" s="1"/>
  <c r="I2650"/>
  <c r="I2649" s="1"/>
  <c r="H1023" i="3"/>
  <c r="I1023"/>
  <c r="G682"/>
  <c r="H682"/>
  <c r="I682"/>
  <c r="H363"/>
  <c r="I363"/>
  <c r="H348"/>
  <c r="G2649" i="1" l="1"/>
  <c r="G2575"/>
  <c r="G2505" s="1"/>
  <c r="G210" i="3"/>
  <c r="G209" s="1"/>
  <c r="G208" s="1"/>
  <c r="H210"/>
  <c r="H209" s="1"/>
  <c r="H208" s="1"/>
  <c r="I210"/>
  <c r="I209" s="1"/>
  <c r="I208" s="1"/>
  <c r="I213"/>
  <c r="I212" s="1"/>
  <c r="I211" s="1"/>
  <c r="G214"/>
  <c r="G213" s="1"/>
  <c r="G212" s="1"/>
  <c r="G211" s="1"/>
  <c r="H214"/>
  <c r="H213" s="1"/>
  <c r="H212" s="1"/>
  <c r="H211" s="1"/>
  <c r="H216"/>
  <c r="H215" s="1"/>
  <c r="I216"/>
  <c r="I215" s="1"/>
  <c r="G217"/>
  <c r="G216" s="1"/>
  <c r="G215" s="1"/>
  <c r="G219"/>
  <c r="G218" s="1"/>
  <c r="H219"/>
  <c r="H218" s="1"/>
  <c r="I219"/>
  <c r="I218" s="1"/>
  <c r="G222"/>
  <c r="G221" s="1"/>
  <c r="H222"/>
  <c r="H221" s="1"/>
  <c r="I222"/>
  <c r="I221" s="1"/>
  <c r="G2227" l="1"/>
  <c r="G2226" s="1"/>
  <c r="G2225" s="1"/>
  <c r="G2230"/>
  <c r="G2229" s="1"/>
  <c r="G2228" s="1"/>
  <c r="I2229"/>
  <c r="I2228" s="1"/>
  <c r="H2229"/>
  <c r="H2228" s="1"/>
  <c r="I2226"/>
  <c r="I2225" s="1"/>
  <c r="H2226"/>
  <c r="H2225" s="1"/>
  <c r="I1705" i="1"/>
  <c r="I1704" s="1"/>
  <c r="H1705"/>
  <c r="H1704" s="1"/>
  <c r="G1705"/>
  <c r="G1704" s="1"/>
  <c r="G1023" i="3" l="1"/>
  <c r="I3148" i="1" l="1"/>
  <c r="I3147" s="1"/>
  <c r="I3144" s="1"/>
  <c r="H3148"/>
  <c r="H3147" s="1"/>
  <c r="H3144" s="1"/>
  <c r="I58" i="3" l="1"/>
  <c r="I51" s="1"/>
  <c r="H58"/>
  <c r="H51" s="1"/>
  <c r="G58"/>
  <c r="G51" s="1"/>
  <c r="G192" i="1" l="1"/>
  <c r="G191" s="1"/>
  <c r="G181" s="1"/>
  <c r="I192"/>
  <c r="I191" s="1"/>
  <c r="I181" s="1"/>
  <c r="H192"/>
  <c r="H191" s="1"/>
  <c r="H181" s="1"/>
  <c r="I189"/>
  <c r="I188" s="1"/>
  <c r="H189"/>
  <c r="H188" s="1"/>
  <c r="G189"/>
  <c r="G188" s="1"/>
  <c r="G186"/>
  <c r="G185" s="1"/>
  <c r="G183"/>
  <c r="G182" s="1"/>
  <c r="G40" i="3"/>
  <c r="G1425"/>
  <c r="G2233"/>
  <c r="G2232" s="1"/>
  <c r="G2231" s="1"/>
  <c r="I2232"/>
  <c r="I2231" s="1"/>
  <c r="H2232"/>
  <c r="H2231" s="1"/>
  <c r="I1109" i="1"/>
  <c r="I1108" s="1"/>
  <c r="I1107" s="1"/>
  <c r="H1109"/>
  <c r="H1108" s="1"/>
  <c r="H1107" s="1"/>
  <c r="G1109"/>
  <c r="G1108" s="1"/>
  <c r="G1107" s="1"/>
  <c r="G174" i="3"/>
  <c r="G173" s="1"/>
  <c r="G1422"/>
  <c r="I1097" i="1"/>
  <c r="H1097"/>
  <c r="G1097"/>
  <c r="G1090" s="1"/>
  <c r="G1089" s="1"/>
  <c r="G1095"/>
  <c r="G3148" l="1"/>
  <c r="H2729"/>
  <c r="I488" i="3"/>
  <c r="H488"/>
  <c r="G488"/>
  <c r="H3020" i="1"/>
  <c r="G3020"/>
  <c r="G1718" s="1"/>
  <c r="G1717" s="1"/>
  <c r="I1636" i="3"/>
  <c r="I1635" s="1"/>
  <c r="H1636"/>
  <c r="H1635" s="1"/>
  <c r="G1636"/>
  <c r="G1635" s="1"/>
  <c r="I1667" i="1"/>
  <c r="I1666" s="1"/>
  <c r="H1667"/>
  <c r="H1666" s="1"/>
  <c r="G1667"/>
  <c r="G1666" s="1"/>
  <c r="I3020" l="1"/>
  <c r="G39" i="3" l="1"/>
  <c r="G38" s="1"/>
  <c r="I39"/>
  <c r="I38" s="1"/>
  <c r="H39"/>
  <c r="H38" s="1"/>
  <c r="G481" i="1"/>
  <c r="G480" s="1"/>
  <c r="I481"/>
  <c r="I480" s="1"/>
  <c r="H481"/>
  <c r="H480" s="1"/>
  <c r="G1785" i="3" l="1"/>
  <c r="G2954" i="1"/>
  <c r="G407" i="3" s="1"/>
  <c r="G1568"/>
  <c r="G1483"/>
  <c r="I2223"/>
  <c r="H2223"/>
  <c r="G2223"/>
  <c r="I1702" i="1"/>
  <c r="I1701" s="1"/>
  <c r="H1702"/>
  <c r="H1701" s="1"/>
  <c r="G1702"/>
  <c r="G1701" s="1"/>
  <c r="G1259" i="3"/>
  <c r="I1775"/>
  <c r="H1775"/>
  <c r="G1775"/>
  <c r="G3056" i="1"/>
  <c r="I3056"/>
  <c r="H3056"/>
  <c r="G3052"/>
  <c r="G1774" i="3" l="1"/>
  <c r="G1749" i="1"/>
  <c r="G1748" s="1"/>
  <c r="H2988"/>
  <c r="I2988"/>
  <c r="H1419" i="3"/>
  <c r="I1419"/>
  <c r="H1417"/>
  <c r="I1417"/>
  <c r="G1419"/>
  <c r="G1417"/>
  <c r="G202"/>
  <c r="I2010"/>
  <c r="H2010"/>
  <c r="G2010"/>
  <c r="I3091" i="1"/>
  <c r="H3091"/>
  <c r="G3091"/>
  <c r="G2151" i="3"/>
  <c r="I3097" i="1"/>
  <c r="I3094" s="1"/>
  <c r="I3093" s="1"/>
  <c r="H3097"/>
  <c r="H3094" s="1"/>
  <c r="H3093" s="1"/>
  <c r="G3097"/>
  <c r="G3094" s="1"/>
  <c r="G3093" s="1"/>
  <c r="G2009" i="3"/>
  <c r="H1787"/>
  <c r="H1786" s="1"/>
  <c r="I1787"/>
  <c r="I1786" s="1"/>
  <c r="G1787"/>
  <c r="G1786" s="1"/>
  <c r="H3048" i="1"/>
  <c r="H3047" s="1"/>
  <c r="I3048"/>
  <c r="I3047" s="1"/>
  <c r="G3048"/>
  <c r="G3047" s="1"/>
  <c r="H1785" i="3"/>
  <c r="H1784" s="1"/>
  <c r="H1783" s="1"/>
  <c r="I1784"/>
  <c r="I1783" s="1"/>
  <c r="G1784"/>
  <c r="G1783" s="1"/>
  <c r="H3045" i="1"/>
  <c r="H3044" s="1"/>
  <c r="I3045"/>
  <c r="I3044" s="1"/>
  <c r="G3045"/>
  <c r="G3044" s="1"/>
  <c r="H1781" i="3"/>
  <c r="H1780" s="1"/>
  <c r="I1781"/>
  <c r="I1780" s="1"/>
  <c r="G1781"/>
  <c r="G1780" s="1"/>
  <c r="H3042" i="1"/>
  <c r="H3041" s="1"/>
  <c r="I3042"/>
  <c r="I3041" s="1"/>
  <c r="G3042"/>
  <c r="G3041" s="1"/>
  <c r="H1778" i="3"/>
  <c r="H1777" s="1"/>
  <c r="I1778"/>
  <c r="I1777" s="1"/>
  <c r="G1778"/>
  <c r="G1777" s="1"/>
  <c r="H3039" i="1"/>
  <c r="H3038" s="1"/>
  <c r="I3039"/>
  <c r="I3038" s="1"/>
  <c r="G3039"/>
  <c r="G3038" s="1"/>
  <c r="I2239" i="3" l="1"/>
  <c r="I2238" s="1"/>
  <c r="H2239"/>
  <c r="H2238" s="1"/>
  <c r="G2239"/>
  <c r="G2238" s="1"/>
  <c r="I2299"/>
  <c r="H2299"/>
  <c r="G2299"/>
  <c r="I1580" i="1"/>
  <c r="I1579" s="1"/>
  <c r="I1578" s="1"/>
  <c r="I1577" s="1"/>
  <c r="H39" i="2" s="1"/>
  <c r="H1580" i="1"/>
  <c r="H1579" s="1"/>
  <c r="H1578" s="1"/>
  <c r="H1577" s="1"/>
  <c r="G39" i="2" s="1"/>
  <c r="G1580" i="1"/>
  <c r="G1579" s="1"/>
  <c r="G1578" s="1"/>
  <c r="G1577" s="1"/>
  <c r="F39" i="2" s="1"/>
  <c r="G1669" i="3"/>
  <c r="I1454" i="1"/>
  <c r="I1453" s="1"/>
  <c r="I1452" s="1"/>
  <c r="H1454"/>
  <c r="H1453" s="1"/>
  <c r="H1452" s="1"/>
  <c r="G1454"/>
  <c r="G1453" s="1"/>
  <c r="G1452" s="1"/>
  <c r="I969" i="3"/>
  <c r="I968" s="1"/>
  <c r="H969"/>
  <c r="H968" s="1"/>
  <c r="G969"/>
  <c r="G968" s="1"/>
  <c r="I1288" i="1"/>
  <c r="I1287" s="1"/>
  <c r="H1288"/>
  <c r="H1287" s="1"/>
  <c r="G1288"/>
  <c r="G1287" s="1"/>
  <c r="G1219"/>
  <c r="G1218" s="1"/>
  <c r="I1219"/>
  <c r="H1219"/>
  <c r="I204" i="3"/>
  <c r="I203" s="1"/>
  <c r="H204"/>
  <c r="H203" s="1"/>
  <c r="G204"/>
  <c r="G203" s="1"/>
  <c r="I622" i="1"/>
  <c r="I621" s="1"/>
  <c r="H622"/>
  <c r="H621" s="1"/>
  <c r="G622"/>
  <c r="G621" s="1"/>
  <c r="I2158" i="3"/>
  <c r="H2158"/>
  <c r="G2158"/>
  <c r="I438" i="1"/>
  <c r="I437" s="1"/>
  <c r="H438"/>
  <c r="H437" s="1"/>
  <c r="G438"/>
  <c r="G437" s="1"/>
  <c r="G1482" i="3"/>
  <c r="G1481" s="1"/>
  <c r="G161" i="1"/>
  <c r="G160" s="1"/>
  <c r="G143"/>
  <c r="I143"/>
  <c r="H143"/>
  <c r="G139"/>
  <c r="I198" i="3"/>
  <c r="I197" s="1"/>
  <c r="H198"/>
  <c r="H197" s="1"/>
  <c r="G198"/>
  <c r="G197" s="1"/>
  <c r="I619" i="1"/>
  <c r="I618" s="1"/>
  <c r="H619"/>
  <c r="H618" s="1"/>
  <c r="G619"/>
  <c r="G618" s="1"/>
  <c r="I201" i="3"/>
  <c r="H201"/>
  <c r="G201"/>
  <c r="G200" s="1"/>
  <c r="I200"/>
  <c r="H200"/>
  <c r="I593" i="1"/>
  <c r="H593"/>
  <c r="G593"/>
  <c r="G592" s="1"/>
  <c r="G590" s="1"/>
  <c r="I592"/>
  <c r="I590" s="1"/>
  <c r="H592"/>
  <c r="H591" s="1"/>
  <c r="I591" l="1"/>
  <c r="I1451"/>
  <c r="G1451"/>
  <c r="H1451"/>
  <c r="I436"/>
  <c r="H436"/>
  <c r="H590"/>
  <c r="G591"/>
  <c r="G1418" i="3"/>
  <c r="K1418"/>
  <c r="J1418"/>
  <c r="I1418"/>
  <c r="H1418"/>
  <c r="G95" i="1"/>
  <c r="I95"/>
  <c r="H95"/>
  <c r="H1557" i="3" l="1"/>
  <c r="I1567"/>
  <c r="I1566" s="1"/>
  <c r="H1567"/>
  <c r="H1566" s="1"/>
  <c r="G1567"/>
  <c r="G1566" s="1"/>
  <c r="G1794" i="1"/>
  <c r="G1793" s="1"/>
  <c r="I1794"/>
  <c r="I1793" s="1"/>
  <c r="H1794"/>
  <c r="H1793" s="1"/>
  <c r="I1258" i="3" l="1"/>
  <c r="I1257" s="1"/>
  <c r="H1258"/>
  <c r="H1257" s="1"/>
  <c r="G1258"/>
  <c r="G1257" s="1"/>
  <c r="K1424" l="1"/>
  <c r="J1424"/>
  <c r="I1424"/>
  <c r="I1423" s="1"/>
  <c r="H1424"/>
  <c r="H1423" s="1"/>
  <c r="G1424"/>
  <c r="G1423" s="1"/>
  <c r="I344" i="1"/>
  <c r="I343" s="1"/>
  <c r="H344"/>
  <c r="H343" s="1"/>
  <c r="G344"/>
  <c r="G343" s="1"/>
  <c r="I195" i="3"/>
  <c r="I194" s="1"/>
  <c r="H195"/>
  <c r="H194" s="1"/>
  <c r="G195"/>
  <c r="G194" s="1"/>
  <c r="I616" i="1"/>
  <c r="I615" s="1"/>
  <c r="H616"/>
  <c r="H615" s="1"/>
  <c r="G616"/>
  <c r="G615" s="1"/>
  <c r="G1416" i="3"/>
  <c r="G1415" s="1"/>
  <c r="G93" i="1"/>
  <c r="G92" s="1"/>
  <c r="K1416" i="3"/>
  <c r="J1416"/>
  <c r="I1416"/>
  <c r="I1415" s="1"/>
  <c r="H1416"/>
  <c r="H1415" s="1"/>
  <c r="I93" i="1"/>
  <c r="I92" s="1"/>
  <c r="H93"/>
  <c r="H92" s="1"/>
  <c r="G1299"/>
  <c r="G1286"/>
  <c r="I1260" i="3" l="1"/>
  <c r="H1260"/>
  <c r="G1260"/>
  <c r="I2008" l="1"/>
  <c r="H2008"/>
  <c r="G2008"/>
  <c r="I3089" i="1"/>
  <c r="H3089"/>
  <c r="G3087"/>
  <c r="G3084"/>
  <c r="G3083" s="1"/>
  <c r="I271" i="3" l="1"/>
  <c r="H271"/>
  <c r="G271"/>
  <c r="G270" s="1"/>
  <c r="I270"/>
  <c r="H270"/>
  <c r="I1905" i="1"/>
  <c r="I1903" s="1"/>
  <c r="H49" i="2" s="1"/>
  <c r="H1905" i="1"/>
  <c r="H1903" s="1"/>
  <c r="G49" i="2" s="1"/>
  <c r="I1906" i="1"/>
  <c r="H1906"/>
  <c r="G1906"/>
  <c r="G1905" s="1"/>
  <c r="H1904" l="1"/>
  <c r="I1904"/>
  <c r="G1903"/>
  <c r="F49" i="2" s="1"/>
  <c r="G1904" i="1"/>
  <c r="H1801" l="1"/>
  <c r="G1831" l="1"/>
  <c r="I1460" l="1"/>
  <c r="I1459" s="1"/>
  <c r="I1458" s="1"/>
  <c r="I1457" s="1"/>
  <c r="I1456" s="1"/>
  <c r="H1460"/>
  <c r="H1459" s="1"/>
  <c r="H1458" s="1"/>
  <c r="H1457" s="1"/>
  <c r="H1456" s="1"/>
  <c r="G1460"/>
  <c r="G1459" s="1"/>
  <c r="G1458" s="1"/>
  <c r="G1457" s="1"/>
  <c r="G1456" s="1"/>
  <c r="I1290" i="3"/>
  <c r="I1289" s="1"/>
  <c r="H1290"/>
  <c r="H1289" s="1"/>
  <c r="G1290"/>
  <c r="G1289" s="1"/>
  <c r="I261" i="1"/>
  <c r="I260" s="1"/>
  <c r="H261"/>
  <c r="H260" s="1"/>
  <c r="G261"/>
  <c r="G260" s="1"/>
  <c r="I1495" i="3"/>
  <c r="I1494" s="1"/>
  <c r="H1495"/>
  <c r="H1494" s="1"/>
  <c r="G1495"/>
  <c r="G1494" s="1"/>
  <c r="G1896" i="1"/>
  <c r="G1895" s="1"/>
  <c r="I1896"/>
  <c r="I1895" s="1"/>
  <c r="H1896"/>
  <c r="H1895" s="1"/>
  <c r="G1801"/>
  <c r="I335" i="3"/>
  <c r="I334" s="1"/>
  <c r="H335"/>
  <c r="H334" s="1"/>
  <c r="G335"/>
  <c r="G334" s="1"/>
  <c r="I1918" i="1" l="1"/>
  <c r="I1917" s="1"/>
  <c r="H1918"/>
  <c r="H1917" s="1"/>
  <c r="G1918"/>
  <c r="G1917" l="1"/>
  <c r="G2348"/>
  <c r="G2347" s="1"/>
  <c r="G2346" s="1"/>
  <c r="I1554" i="3"/>
  <c r="H1554"/>
  <c r="H1574"/>
  <c r="I1574"/>
  <c r="H1838" i="1"/>
  <c r="H1837" s="1"/>
  <c r="I1838"/>
  <c r="I1837" s="1"/>
  <c r="G1838"/>
  <c r="G1837" s="1"/>
  <c r="H1786"/>
  <c r="I1786"/>
  <c r="G1786"/>
  <c r="G1785" s="1"/>
  <c r="H1788"/>
  <c r="I1788"/>
  <c r="G1788"/>
  <c r="H1797"/>
  <c r="H1796" s="1"/>
  <c r="I1797"/>
  <c r="I1796" s="1"/>
  <c r="G1797"/>
  <c r="G1796" s="1"/>
  <c r="H1785" l="1"/>
  <c r="I1785"/>
  <c r="I1102" i="3"/>
  <c r="I1101" s="1"/>
  <c r="H1102"/>
  <c r="H1101" s="1"/>
  <c r="G1102"/>
  <c r="G1101" s="1"/>
  <c r="I3198" i="1"/>
  <c r="I3197" s="1"/>
  <c r="H3198"/>
  <c r="H3197" s="1"/>
  <c r="G3198"/>
  <c r="G3197" s="1"/>
  <c r="I2981"/>
  <c r="I2978" s="1"/>
  <c r="I2977" s="1"/>
  <c r="H2981"/>
  <c r="H2978" s="1"/>
  <c r="H2977" s="1"/>
  <c r="G2981"/>
  <c r="G2978" s="1"/>
  <c r="G2977" s="1"/>
  <c r="I2148" i="3"/>
  <c r="H2148"/>
  <c r="G2148"/>
  <c r="I2778" i="1"/>
  <c r="I2775" s="1"/>
  <c r="I2774" s="1"/>
  <c r="H2778"/>
  <c r="H2775" s="1"/>
  <c r="H2774" s="1"/>
  <c r="G2778"/>
  <c r="G2775" s="1"/>
  <c r="G2774" s="1"/>
  <c r="J1556" i="3"/>
  <c r="K1556"/>
  <c r="L1556"/>
  <c r="M1556"/>
  <c r="N1556"/>
  <c r="O1556"/>
  <c r="H1559"/>
  <c r="I1559"/>
  <c r="J1559"/>
  <c r="K1559"/>
  <c r="L1559"/>
  <c r="M1559"/>
  <c r="N1559"/>
  <c r="O1559"/>
  <c r="H1562"/>
  <c r="I1562"/>
  <c r="J1562"/>
  <c r="K1562"/>
  <c r="L1562"/>
  <c r="M1562"/>
  <c r="N1562"/>
  <c r="O1562"/>
  <c r="H1565"/>
  <c r="I1565"/>
  <c r="H1583"/>
  <c r="I1583"/>
  <c r="J1583"/>
  <c r="K1583"/>
  <c r="L1583"/>
  <c r="M1583"/>
  <c r="N1583"/>
  <c r="O1583"/>
  <c r="H2155"/>
  <c r="I2155"/>
  <c r="G1559"/>
  <c r="H1556"/>
  <c r="I1557"/>
  <c r="I1556" s="1"/>
  <c r="G1557"/>
  <c r="I1870" i="1"/>
  <c r="I1867" s="1"/>
  <c r="I1866" s="1"/>
  <c r="H1870"/>
  <c r="H1867" s="1"/>
  <c r="H1866" s="1"/>
  <c r="G1870"/>
  <c r="G1800"/>
  <c r="G1799" s="1"/>
  <c r="H1800"/>
  <c r="H1799" s="1"/>
  <c r="I1800"/>
  <c r="I1799" s="1"/>
  <c r="I1832"/>
  <c r="H1832"/>
  <c r="G1832"/>
  <c r="I1830"/>
  <c r="H1830"/>
  <c r="G1830"/>
  <c r="G1827"/>
  <c r="G1826" s="1"/>
  <c r="I1827"/>
  <c r="I1826" s="1"/>
  <c r="H1827"/>
  <c r="H1826" s="1"/>
  <c r="I1709"/>
  <c r="I1708" s="1"/>
  <c r="I1707" s="1"/>
  <c r="H1709"/>
  <c r="H1708" s="1"/>
  <c r="H1707" s="1"/>
  <c r="G1709"/>
  <c r="G1708" s="1"/>
  <c r="G1707" s="1"/>
  <c r="I1462" i="3"/>
  <c r="I1461" s="1"/>
  <c r="H1462"/>
  <c r="H1461" s="1"/>
  <c r="G1462"/>
  <c r="G1461" s="1"/>
  <c r="J1454" s="1"/>
  <c r="G1216" i="1"/>
  <c r="G1215" s="1"/>
  <c r="I1216"/>
  <c r="I1215" s="1"/>
  <c r="H1216"/>
  <c r="H1215" s="1"/>
  <c r="I1087"/>
  <c r="H1087"/>
  <c r="G1087"/>
  <c r="G1080" s="1"/>
  <c r="G1079" s="1"/>
  <c r="G1085"/>
  <c r="I538" i="3"/>
  <c r="I537" s="1"/>
  <c r="H538"/>
  <c r="H537" s="1"/>
  <c r="G538"/>
  <c r="G537" s="1"/>
  <c r="H858" i="1"/>
  <c r="H857" s="1"/>
  <c r="I858"/>
  <c r="I857" s="1"/>
  <c r="G858"/>
  <c r="G857" s="1"/>
  <c r="I645" i="3"/>
  <c r="I644" s="1"/>
  <c r="H645"/>
  <c r="H644" s="1"/>
  <c r="G645"/>
  <c r="G644" s="1"/>
  <c r="I843" i="1"/>
  <c r="I842" s="1"/>
  <c r="H843"/>
  <c r="H842" s="1"/>
  <c r="G843"/>
  <c r="G842" s="1"/>
  <c r="I826" i="3"/>
  <c r="I825" s="1"/>
  <c r="H826"/>
  <c r="H825" s="1"/>
  <c r="G826"/>
  <c r="G825" s="1"/>
  <c r="I706" i="1"/>
  <c r="I705" s="1"/>
  <c r="H706"/>
  <c r="H705" s="1"/>
  <c r="G706"/>
  <c r="G705" s="1"/>
  <c r="K1421" i="3"/>
  <c r="J1421"/>
  <c r="I1421"/>
  <c r="I1420" s="1"/>
  <c r="H1421"/>
  <c r="H1420" s="1"/>
  <c r="G1421"/>
  <c r="G1420" s="1"/>
  <c r="I341" i="1"/>
  <c r="I340" s="1"/>
  <c r="H341"/>
  <c r="H340" s="1"/>
  <c r="G341"/>
  <c r="G340" s="1"/>
  <c r="G434"/>
  <c r="G427" s="1"/>
  <c r="G426" s="1"/>
  <c r="I434"/>
  <c r="H434"/>
  <c r="G432"/>
  <c r="I338"/>
  <c r="I337" s="1"/>
  <c r="I336" s="1"/>
  <c r="H338"/>
  <c r="H337" s="1"/>
  <c r="H336" s="1"/>
  <c r="G338"/>
  <c r="G337" s="1"/>
  <c r="G336" s="1"/>
  <c r="K1410" i="3"/>
  <c r="J1410"/>
  <c r="I1410"/>
  <c r="I1409" s="1"/>
  <c r="H1410"/>
  <c r="H1409" s="1"/>
  <c r="G1410"/>
  <c r="G1409" s="1"/>
  <c r="I90" i="1"/>
  <c r="I89" s="1"/>
  <c r="H90"/>
  <c r="H89" s="1"/>
  <c r="G90"/>
  <c r="G89" s="1"/>
  <c r="G1867" l="1"/>
  <c r="G1866" s="1"/>
  <c r="G1554" i="3"/>
  <c r="I1829" i="1"/>
  <c r="G1829"/>
  <c r="H1829"/>
  <c r="G1666" i="3"/>
  <c r="G1665" s="1"/>
  <c r="G3027" i="1"/>
  <c r="G579" i="3"/>
  <c r="G809" i="1"/>
  <c r="G808" s="1"/>
  <c r="I809"/>
  <c r="H809"/>
  <c r="G3086" l="1"/>
  <c r="G3085" s="1"/>
  <c r="G1727"/>
  <c r="G1726" s="1"/>
  <c r="G748" i="3"/>
  <c r="G747" s="1"/>
  <c r="I748"/>
  <c r="I747" s="1"/>
  <c r="H748"/>
  <c r="H747" s="1"/>
  <c r="I904" i="1"/>
  <c r="I903" s="1"/>
  <c r="H904"/>
  <c r="H903" s="1"/>
  <c r="G904"/>
  <c r="G903" s="1"/>
  <c r="G967" i="3"/>
  <c r="G966" s="1"/>
  <c r="G962"/>
  <c r="G961" s="1"/>
  <c r="G957"/>
  <c r="G956" s="1"/>
  <c r="I966"/>
  <c r="H966"/>
  <c r="I964"/>
  <c r="H964"/>
  <c r="G964"/>
  <c r="I961"/>
  <c r="H961"/>
  <c r="I959"/>
  <c r="H959"/>
  <c r="G959"/>
  <c r="I956"/>
  <c r="H956"/>
  <c r="I954"/>
  <c r="H954"/>
  <c r="G954"/>
  <c r="I1298" i="1"/>
  <c r="H1298"/>
  <c r="G1298"/>
  <c r="I1296"/>
  <c r="H1296"/>
  <c r="G1296"/>
  <c r="I1293"/>
  <c r="I1931" s="1"/>
  <c r="I1930" s="1"/>
  <c r="I1927" s="1"/>
  <c r="I1923" s="1"/>
  <c r="H1293"/>
  <c r="H1931" s="1"/>
  <c r="H1930" s="1"/>
  <c r="H1927" s="1"/>
  <c r="H1923" s="1"/>
  <c r="G1293"/>
  <c r="I1291"/>
  <c r="H1291"/>
  <c r="G1291"/>
  <c r="I1285"/>
  <c r="H1285"/>
  <c r="G1285"/>
  <c r="I1283"/>
  <c r="H1283"/>
  <c r="G1283"/>
  <c r="G599" i="3"/>
  <c r="G598" s="1"/>
  <c r="I596"/>
  <c r="I595" s="1"/>
  <c r="H596"/>
  <c r="H595" s="1"/>
  <c r="G596"/>
  <c r="I817" i="1"/>
  <c r="I814" s="1"/>
  <c r="H817"/>
  <c r="H814" s="1"/>
  <c r="G817"/>
  <c r="I815"/>
  <c r="H815"/>
  <c r="G815"/>
  <c r="G605" i="3"/>
  <c r="G604" s="1"/>
  <c r="G603" s="1"/>
  <c r="I604"/>
  <c r="H604"/>
  <c r="I601"/>
  <c r="H601"/>
  <c r="G601"/>
  <c r="I822" i="1"/>
  <c r="I819" s="1"/>
  <c r="I790" s="1"/>
  <c r="H822"/>
  <c r="H819" s="1"/>
  <c r="H790" s="1"/>
  <c r="G822"/>
  <c r="I820"/>
  <c r="H820"/>
  <c r="G820"/>
  <c r="G670"/>
  <c r="G1047" i="3"/>
  <c r="G1046" s="1"/>
  <c r="G1045" s="1"/>
  <c r="I1046"/>
  <c r="I1045" s="1"/>
  <c r="H1046"/>
  <c r="H1045" s="1"/>
  <c r="I3157" i="1"/>
  <c r="I3156" s="1"/>
  <c r="H3157"/>
  <c r="H3156" s="1"/>
  <c r="G3157"/>
  <c r="G3156" s="1"/>
  <c r="G3135"/>
  <c r="H600" i="3" l="1"/>
  <c r="H603"/>
  <c r="I600"/>
  <c r="I603"/>
  <c r="I953"/>
  <c r="H958"/>
  <c r="I963"/>
  <c r="I958"/>
  <c r="I1295" i="1"/>
  <c r="G1282"/>
  <c r="I1290"/>
  <c r="I1282"/>
  <c r="G1290"/>
  <c r="H1295"/>
  <c r="G819"/>
  <c r="G790" s="1"/>
  <c r="H1290"/>
  <c r="H963" i="3"/>
  <c r="H953"/>
  <c r="G953"/>
  <c r="G963"/>
  <c r="G958"/>
  <c r="G1295" i="1"/>
  <c r="G595" i="3"/>
  <c r="H1282" i="1"/>
  <c r="G600" i="3"/>
  <c r="G814" i="1"/>
  <c r="I669"/>
  <c r="I668" s="1"/>
  <c r="I667" s="1"/>
  <c r="I666" s="1"/>
  <c r="H669"/>
  <c r="H668" s="1"/>
  <c r="H667" s="1"/>
  <c r="H666" s="1"/>
  <c r="G669"/>
  <c r="G668" s="1"/>
  <c r="G667" s="1"/>
  <c r="G666" s="1"/>
  <c r="G1287" i="3"/>
  <c r="G1286" s="1"/>
  <c r="I1287"/>
  <c r="I1286" s="1"/>
  <c r="H1287"/>
  <c r="H1286" s="1"/>
  <c r="I258" i="1"/>
  <c r="I257" s="1"/>
  <c r="H258"/>
  <c r="H257" s="1"/>
  <c r="G258"/>
  <c r="G257" s="1"/>
  <c r="G1275" i="3"/>
  <c r="G1274" s="1"/>
  <c r="G1282"/>
  <c r="G1281" s="1"/>
  <c r="G1280" s="1"/>
  <c r="K1281"/>
  <c r="J1281"/>
  <c r="I1281"/>
  <c r="I1280" s="1"/>
  <c r="H1281"/>
  <c r="H1280" s="1"/>
  <c r="I87" i="1"/>
  <c r="I86" s="1"/>
  <c r="H87"/>
  <c r="H86" s="1"/>
  <c r="G87"/>
  <c r="G86" s="1"/>
  <c r="I1275" i="3"/>
  <c r="I1274" s="1"/>
  <c r="H1275"/>
  <c r="H1274" s="1"/>
  <c r="I252" i="1"/>
  <c r="I251" s="1"/>
  <c r="H252"/>
  <c r="H251" s="1"/>
  <c r="G1279" i="3"/>
  <c r="G1278" s="1"/>
  <c r="G1277" s="1"/>
  <c r="I1278"/>
  <c r="I1277" s="1"/>
  <c r="H1278"/>
  <c r="H1277" s="1"/>
  <c r="I255" i="1"/>
  <c r="I254" s="1"/>
  <c r="H255"/>
  <c r="H254" s="1"/>
  <c r="G255"/>
  <c r="G254" s="1"/>
  <c r="G774" i="3"/>
  <c r="I732" i="1"/>
  <c r="I731" s="1"/>
  <c r="I704" s="1"/>
  <c r="H732"/>
  <c r="H731" s="1"/>
  <c r="H704" s="1"/>
  <c r="G732"/>
  <c r="G731" s="1"/>
  <c r="G704" s="1"/>
  <c r="G1672" i="3"/>
  <c r="G1671" s="1"/>
  <c r="G1670" s="1"/>
  <c r="I1671"/>
  <c r="I1670" s="1"/>
  <c r="H1671"/>
  <c r="H1670" s="1"/>
  <c r="I3033" i="1"/>
  <c r="I3032" s="1"/>
  <c r="H3033"/>
  <c r="H3032" s="1"/>
  <c r="G3033"/>
  <c r="G1933" i="3"/>
  <c r="G1932" s="1"/>
  <c r="G1931" s="1"/>
  <c r="I1932"/>
  <c r="I1931" s="1"/>
  <c r="H1932"/>
  <c r="H1931" s="1"/>
  <c r="I1058" i="1"/>
  <c r="I1057" s="1"/>
  <c r="H1058"/>
  <c r="H1057" s="1"/>
  <c r="G1058"/>
  <c r="G1057" s="1"/>
  <c r="G1063"/>
  <c r="G704" i="3"/>
  <c r="G3032" i="1" l="1"/>
  <c r="G1733"/>
  <c r="G1732" s="1"/>
  <c r="G252"/>
  <c r="G251" s="1"/>
  <c r="G741"/>
  <c r="G740" s="1"/>
  <c r="H735"/>
  <c r="H734" s="1"/>
  <c r="I735"/>
  <c r="I734" s="1"/>
  <c r="G735"/>
  <c r="G734" s="1"/>
  <c r="G830" i="3"/>
  <c r="G765"/>
  <c r="G1754"/>
  <c r="G1753" s="1"/>
  <c r="H1751"/>
  <c r="H1750" s="1"/>
  <c r="G1751"/>
  <c r="I1750"/>
  <c r="G3134" i="1"/>
  <c r="H3132"/>
  <c r="H3131" s="1"/>
  <c r="G3132"/>
  <c r="I3131"/>
  <c r="G1750" i="3" l="1"/>
  <c r="G3131" i="1"/>
  <c r="H1408" i="3"/>
  <c r="I1408"/>
  <c r="J529"/>
  <c r="K529"/>
  <c r="L529"/>
  <c r="M529"/>
  <c r="N529"/>
  <c r="O529"/>
  <c r="G1759" l="1"/>
  <c r="G1758" s="1"/>
  <c r="H1756"/>
  <c r="H1755" s="1"/>
  <c r="G1756"/>
  <c r="I1755"/>
  <c r="G1408"/>
  <c r="G640"/>
  <c r="G1755" l="1"/>
  <c r="H1774" l="1"/>
  <c r="H1773" s="1"/>
  <c r="H1772" s="1"/>
  <c r="I1773"/>
  <c r="I1772" s="1"/>
  <c r="G1773"/>
  <c r="G1772" s="1"/>
  <c r="I2085" i="1"/>
  <c r="I2082" s="1"/>
  <c r="I2081" s="1"/>
  <c r="H2085"/>
  <c r="H2082" s="1"/>
  <c r="H2081" s="1"/>
  <c r="G2085"/>
  <c r="G673" i="3"/>
  <c r="G672" s="1"/>
  <c r="G671" s="1"/>
  <c r="I672"/>
  <c r="I671" s="1"/>
  <c r="H672"/>
  <c r="H671" s="1"/>
  <c r="I1152" i="1"/>
  <c r="I1151" s="1"/>
  <c r="H1152"/>
  <c r="H1151" s="1"/>
  <c r="G1152"/>
  <c r="G1151" s="1"/>
  <c r="G578" i="3"/>
  <c r="G577" s="1"/>
  <c r="I578"/>
  <c r="H578"/>
  <c r="I804" i="1"/>
  <c r="H804"/>
  <c r="G804"/>
  <c r="G2082" l="1"/>
  <c r="G2081" s="1"/>
  <c r="I703" i="3"/>
  <c r="I702" s="1"/>
  <c r="H703"/>
  <c r="H702" s="1"/>
  <c r="G703"/>
  <c r="G702" s="1"/>
  <c r="I870" i="1"/>
  <c r="I869" s="1"/>
  <c r="H870"/>
  <c r="H869" s="1"/>
  <c r="G870"/>
  <c r="G869" s="1"/>
  <c r="G614" i="3"/>
  <c r="G613" s="1"/>
  <c r="G612" s="1"/>
  <c r="G607"/>
  <c r="G606" s="1"/>
  <c r="I613"/>
  <c r="I612" s="1"/>
  <c r="H613"/>
  <c r="H612" s="1"/>
  <c r="I825" i="1"/>
  <c r="I824" s="1"/>
  <c r="H825"/>
  <c r="H824" s="1"/>
  <c r="G825"/>
  <c r="G824" s="1"/>
  <c r="G386" i="3" l="1"/>
  <c r="G2939" i="1"/>
  <c r="G368" i="3"/>
  <c r="G2921" i="1"/>
  <c r="G391" i="3" l="1"/>
  <c r="G390" s="1"/>
  <c r="L390"/>
  <c r="I390"/>
  <c r="H390"/>
  <c r="G2944" i="1"/>
  <c r="G2943" s="1"/>
  <c r="I2943"/>
  <c r="H2943"/>
  <c r="G363" i="3"/>
  <c r="G2916" i="1"/>
  <c r="G1460" i="3"/>
  <c r="I1213" i="1"/>
  <c r="I1212" s="1"/>
  <c r="I1211" s="1"/>
  <c r="H1213"/>
  <c r="H1212" s="1"/>
  <c r="H1211" s="1"/>
  <c r="I685" i="3"/>
  <c r="H685"/>
  <c r="G685"/>
  <c r="I684"/>
  <c r="H684"/>
  <c r="G684"/>
  <c r="I840" i="1"/>
  <c r="H840"/>
  <c r="G840"/>
  <c r="I839"/>
  <c r="H839"/>
  <c r="G839"/>
  <c r="I681" i="3"/>
  <c r="H681"/>
  <c r="G681"/>
  <c r="I837" i="1"/>
  <c r="H837"/>
  <c r="G837"/>
  <c r="I836"/>
  <c r="H836"/>
  <c r="G836"/>
  <c r="I834"/>
  <c r="H834"/>
  <c r="G834"/>
  <c r="G136" s="1"/>
  <c r="I332" i="3"/>
  <c r="I331" s="1"/>
  <c r="H332"/>
  <c r="H331" s="1"/>
  <c r="G332"/>
  <c r="G331" s="1"/>
  <c r="I1915" i="1"/>
  <c r="I1914" s="1"/>
  <c r="H1915"/>
  <c r="H1914" s="1"/>
  <c r="G1915"/>
  <c r="G1914" s="1"/>
  <c r="G135" l="1"/>
  <c r="J460"/>
  <c r="G1213"/>
  <c r="G1212" s="1"/>
  <c r="G1211" s="1"/>
  <c r="I1099" i="3"/>
  <c r="I1098" s="1"/>
  <c r="H1099"/>
  <c r="H1098" s="1"/>
  <c r="G1099"/>
  <c r="G1098" s="1"/>
  <c r="I3195" i="1"/>
  <c r="I3194" s="1"/>
  <c r="G3195"/>
  <c r="G3194" s="1"/>
  <c r="H3195"/>
  <c r="H3194" s="1"/>
  <c r="I406" i="3"/>
  <c r="I405" s="1"/>
  <c r="H406"/>
  <c r="H405" s="1"/>
  <c r="G406"/>
  <c r="G405" s="1"/>
  <c r="G2953" i="1"/>
  <c r="G2952" s="1"/>
  <c r="I2953"/>
  <c r="I2952" s="1"/>
  <c r="H2953"/>
  <c r="H2952" s="1"/>
  <c r="I1459" i="3"/>
  <c r="I1458" s="1"/>
  <c r="H1459"/>
  <c r="H1458" s="1"/>
  <c r="G1459"/>
  <c r="G1458" s="1"/>
  <c r="G105" i="1"/>
  <c r="G104" s="1"/>
  <c r="G103" s="1"/>
  <c r="I105"/>
  <c r="I104" s="1"/>
  <c r="I103" s="1"/>
  <c r="H105"/>
  <c r="H104" s="1"/>
  <c r="H103" s="1"/>
  <c r="I1668" i="3"/>
  <c r="I1667" s="1"/>
  <c r="H1668"/>
  <c r="H1667" s="1"/>
  <c r="G1668"/>
  <c r="G1667" s="1"/>
  <c r="I3030" i="1" l="1"/>
  <c r="I3029" s="1"/>
  <c r="H3030"/>
  <c r="H3029" s="1"/>
  <c r="G3030"/>
  <c r="G3029" s="1"/>
  <c r="J1492" i="3"/>
  <c r="K1492"/>
  <c r="L1492"/>
  <c r="M1492"/>
  <c r="N1492"/>
  <c r="O1492"/>
  <c r="H1493"/>
  <c r="H1492" s="1"/>
  <c r="H1491" s="1"/>
  <c r="I1493"/>
  <c r="I1492" s="1"/>
  <c r="I1491" s="1"/>
  <c r="H1893" i="1"/>
  <c r="I1893"/>
  <c r="H1553" i="3"/>
  <c r="H1552" s="1"/>
  <c r="I1553"/>
  <c r="I1552" s="1"/>
  <c r="H1783" i="1"/>
  <c r="H1782" s="1"/>
  <c r="I1783"/>
  <c r="I1782" s="1"/>
  <c r="I2236" i="3"/>
  <c r="I2235" s="1"/>
  <c r="I2234" s="1"/>
  <c r="H2236"/>
  <c r="H2235" s="1"/>
  <c r="H2234" s="1"/>
  <c r="G2236"/>
  <c r="G2235" s="1"/>
  <c r="G2234" s="1"/>
  <c r="I1693" i="1"/>
  <c r="I1692" s="1"/>
  <c r="H1693"/>
  <c r="H1692" s="1"/>
  <c r="G1693"/>
  <c r="G1692" s="1"/>
  <c r="G1691" s="1"/>
  <c r="H1691" l="1"/>
  <c r="H2504"/>
  <c r="H2503" s="1"/>
  <c r="H2500" s="1"/>
  <c r="I1691"/>
  <c r="I2504"/>
  <c r="I2503" s="1"/>
  <c r="I2500" s="1"/>
  <c r="H1892"/>
  <c r="I1892"/>
  <c r="G698" i="3"/>
  <c r="H576"/>
  <c r="H530" s="1"/>
  <c r="I576"/>
  <c r="I530" s="1"/>
  <c r="G697" l="1"/>
  <c r="G696" s="1"/>
  <c r="I1408" i="1"/>
  <c r="I1407" s="1"/>
  <c r="H1408"/>
  <c r="H1407" s="1"/>
  <c r="G1408"/>
  <c r="G1407" s="1"/>
  <c r="I706" i="3"/>
  <c r="I705" s="1"/>
  <c r="H706"/>
  <c r="H705" s="1"/>
  <c r="G706"/>
  <c r="G705" s="1"/>
  <c r="I873" i="1"/>
  <c r="I872" s="1"/>
  <c r="H873"/>
  <c r="H872" s="1"/>
  <c r="G873"/>
  <c r="G872" s="1"/>
  <c r="G642" i="3"/>
  <c r="G641" s="1"/>
  <c r="I864" i="1"/>
  <c r="I863" s="1"/>
  <c r="H864"/>
  <c r="H863" s="1"/>
  <c r="G864"/>
  <c r="G863" s="1"/>
  <c r="H2133" i="3"/>
  <c r="I2133"/>
  <c r="H1373"/>
  <c r="H1372" s="1"/>
  <c r="I1373"/>
  <c r="I1372" s="1"/>
  <c r="H1407"/>
  <c r="H1406" s="1"/>
  <c r="I1407"/>
  <c r="I1406" s="1"/>
  <c r="K1397"/>
  <c r="J1397"/>
  <c r="I1397"/>
  <c r="I1396" s="1"/>
  <c r="H1397"/>
  <c r="H1396" s="1"/>
  <c r="G1397"/>
  <c r="G1396" s="1"/>
  <c r="I334" i="1"/>
  <c r="I333" s="1"/>
  <c r="H334"/>
  <c r="H333" s="1"/>
  <c r="G334"/>
  <c r="G333" s="1"/>
  <c r="H328"/>
  <c r="H327" s="1"/>
  <c r="I328"/>
  <c r="I327" s="1"/>
  <c r="H325"/>
  <c r="H324" s="1"/>
  <c r="I325"/>
  <c r="I324" s="1"/>
  <c r="K1400" i="3"/>
  <c r="J1400"/>
  <c r="I1400"/>
  <c r="I1399" s="1"/>
  <c r="H1400"/>
  <c r="H1399" s="1"/>
  <c r="G1400"/>
  <c r="G1399" s="1"/>
  <c r="H101" i="1"/>
  <c r="H100" s="1"/>
  <c r="I101"/>
  <c r="I100" s="1"/>
  <c r="G101"/>
  <c r="G1407" i="3"/>
  <c r="G1406" s="1"/>
  <c r="G325" i="1"/>
  <c r="G324" s="1"/>
  <c r="K1373" i="3"/>
  <c r="J1373"/>
  <c r="G1373"/>
  <c r="G1372" s="1"/>
  <c r="G328" i="1"/>
  <c r="G327" s="1"/>
  <c r="K1367" i="3"/>
  <c r="J1367"/>
  <c r="G1367"/>
  <c r="G1366" s="1"/>
  <c r="G98" i="1"/>
  <c r="G97" s="1"/>
  <c r="G100" l="1"/>
  <c r="G464"/>
  <c r="G463" s="1"/>
  <c r="G462" s="1"/>
  <c r="G348" i="3"/>
  <c r="I1421" i="1" l="1"/>
  <c r="H1421"/>
  <c r="G1421"/>
  <c r="I2744"/>
  <c r="I2743" s="1"/>
  <c r="I2742" s="1"/>
  <c r="H2744"/>
  <c r="H2743" s="1"/>
  <c r="H2742" s="1"/>
  <c r="G2744"/>
  <c r="G2743" s="1"/>
  <c r="G2742" s="1"/>
  <c r="I764" i="3"/>
  <c r="I763" s="1"/>
  <c r="H764"/>
  <c r="H763" s="1"/>
  <c r="G764"/>
  <c r="G763" s="1"/>
  <c r="G1193" i="1"/>
  <c r="G1192" s="1"/>
  <c r="I1193"/>
  <c r="I1192" s="1"/>
  <c r="H1193"/>
  <c r="H1192" s="1"/>
  <c r="G2986"/>
  <c r="I639" i="3"/>
  <c r="H639"/>
  <c r="G639"/>
  <c r="I833" i="1"/>
  <c r="H833"/>
  <c r="G833"/>
  <c r="J2337" i="3" l="1"/>
  <c r="K2337"/>
  <c r="M2337"/>
  <c r="N2337"/>
  <c r="O2337"/>
  <c r="G1164" i="1" l="1"/>
  <c r="K1266" i="3" l="1"/>
  <c r="J1266"/>
  <c r="I1266"/>
  <c r="I1265" s="1"/>
  <c r="H1266"/>
  <c r="H1265" s="1"/>
  <c r="G1266"/>
  <c r="G1265" s="1"/>
  <c r="I62" i="1"/>
  <c r="I61" s="1"/>
  <c r="H62"/>
  <c r="H61" s="1"/>
  <c r="G62"/>
  <c r="G61" s="1"/>
  <c r="G1583" i="3" l="1"/>
  <c r="I348" l="1"/>
  <c r="I347" s="1"/>
  <c r="I346" s="1"/>
  <c r="I2902" i="1"/>
  <c r="I2901" s="1"/>
  <c r="H419" i="3"/>
  <c r="H418" s="1"/>
  <c r="H347"/>
  <c r="H346" s="1"/>
  <c r="G347"/>
  <c r="G346" s="1"/>
  <c r="H2902" i="1"/>
  <c r="H2901" s="1"/>
  <c r="G2902"/>
  <c r="G2901" s="1"/>
  <c r="I382" i="3"/>
  <c r="H382"/>
  <c r="I2965" i="1"/>
  <c r="H2965" l="1"/>
  <c r="I419" i="3"/>
  <c r="I418" s="1"/>
  <c r="G1032"/>
  <c r="H156" i="1"/>
  <c r="I720" i="3"/>
  <c r="H720"/>
  <c r="G740"/>
  <c r="I1508"/>
  <c r="I1507" s="1"/>
  <c r="H1508"/>
  <c r="H1507" s="1"/>
  <c r="H664" i="1"/>
  <c r="I664"/>
  <c r="I1480" i="3"/>
  <c r="I1476" s="1"/>
  <c r="H1480"/>
  <c r="H1476" s="1"/>
  <c r="G1480"/>
  <c r="G1476" s="1"/>
  <c r="I774" l="1"/>
  <c r="H774"/>
  <c r="G666" l="1"/>
  <c r="G665" s="1"/>
  <c r="G652"/>
  <c r="H155" i="1" l="1"/>
  <c r="G158"/>
  <c r="I1022" i="3"/>
  <c r="H1022"/>
  <c r="G1022"/>
  <c r="I33" i="1"/>
  <c r="H33"/>
  <c r="G33"/>
  <c r="I474"/>
  <c r="G1264" i="3"/>
  <c r="G1263" s="1"/>
  <c r="G1262" s="1"/>
  <c r="H474" i="1"/>
  <c r="I1333" i="3" l="1"/>
  <c r="I1332" s="1"/>
  <c r="I1331" s="1"/>
  <c r="H1333"/>
  <c r="H1332" s="1"/>
  <c r="H1331" s="1"/>
  <c r="G1333"/>
  <c r="G1332" s="1"/>
  <c r="G1331" s="1"/>
  <c r="I1327"/>
  <c r="I1326" s="1"/>
  <c r="I1325" s="1"/>
  <c r="H1327"/>
  <c r="H1326" s="1"/>
  <c r="H1325" s="1"/>
  <c r="I1639" i="1"/>
  <c r="I1638" s="1"/>
  <c r="H1639"/>
  <c r="H1638" s="1"/>
  <c r="G1639"/>
  <c r="G1638" s="1"/>
  <c r="G1655"/>
  <c r="G1654" s="1"/>
  <c r="H1655"/>
  <c r="I1655"/>
  <c r="G1327" i="3"/>
  <c r="I50"/>
  <c r="H50"/>
  <c r="G140"/>
  <c r="I1654" i="1" l="1"/>
  <c r="I1625" i="3"/>
  <c r="I1624" s="1"/>
  <c r="I1623" s="1"/>
  <c r="H1654" i="1"/>
  <c r="H1625" i="3"/>
  <c r="H1624" s="1"/>
  <c r="H1623" s="1"/>
  <c r="I193"/>
  <c r="H193"/>
  <c r="H1420" i="1" l="1"/>
  <c r="I1420"/>
  <c r="G1420"/>
  <c r="G55" i="3"/>
  <c r="G1608" i="1"/>
  <c r="H798"/>
  <c r="H84"/>
  <c r="G1548"/>
  <c r="G1168"/>
  <c r="G1163" s="1"/>
  <c r="G2006" i="3" l="1"/>
  <c r="H635"/>
  <c r="I635"/>
  <c r="G2975" i="1" l="1"/>
  <c r="G2974" s="1"/>
  <c r="H2975"/>
  <c r="H2974" s="1"/>
  <c r="I2975"/>
  <c r="I2974" s="1"/>
  <c r="G2931"/>
  <c r="G2930" s="1"/>
  <c r="H1696"/>
  <c r="I1696"/>
  <c r="H1622"/>
  <c r="I1622"/>
  <c r="G1622"/>
  <c r="H1519"/>
  <c r="I1519"/>
  <c r="G1519"/>
  <c r="G404" i="3" l="1"/>
  <c r="G403" s="1"/>
  <c r="G402" s="1"/>
  <c r="G2950" i="1"/>
  <c r="G2949" s="1"/>
  <c r="G374" i="3"/>
  <c r="G373" s="1"/>
  <c r="G372" s="1"/>
  <c r="G2926" i="1"/>
  <c r="G2925" s="1"/>
  <c r="G193" i="3" l="1"/>
  <c r="G2059" i="1"/>
  <c r="G501"/>
  <c r="G2741"/>
  <c r="G1363" i="3"/>
  <c r="G1362" s="1"/>
  <c r="G1365"/>
  <c r="G241" i="1"/>
  <c r="I792" l="1"/>
  <c r="I533" i="3" s="1"/>
  <c r="H792" i="1"/>
  <c r="H533" i="3" s="1"/>
  <c r="H695"/>
  <c r="I695"/>
  <c r="G1352"/>
  <c r="G2211"/>
  <c r="G2210" s="1"/>
  <c r="G2203" s="1"/>
  <c r="G2157"/>
  <c r="G2012"/>
  <c r="I2012"/>
  <c r="H2012"/>
  <c r="G1357"/>
  <c r="G1360"/>
  <c r="G695" l="1"/>
  <c r="G694" s="1"/>
  <c r="G693" s="1"/>
  <c r="I694"/>
  <c r="I693" s="1"/>
  <c r="H694"/>
  <c r="H693" s="1"/>
  <c r="G2003"/>
  <c r="G2002" s="1"/>
  <c r="G3079" i="1"/>
  <c r="G3078" s="1"/>
  <c r="G3018"/>
  <c r="G3017" s="1"/>
  <c r="G279" i="3"/>
  <c r="G278" s="1"/>
  <c r="G2058" i="1"/>
  <c r="G2005" i="3"/>
  <c r="G2004" s="1"/>
  <c r="G1803" i="1"/>
  <c r="G1802" s="1"/>
  <c r="G916" i="3"/>
  <c r="G915" s="1"/>
  <c r="G914" s="1"/>
  <c r="I916"/>
  <c r="H916"/>
  <c r="I914"/>
  <c r="H914"/>
  <c r="G1270" i="1"/>
  <c r="G689" i="3"/>
  <c r="G688" s="1"/>
  <c r="G687" s="1"/>
  <c r="I688"/>
  <c r="I687" s="1"/>
  <c r="H688"/>
  <c r="H687" s="1"/>
  <c r="I1161" i="1"/>
  <c r="I1160" s="1"/>
  <c r="I1722" s="1"/>
  <c r="I1721" s="1"/>
  <c r="I1716" s="1"/>
  <c r="H1161"/>
  <c r="H1160" s="1"/>
  <c r="H1722" s="1"/>
  <c r="H1721" s="1"/>
  <c r="H1716" s="1"/>
  <c r="G1161"/>
  <c r="G1160" s="1"/>
  <c r="G720" i="3"/>
  <c r="G719" s="1"/>
  <c r="G718" s="1"/>
  <c r="I719"/>
  <c r="I718" s="1"/>
  <c r="H719"/>
  <c r="H718" s="1"/>
  <c r="H883" i="1"/>
  <c r="H882" s="1"/>
  <c r="H881" s="1"/>
  <c r="I883"/>
  <c r="I882" s="1"/>
  <c r="I881" s="1"/>
  <c r="G883"/>
  <c r="G882" s="1"/>
  <c r="G881" s="1"/>
  <c r="G533" i="3"/>
  <c r="G532" s="1"/>
  <c r="L532"/>
  <c r="M532" s="1"/>
  <c r="I532"/>
  <c r="I531" s="1"/>
  <c r="H532"/>
  <c r="H531" s="1"/>
  <c r="I791" i="1"/>
  <c r="H791"/>
  <c r="G792"/>
  <c r="G791" s="1"/>
  <c r="G1508" i="3"/>
  <c r="G1507" s="1"/>
  <c r="G664" i="1"/>
  <c r="G531" i="3" l="1"/>
  <c r="G500"/>
  <c r="G2001"/>
  <c r="I995"/>
  <c r="I994" s="1"/>
  <c r="H995"/>
  <c r="H994" s="1"/>
  <c r="G995"/>
  <c r="G994" s="1"/>
  <c r="I3117" i="1"/>
  <c r="I3116" s="1"/>
  <c r="H3117"/>
  <c r="H3116" s="1"/>
  <c r="G3117"/>
  <c r="G3116" s="1"/>
  <c r="G3120"/>
  <c r="G3119" s="1"/>
  <c r="H3120"/>
  <c r="H3119" s="1"/>
  <c r="I3120"/>
  <c r="I3119" s="1"/>
  <c r="I3115" l="1"/>
  <c r="G3115"/>
  <c r="H3115"/>
  <c r="G1762" i="3"/>
  <c r="G1761" s="1"/>
  <c r="G1760" s="1"/>
  <c r="G419"/>
  <c r="G3125" i="1" l="1"/>
  <c r="G3124" s="1"/>
  <c r="G275" i="3"/>
  <c r="G277"/>
  <c r="G276" s="1"/>
  <c r="I2056" i="1"/>
  <c r="H2056"/>
  <c r="G2056"/>
  <c r="I655"/>
  <c r="I654" s="1"/>
  <c r="I653" s="1"/>
  <c r="I652" s="1"/>
  <c r="I651" s="1"/>
  <c r="I634" s="1"/>
  <c r="I628" s="1"/>
  <c r="I627" s="1"/>
  <c r="H655"/>
  <c r="H654" s="1"/>
  <c r="H653" s="1"/>
  <c r="H652" s="1"/>
  <c r="H651" s="1"/>
  <c r="H634" s="1"/>
  <c r="H628" s="1"/>
  <c r="H627" s="1"/>
  <c r="G1077"/>
  <c r="G1076" s="1"/>
  <c r="G2206" i="3"/>
  <c r="G2205" s="1"/>
  <c r="G2204" s="1"/>
  <c r="I2205"/>
  <c r="I2204" s="1"/>
  <c r="H2205"/>
  <c r="H2204" s="1"/>
  <c r="H1187" i="1" l="1"/>
  <c r="H1186" s="1"/>
  <c r="I1187"/>
  <c r="I1186" s="1"/>
  <c r="G1187"/>
  <c r="G1186" s="1"/>
  <c r="G656" l="1"/>
  <c r="G655" s="1"/>
  <c r="G654" s="1"/>
  <c r="G653" s="1"/>
  <c r="G382" i="3"/>
  <c r="G1551"/>
  <c r="G1550" s="1"/>
  <c r="G1549" s="1"/>
  <c r="G1819" i="1"/>
  <c r="G1822"/>
  <c r="G680" i="3"/>
  <c r="G678"/>
  <c r="G677"/>
  <c r="G822"/>
  <c r="G821" s="1"/>
  <c r="G820" s="1"/>
  <c r="I821"/>
  <c r="I820" s="1"/>
  <c r="H821"/>
  <c r="H820" s="1"/>
  <c r="I973" i="1"/>
  <c r="I972" s="1"/>
  <c r="H973"/>
  <c r="H972" s="1"/>
  <c r="G973"/>
  <c r="G972" s="1"/>
  <c r="G780" i="3"/>
  <c r="G779" s="1"/>
  <c r="G778" s="1"/>
  <c r="I931" i="1"/>
  <c r="I930" s="1"/>
  <c r="H931"/>
  <c r="H930" s="1"/>
  <c r="G931"/>
  <c r="G930" s="1"/>
  <c r="I779" i="3"/>
  <c r="I778" s="1"/>
  <c r="H779"/>
  <c r="H778" s="1"/>
  <c r="I925" i="1"/>
  <c r="I924" s="1"/>
  <c r="H925"/>
  <c r="H924" s="1"/>
  <c r="G925"/>
  <c r="G924" s="1"/>
  <c r="G558" i="3"/>
  <c r="G557" s="1"/>
  <c r="G556" s="1"/>
  <c r="I1155" i="1"/>
  <c r="I1154" s="1"/>
  <c r="H1155"/>
  <c r="H1154" s="1"/>
  <c r="G1155"/>
  <c r="G1154" s="1"/>
  <c r="G676" i="3"/>
  <c r="H495" i="1"/>
  <c r="I495"/>
  <c r="H1164"/>
  <c r="I1164"/>
  <c r="H1168"/>
  <c r="I1168"/>
  <c r="G776" i="3" l="1"/>
  <c r="G775" s="1"/>
  <c r="I1163" i="1"/>
  <c r="H1163"/>
  <c r="G679" i="3"/>
  <c r="G675"/>
  <c r="G674" l="1"/>
  <c r="G1028"/>
  <c r="G1737"/>
  <c r="G1044"/>
  <c r="I1763"/>
  <c r="G1766"/>
  <c r="I3136" i="1"/>
  <c r="I3123" s="1"/>
  <c r="G3139"/>
  <c r="G1713" i="3"/>
  <c r="G1712" s="1"/>
  <c r="G1711" s="1"/>
  <c r="G3063" i="1"/>
  <c r="G1734" i="3" s="1"/>
  <c r="I1712"/>
  <c r="I1711" s="1"/>
  <c r="H1712"/>
  <c r="H1711" s="1"/>
  <c r="I3071" i="1"/>
  <c r="I3070" s="1"/>
  <c r="H3071"/>
  <c r="H3070" s="1"/>
  <c r="G395" i="3"/>
  <c r="G1696" i="1" l="1"/>
  <c r="G3071"/>
  <c r="G3070" s="1"/>
  <c r="H2167" i="3"/>
  <c r="I2167"/>
  <c r="G2167"/>
  <c r="I1740"/>
  <c r="G1740"/>
  <c r="G1771"/>
  <c r="G1770" s="1"/>
  <c r="G1769" s="1"/>
  <c r="G1768" s="1"/>
  <c r="H1448"/>
  <c r="I1448"/>
  <c r="G1448"/>
  <c r="G1129"/>
  <c r="G833"/>
  <c r="G657"/>
  <c r="G832" l="1"/>
  <c r="G831" s="1"/>
  <c r="G2218"/>
  <c r="G418"/>
  <c r="I416"/>
  <c r="I415" s="1"/>
  <c r="I408" s="1"/>
  <c r="H416"/>
  <c r="H415" s="1"/>
  <c r="H408" s="1"/>
  <c r="G416"/>
  <c r="G413"/>
  <c r="G412" s="1"/>
  <c r="G410"/>
  <c r="G409" s="1"/>
  <c r="I1335"/>
  <c r="I1334" s="1"/>
  <c r="H1335"/>
  <c r="H1334" s="1"/>
  <c r="G1335"/>
  <c r="G1334" s="1"/>
  <c r="H74" i="1"/>
  <c r="H73" s="1"/>
  <c r="I73"/>
  <c r="G74"/>
  <c r="G73" s="1"/>
  <c r="I1330" i="3"/>
  <c r="I1329" s="1"/>
  <c r="I1328" s="1"/>
  <c r="H1329"/>
  <c r="H1328" s="1"/>
  <c r="G1329"/>
  <c r="G1328" s="1"/>
  <c r="H68" i="1"/>
  <c r="H67" s="1"/>
  <c r="I68"/>
  <c r="I67" s="1"/>
  <c r="G68"/>
  <c r="G67" s="1"/>
  <c r="G415" i="3" l="1"/>
  <c r="G408" s="1"/>
  <c r="I3122" i="1"/>
  <c r="H57" i="2" s="1"/>
  <c r="G3142" i="1"/>
  <c r="G3141" s="1"/>
  <c r="I1821"/>
  <c r="H1821"/>
  <c r="G1821"/>
  <c r="G1818" s="1"/>
  <c r="G1807"/>
  <c r="G1806" s="1"/>
  <c r="G1805" s="1"/>
  <c r="G1447" i="3"/>
  <c r="G1446" s="1"/>
  <c r="I1447"/>
  <c r="I1446" s="1"/>
  <c r="H1447"/>
  <c r="H1446" s="1"/>
  <c r="I699" i="1"/>
  <c r="I698" s="1"/>
  <c r="H699"/>
  <c r="H698" s="1"/>
  <c r="G699"/>
  <c r="G698" s="1"/>
  <c r="H1451" i="3"/>
  <c r="I1451"/>
  <c r="G1451"/>
  <c r="G1450" s="1"/>
  <c r="G1449" s="1"/>
  <c r="G493" i="1"/>
  <c r="G692" i="3"/>
  <c r="I691"/>
  <c r="I690" s="1"/>
  <c r="H691"/>
  <c r="H690" s="1"/>
  <c r="I855" i="1"/>
  <c r="I854" s="1"/>
  <c r="H855"/>
  <c r="H854" s="1"/>
  <c r="G855"/>
  <c r="G854" s="1"/>
  <c r="G3180"/>
  <c r="G1930" i="3"/>
  <c r="G1929" s="1"/>
  <c r="G1928" s="1"/>
  <c r="I1929"/>
  <c r="I1928" s="1"/>
  <c r="H1929"/>
  <c r="H1928" s="1"/>
  <c r="I1205" i="1"/>
  <c r="I1204" s="1"/>
  <c r="I1203" s="1"/>
  <c r="H1205"/>
  <c r="H1204" s="1"/>
  <c r="H1203" s="1"/>
  <c r="G1205"/>
  <c r="G1204" s="1"/>
  <c r="G1203" s="1"/>
  <c r="H3137"/>
  <c r="H3136" s="1"/>
  <c r="H3123" s="1"/>
  <c r="H3055"/>
  <c r="H1740" i="3" s="1"/>
  <c r="I1765"/>
  <c r="G1765"/>
  <c r="G1764" s="1"/>
  <c r="G1763" s="1"/>
  <c r="H3052" i="1"/>
  <c r="G3137"/>
  <c r="G3136" s="1"/>
  <c r="H1342" i="3"/>
  <c r="I1348"/>
  <c r="H1348"/>
  <c r="H1273"/>
  <c r="H1272" s="1"/>
  <c r="H1271" s="1"/>
  <c r="H1249" s="1"/>
  <c r="H1248" s="1"/>
  <c r="I1272"/>
  <c r="I1271" s="1"/>
  <c r="I1249" s="1"/>
  <c r="I1248" s="1"/>
  <c r="G1272"/>
  <c r="G1271" s="1"/>
  <c r="G1249" s="1"/>
  <c r="G1248" s="1"/>
  <c r="I215" i="1"/>
  <c r="I214" s="1"/>
  <c r="H215"/>
  <c r="H214" s="1"/>
  <c r="G214"/>
  <c r="I152"/>
  <c r="I151" s="1"/>
  <c r="H152"/>
  <c r="H151" s="1"/>
  <c r="G152"/>
  <c r="G151" s="1"/>
  <c r="H505"/>
  <c r="H504" s="1"/>
  <c r="I505"/>
  <c r="I504" s="1"/>
  <c r="G505"/>
  <c r="G504" s="1"/>
  <c r="G400" i="3"/>
  <c r="G399" s="1"/>
  <c r="I149" i="1"/>
  <c r="I148" s="1"/>
  <c r="H149"/>
  <c r="H148" s="1"/>
  <c r="G149"/>
  <c r="G148" s="1"/>
  <c r="G913" i="3"/>
  <c r="G2960" i="1"/>
  <c r="G2959" s="1"/>
  <c r="I478"/>
  <c r="H478"/>
  <c r="G478"/>
  <c r="G1326" i="3"/>
  <c r="G1325" s="1"/>
  <c r="H147" i="1" l="1"/>
  <c r="H3122"/>
  <c r="G57" i="2" s="1"/>
  <c r="H1765" i="3"/>
  <c r="H1764" s="1"/>
  <c r="H1763" s="1"/>
  <c r="G691"/>
  <c r="G690" s="1"/>
  <c r="G147" i="1"/>
  <c r="G146" s="1"/>
  <c r="I147"/>
  <c r="H503"/>
  <c r="H502" s="1"/>
  <c r="G75" i="2" s="1"/>
  <c r="I503" i="1"/>
  <c r="I502" s="1"/>
  <c r="H75" i="2" s="1"/>
  <c r="G503" i="1"/>
  <c r="G502" s="1"/>
  <c r="I146"/>
  <c r="H146"/>
  <c r="G1097" i="3" l="1"/>
  <c r="G1080"/>
  <c r="I1610" i="1" l="1"/>
  <c r="H1610"/>
  <c r="I1038" i="3"/>
  <c r="I1037" s="1"/>
  <c r="I1036" s="1"/>
  <c r="H1038"/>
  <c r="H1037" s="1"/>
  <c r="H1036" s="1"/>
  <c r="G1038"/>
  <c r="G1037" s="1"/>
  <c r="G1036" s="1"/>
  <c r="I2972" i="1"/>
  <c r="I2971" s="1"/>
  <c r="H2972"/>
  <c r="H2971" s="1"/>
  <c r="G2972"/>
  <c r="G2971" s="1"/>
  <c r="G1128" i="3"/>
  <c r="G1127"/>
  <c r="G71" i="1"/>
  <c r="G70"/>
  <c r="G397" i="3"/>
  <c r="G396" s="1"/>
  <c r="G2957" i="1"/>
  <c r="G2956" s="1"/>
  <c r="I773" i="3"/>
  <c r="I772" s="1"/>
  <c r="I717" s="1"/>
  <c r="H773"/>
  <c r="H772" s="1"/>
  <c r="H717" s="1"/>
  <c r="G773"/>
  <c r="G772" s="1"/>
  <c r="I928" i="1"/>
  <c r="I927" s="1"/>
  <c r="H928"/>
  <c r="H927" s="1"/>
  <c r="G928"/>
  <c r="G927" s="1"/>
  <c r="I654" i="3"/>
  <c r="I653" s="1"/>
  <c r="H654"/>
  <c r="H653" s="1"/>
  <c r="G654"/>
  <c r="G653" s="1"/>
  <c r="I1372" i="1"/>
  <c r="I1371" s="1"/>
  <c r="H1372"/>
  <c r="H1371" s="1"/>
  <c r="G1372"/>
  <c r="G1371" s="1"/>
  <c r="G3129"/>
  <c r="I951" i="3"/>
  <c r="I950" s="1"/>
  <c r="I910" s="1"/>
  <c r="H951"/>
  <c r="H950" s="1"/>
  <c r="H910" s="1"/>
  <c r="G951"/>
  <c r="G950" s="1"/>
  <c r="G910" s="1"/>
  <c r="I1280" i="1"/>
  <c r="I1279" s="1"/>
  <c r="H1280"/>
  <c r="H1279" s="1"/>
  <c r="G1280"/>
  <c r="G1279" s="1"/>
  <c r="G1699"/>
  <c r="I465" i="3"/>
  <c r="I464" s="1"/>
  <c r="H465"/>
  <c r="H464" s="1"/>
  <c r="G465"/>
  <c r="G464" s="1"/>
  <c r="G436" s="1"/>
  <c r="G435" s="1"/>
  <c r="I84" i="1"/>
  <c r="I83" s="1"/>
  <c r="I82" s="1"/>
  <c r="H83"/>
  <c r="H82" s="1"/>
  <c r="G84"/>
  <c r="G83" s="1"/>
  <c r="I1091" i="3"/>
  <c r="I1090" s="1"/>
  <c r="H1091"/>
  <c r="H1090" s="1"/>
  <c r="G1091"/>
  <c r="G1090" s="1"/>
  <c r="I3189" i="1"/>
  <c r="I3188" s="1"/>
  <c r="H3189"/>
  <c r="H3188" s="1"/>
  <c r="G3189"/>
  <c r="G3188" s="1"/>
  <c r="G1079" i="3"/>
  <c r="G3174" i="1"/>
  <c r="G1078" i="3"/>
  <c r="I1096"/>
  <c r="H1096"/>
  <c r="G1096"/>
  <c r="I3192" i="1"/>
  <c r="I3191" s="1"/>
  <c r="H3192"/>
  <c r="H3191" s="1"/>
  <c r="G3192"/>
  <c r="G3191" s="1"/>
  <c r="G1089" i="3"/>
  <c r="G1083"/>
  <c r="I486"/>
  <c r="I485" s="1"/>
  <c r="H486"/>
  <c r="H485" s="1"/>
  <c r="G486"/>
  <c r="G485" s="1"/>
  <c r="I3015" i="1"/>
  <c r="I3014" s="1"/>
  <c r="H3015"/>
  <c r="H3014" s="1"/>
  <c r="G3015"/>
  <c r="G3014" s="1"/>
  <c r="I192" i="3"/>
  <c r="I191" s="1"/>
  <c r="H192"/>
  <c r="H191" s="1"/>
  <c r="G192"/>
  <c r="G191" s="1"/>
  <c r="G613" i="1"/>
  <c r="G612" s="1"/>
  <c r="I613"/>
  <c r="I612" s="1"/>
  <c r="H613"/>
  <c r="H612" s="1"/>
  <c r="G1354" i="3"/>
  <c r="G1353" s="1"/>
  <c r="G232" i="1"/>
  <c r="I1364" i="3"/>
  <c r="I1361" s="1"/>
  <c r="H1364"/>
  <c r="H1361" s="1"/>
  <c r="G1364"/>
  <c r="G1361" s="1"/>
  <c r="I246" i="1"/>
  <c r="I240" s="1"/>
  <c r="H246"/>
  <c r="H240" s="1"/>
  <c r="G246"/>
  <c r="G240" s="1"/>
  <c r="I1359" i="3"/>
  <c r="H1359"/>
  <c r="G1359"/>
  <c r="G1358" s="1"/>
  <c r="I238" i="1"/>
  <c r="H238"/>
  <c r="G238"/>
  <c r="G237" s="1"/>
  <c r="I1356" i="3"/>
  <c r="H1356"/>
  <c r="G1356"/>
  <c r="G1355" s="1"/>
  <c r="I235" i="1"/>
  <c r="H235"/>
  <c r="G235"/>
  <c r="G234" s="1"/>
  <c r="I1351" i="3"/>
  <c r="H1351"/>
  <c r="G1351"/>
  <c r="I1349"/>
  <c r="H1349"/>
  <c r="G230" i="1"/>
  <c r="H228"/>
  <c r="I228"/>
  <c r="H230"/>
  <c r="I230"/>
  <c r="H273"/>
  <c r="H272" s="1"/>
  <c r="I273"/>
  <c r="I272" s="1"/>
  <c r="G1698" l="1"/>
  <c r="G82"/>
  <c r="G138"/>
  <c r="G137" s="1"/>
  <c r="G133" s="1"/>
  <c r="J457" s="1"/>
  <c r="G229"/>
  <c r="G228" s="1"/>
  <c r="G273"/>
  <c r="G272" s="1"/>
  <c r="G1610"/>
  <c r="G1607" s="1"/>
  <c r="G3128"/>
  <c r="G3127" s="1"/>
  <c r="G1350" i="3"/>
  <c r="G1349" s="1"/>
  <c r="G2965" i="1"/>
  <c r="G2964"/>
  <c r="G430" l="1"/>
  <c r="G2000" i="3"/>
  <c r="I189"/>
  <c r="H189"/>
  <c r="G189"/>
  <c r="G188" s="1"/>
  <c r="I610" i="1"/>
  <c r="H610"/>
  <c r="G610"/>
  <c r="G609" s="1"/>
  <c r="I186" i="3"/>
  <c r="H186"/>
  <c r="G186"/>
  <c r="G185" s="1"/>
  <c r="I607" i="1"/>
  <c r="H607"/>
  <c r="G607"/>
  <c r="G606" s="1"/>
  <c r="I183" i="3"/>
  <c r="H183"/>
  <c r="G183"/>
  <c r="G182" s="1"/>
  <c r="I604" i="1"/>
  <c r="H604"/>
  <c r="G604"/>
  <c r="G603" s="1"/>
  <c r="J571" s="1"/>
  <c r="I657" i="3" l="1"/>
  <c r="H657"/>
  <c r="G635"/>
  <c r="G634" s="1"/>
  <c r="G633" s="1"/>
  <c r="I948"/>
  <c r="I947" s="1"/>
  <c r="H948"/>
  <c r="H947" s="1"/>
  <c r="G948"/>
  <c r="G947" s="1"/>
  <c r="G2156"/>
  <c r="G2171"/>
  <c r="H2171"/>
  <c r="H2170" s="1"/>
  <c r="I2171"/>
  <c r="I2170" s="1"/>
  <c r="I1094"/>
  <c r="I1093" s="1"/>
  <c r="H1094"/>
  <c r="H1093" s="1"/>
  <c r="G1094"/>
  <c r="G1093" s="1"/>
  <c r="G1086"/>
  <c r="G1085" s="1"/>
  <c r="G1084" s="1"/>
  <c r="I1082"/>
  <c r="I1081" s="1"/>
  <c r="H1082"/>
  <c r="H1081" s="1"/>
  <c r="G1082"/>
  <c r="G1081" s="1"/>
  <c r="G1075"/>
  <c r="I696" i="1"/>
  <c r="H696"/>
  <c r="G2150" i="3"/>
  <c r="I3177" i="1"/>
  <c r="I3176" s="1"/>
  <c r="H3177"/>
  <c r="H3176" s="1"/>
  <c r="G3177"/>
  <c r="G3176" s="1"/>
  <c r="G3179"/>
  <c r="I1077" i="3"/>
  <c r="I1076" s="1"/>
  <c r="H1077"/>
  <c r="H1076" s="1"/>
  <c r="G1077"/>
  <c r="G1076" s="1"/>
  <c r="I3172" i="1"/>
  <c r="I3171" s="1"/>
  <c r="H3172"/>
  <c r="H3171" s="1"/>
  <c r="G3172"/>
  <c r="G3171" s="1"/>
  <c r="I1085" i="3"/>
  <c r="I1084" s="1"/>
  <c r="H1085"/>
  <c r="H1084" s="1"/>
  <c r="G1088"/>
  <c r="G1087" s="1"/>
  <c r="H1088"/>
  <c r="H1087" s="1"/>
  <c r="I1088"/>
  <c r="I1087" s="1"/>
  <c r="I3183" i="1"/>
  <c r="I3182" s="1"/>
  <c r="H3183"/>
  <c r="H3182" s="1"/>
  <c r="G3183"/>
  <c r="G3182" s="1"/>
  <c r="I3186"/>
  <c r="I3185" s="1"/>
  <c r="H3186"/>
  <c r="H3185" s="1"/>
  <c r="G3186"/>
  <c r="G3185" s="1"/>
  <c r="G1040" i="3" l="1"/>
  <c r="G2170"/>
  <c r="I3179" i="1"/>
  <c r="H3179"/>
  <c r="G2154" i="3"/>
  <c r="I852" i="1"/>
  <c r="I851" s="1"/>
  <c r="H852"/>
  <c r="H851" s="1"/>
  <c r="G852"/>
  <c r="G851" s="1"/>
  <c r="I1075"/>
  <c r="I1074" s="1"/>
  <c r="H1075"/>
  <c r="H1074" s="1"/>
  <c r="G1074"/>
  <c r="G1073" s="1"/>
  <c r="G1072" s="1"/>
  <c r="I656" i="3"/>
  <c r="H656"/>
  <c r="G656"/>
  <c r="G696" i="1"/>
  <c r="I831" i="3"/>
  <c r="H831"/>
  <c r="I740" i="1"/>
  <c r="H740"/>
  <c r="G564"/>
  <c r="G496"/>
  <c r="G495" s="1"/>
  <c r="G1270" i="3"/>
  <c r="G1268" s="1"/>
  <c r="G289" i="1"/>
  <c r="G264" s="1"/>
  <c r="G263" s="1"/>
  <c r="G288"/>
  <c r="G65"/>
  <c r="G64"/>
  <c r="G1269" i="3" l="1"/>
  <c r="G378"/>
  <c r="G385"/>
  <c r="G389"/>
  <c r="G371"/>
  <c r="G359"/>
  <c r="G358" s="1"/>
  <c r="G357" s="1"/>
  <c r="G2911" i="1"/>
  <c r="G2910" s="1"/>
  <c r="G1320" i="3"/>
  <c r="G1319" s="1"/>
  <c r="G211" i="1"/>
  <c r="G200"/>
  <c r="G199" s="1"/>
  <c r="H2963"/>
  <c r="H2962" s="1"/>
  <c r="H2955" s="1"/>
  <c r="G2963"/>
  <c r="G2962" s="1"/>
  <c r="G2955" s="1"/>
  <c r="G1318" i="3" l="1"/>
  <c r="G1317" s="1"/>
  <c r="G1316" s="1"/>
  <c r="I2963" i="1"/>
  <c r="I2962" s="1"/>
  <c r="I2955" s="1"/>
  <c r="G1749" i="3" l="1"/>
  <c r="G1748" s="1"/>
  <c r="G1747" s="1"/>
  <c r="G3068" i="1"/>
  <c r="G3067" s="1"/>
  <c r="G1493" i="3"/>
  <c r="G1492" s="1"/>
  <c r="G1491" s="1"/>
  <c r="G1553"/>
  <c r="G1552" s="1"/>
  <c r="G377"/>
  <c r="I274"/>
  <c r="I273" s="1"/>
  <c r="H274"/>
  <c r="H273" s="1"/>
  <c r="G274"/>
  <c r="G273" s="1"/>
  <c r="I2054" i="1"/>
  <c r="I2053" s="1"/>
  <c r="H2054"/>
  <c r="H2053" s="1"/>
  <c r="G2054"/>
  <c r="G2053" s="1"/>
  <c r="I1201"/>
  <c r="H1201"/>
  <c r="G1201"/>
  <c r="G1200" s="1"/>
  <c r="I1727" i="3"/>
  <c r="I1726" s="1"/>
  <c r="H1727"/>
  <c r="H1726" s="1"/>
  <c r="G1727"/>
  <c r="G1726" s="1"/>
  <c r="I3005" i="1"/>
  <c r="I3004" s="1"/>
  <c r="H3005"/>
  <c r="H3004" s="1"/>
  <c r="G3005"/>
  <c r="G3004" s="1"/>
  <c r="I1745" i="3"/>
  <c r="I1744" s="1"/>
  <c r="H1745"/>
  <c r="H1744" s="1"/>
  <c r="G1745"/>
  <c r="G1744" s="1"/>
  <c r="I3059" i="1"/>
  <c r="I3058" s="1"/>
  <c r="H3059"/>
  <c r="H3058" s="1"/>
  <c r="G3059"/>
  <c r="G3058" s="1"/>
  <c r="G3280" s="1"/>
  <c r="G3279" s="1"/>
  <c r="G3278" s="1"/>
  <c r="G1043" i="3"/>
  <c r="G1041" s="1"/>
  <c r="G3154" i="1"/>
  <c r="G3153" s="1"/>
  <c r="G3123" s="1"/>
  <c r="I1277"/>
  <c r="I1276" s="1"/>
  <c r="H1277"/>
  <c r="H1276" s="1"/>
  <c r="G1277"/>
  <c r="G1276" s="1"/>
  <c r="G2947"/>
  <c r="G2946" s="1"/>
  <c r="G394" i="3"/>
  <c r="G393" s="1"/>
  <c r="G361"/>
  <c r="G360" s="1"/>
  <c r="G2914" i="1"/>
  <c r="G2913" s="1"/>
  <c r="G3122" l="1"/>
  <c r="F57" i="2" s="1"/>
  <c r="G1893" i="1"/>
  <c r="G1892" s="1"/>
  <c r="G1783"/>
  <c r="G1782" s="1"/>
  <c r="G1199"/>
  <c r="G370" i="3" l="1"/>
  <c r="G366"/>
  <c r="G2923" i="1"/>
  <c r="G2919"/>
  <c r="G388" i="3"/>
  <c r="G384"/>
  <c r="G2941" i="1"/>
  <c r="G2937"/>
  <c r="G2936" l="1"/>
  <c r="G2918"/>
  <c r="G383" i="3"/>
  <c r="G365"/>
  <c r="I483"/>
  <c r="I478" s="1"/>
  <c r="I476"/>
  <c r="I473" s="1"/>
  <c r="H483"/>
  <c r="H478" s="1"/>
  <c r="G483"/>
  <c r="G478" s="1"/>
  <c r="I3012" i="1"/>
  <c r="I3011" s="1"/>
  <c r="H3012"/>
  <c r="H3011" s="1"/>
  <c r="G3012"/>
  <c r="G3011" s="1"/>
  <c r="H476" i="3"/>
  <c r="H473" s="1"/>
  <c r="G476"/>
  <c r="G473" s="1"/>
  <c r="I3009" i="1"/>
  <c r="I3008" s="1"/>
  <c r="H3009"/>
  <c r="H3008" s="1"/>
  <c r="G3009"/>
  <c r="G3008" s="1"/>
  <c r="G2176" i="3" s="1"/>
  <c r="G2175" s="1"/>
  <c r="G3007" i="1" l="1"/>
  <c r="H3007"/>
  <c r="I3007"/>
  <c r="H2734"/>
  <c r="H226" i="3" s="1"/>
  <c r="H225" s="1"/>
  <c r="H224" s="1"/>
  <c r="H206" s="1"/>
  <c r="I2734" i="1"/>
  <c r="I2733" s="1"/>
  <c r="H229" i="3"/>
  <c r="H228" s="1"/>
  <c r="H227" s="1"/>
  <c r="I229"/>
  <c r="I228" s="1"/>
  <c r="I227" s="1"/>
  <c r="G229"/>
  <c r="H2737" i="1"/>
  <c r="H2736" s="1"/>
  <c r="I2737"/>
  <c r="I2736" s="1"/>
  <c r="K1347" i="3"/>
  <c r="J1347"/>
  <c r="I1347"/>
  <c r="I1346" s="1"/>
  <c r="H1347"/>
  <c r="H1346" s="1"/>
  <c r="G1347"/>
  <c r="G1346" s="1"/>
  <c r="H1345"/>
  <c r="I319" i="1"/>
  <c r="I318" s="1"/>
  <c r="H319"/>
  <c r="H318" s="1"/>
  <c r="G319"/>
  <c r="G318" s="1"/>
  <c r="I1341" i="3"/>
  <c r="I1340" s="1"/>
  <c r="H1341"/>
  <c r="H1340" s="1"/>
  <c r="G1341"/>
  <c r="G1340" s="1"/>
  <c r="H297" i="1"/>
  <c r="H296" s="1"/>
  <c r="I297"/>
  <c r="I296" s="1"/>
  <c r="G297"/>
  <c r="G296" s="1"/>
  <c r="I829" i="3"/>
  <c r="I828" s="1"/>
  <c r="H829"/>
  <c r="H828" s="1"/>
  <c r="G829"/>
  <c r="G828" s="1"/>
  <c r="I922" i="1"/>
  <c r="I921" s="1"/>
  <c r="H922"/>
  <c r="H921" s="1"/>
  <c r="G922"/>
  <c r="G921" s="1"/>
  <c r="H2733" l="1"/>
  <c r="I226" i="3"/>
  <c r="I225" s="1"/>
  <c r="I224" s="1"/>
  <c r="I206" s="1"/>
  <c r="I1200" i="1"/>
  <c r="I1199" s="1"/>
  <c r="H1200"/>
  <c r="H1199" s="1"/>
  <c r="G1346"/>
  <c r="I3076" l="1"/>
  <c r="I3075" s="1"/>
  <c r="I3074" s="1"/>
  <c r="H3076"/>
  <c r="H3075" s="1"/>
  <c r="H3074" s="1"/>
  <c r="G3076"/>
  <c r="G3075" s="1"/>
  <c r="G3074" s="1"/>
  <c r="G2895"/>
  <c r="G2894" s="1"/>
  <c r="G2893" s="1"/>
  <c r="G2892" s="1"/>
  <c r="G2091" s="1"/>
  <c r="I2894"/>
  <c r="I2893" s="1"/>
  <c r="I2892" s="1"/>
  <c r="I2091" s="1"/>
  <c r="H2894"/>
  <c r="H2893" s="1"/>
  <c r="H2892" s="1"/>
  <c r="H2091" s="1"/>
  <c r="I2218" i="3"/>
  <c r="I2217" s="1"/>
  <c r="H2218"/>
  <c r="H2217" s="1"/>
  <c r="G228"/>
  <c r="G227" s="1"/>
  <c r="G2737" i="1"/>
  <c r="G2736" s="1"/>
  <c r="G2075"/>
  <c r="G2074" s="1"/>
  <c r="G2073" s="1"/>
  <c r="G2734"/>
  <c r="G1684"/>
  <c r="I990" i="3"/>
  <c r="I985" s="1"/>
  <c r="H990"/>
  <c r="H985" s="1"/>
  <c r="G990"/>
  <c r="G1339" i="1"/>
  <c r="G2221" i="3"/>
  <c r="G2220" s="1"/>
  <c r="I749" i="1"/>
  <c r="I748" s="1"/>
  <c r="H749"/>
  <c r="H748" s="1"/>
  <c r="G749"/>
  <c r="G748" s="1"/>
  <c r="G747" s="1"/>
  <c r="I316"/>
  <c r="I315" s="1"/>
  <c r="I314" s="1"/>
  <c r="H316"/>
  <c r="H315" s="1"/>
  <c r="H314" s="1"/>
  <c r="G316"/>
  <c r="G315" s="1"/>
  <c r="G314" s="1"/>
  <c r="G1339" i="3"/>
  <c r="G1338" s="1"/>
  <c r="G1337" s="1"/>
  <c r="G294" i="1"/>
  <c r="G293" s="1"/>
  <c r="G77"/>
  <c r="G76" s="1"/>
  <c r="I381" i="3"/>
  <c r="H381"/>
  <c r="G381"/>
  <c r="I2934" i="1"/>
  <c r="H2934"/>
  <c r="G2934"/>
  <c r="K1344" i="3"/>
  <c r="J1344"/>
  <c r="I1344"/>
  <c r="I1343" s="1"/>
  <c r="H1344"/>
  <c r="H1343" s="1"/>
  <c r="G1344"/>
  <c r="G1343" s="1"/>
  <c r="H80" i="1"/>
  <c r="H79" s="1"/>
  <c r="I80"/>
  <c r="I79" s="1"/>
  <c r="G80"/>
  <c r="G79" s="1"/>
  <c r="J2092" l="1"/>
  <c r="G226" i="3"/>
  <c r="G225" s="1"/>
  <c r="G224" s="1"/>
  <c r="G206" s="1"/>
  <c r="G2733" i="1"/>
  <c r="I984" i="3"/>
  <c r="I529" s="1"/>
  <c r="H984"/>
  <c r="H529" s="1"/>
  <c r="I2891" i="1"/>
  <c r="H2891"/>
  <c r="G2891"/>
  <c r="G2217" i="3"/>
  <c r="G652" i="1"/>
  <c r="G651" s="1"/>
  <c r="I1031" i="3"/>
  <c r="I1030" s="1"/>
  <c r="I1029" s="1"/>
  <c r="H1031"/>
  <c r="H1030" s="1"/>
  <c r="H1029" s="1"/>
  <c r="G1031"/>
  <c r="G1030" s="1"/>
  <c r="G1029" s="1"/>
  <c r="I2969" i="1"/>
  <c r="I2968" s="1"/>
  <c r="I2967" s="1"/>
  <c r="H2969"/>
  <c r="H2968" s="1"/>
  <c r="H2967" s="1"/>
  <c r="G2969"/>
  <c r="G2968" s="1"/>
  <c r="G2967" s="1"/>
  <c r="G999" i="3"/>
  <c r="G998" s="1"/>
  <c r="G997" s="1"/>
  <c r="G993" s="1"/>
  <c r="G1074"/>
  <c r="G1073" s="1"/>
  <c r="I1311" i="1"/>
  <c r="I1310" s="1"/>
  <c r="I1309" s="1"/>
  <c r="H1311"/>
  <c r="H1310" s="1"/>
  <c r="H1309" s="1"/>
  <c r="G1311"/>
  <c r="G1310" s="1"/>
  <c r="G1309" s="1"/>
  <c r="I1739" i="3"/>
  <c r="I1738" s="1"/>
  <c r="H1739"/>
  <c r="H1738" s="1"/>
  <c r="G1739"/>
  <c r="G1738" s="1"/>
  <c r="I3054" i="1"/>
  <c r="I3053" s="1"/>
  <c r="H3054"/>
  <c r="H3053" s="1"/>
  <c r="G3054"/>
  <c r="G3053" s="1"/>
  <c r="G1731" i="3"/>
  <c r="G1730" s="1"/>
  <c r="G1729" s="1"/>
  <c r="G500" i="1"/>
  <c r="G499" s="1"/>
  <c r="G498" s="1"/>
  <c r="I500"/>
  <c r="I499" s="1"/>
  <c r="I498" s="1"/>
  <c r="H500"/>
  <c r="H499" s="1"/>
  <c r="H498" s="1"/>
  <c r="I471" i="3"/>
  <c r="I470" s="1"/>
  <c r="H471"/>
  <c r="H470" s="1"/>
  <c r="G471"/>
  <c r="G470" s="1"/>
  <c r="I1070" i="1"/>
  <c r="I1069" s="1"/>
  <c r="H1070"/>
  <c r="H1069" s="1"/>
  <c r="G1070"/>
  <c r="G1069" s="1"/>
  <c r="I468" i="3"/>
  <c r="I467" s="1"/>
  <c r="H468"/>
  <c r="H467" s="1"/>
  <c r="G468"/>
  <c r="G467" s="1"/>
  <c r="I1067" i="1"/>
  <c r="I1066" s="1"/>
  <c r="I1065" s="1"/>
  <c r="H1067"/>
  <c r="H1066" s="1"/>
  <c r="G1067"/>
  <c r="G1066" s="1"/>
  <c r="G232" i="3"/>
  <c r="G231" s="1"/>
  <c r="G230" s="1"/>
  <c r="G1678" i="1"/>
  <c r="I3073"/>
  <c r="H3073"/>
  <c r="G3073"/>
  <c r="I1736" i="3"/>
  <c r="I1735" s="1"/>
  <c r="H1736"/>
  <c r="H1735" s="1"/>
  <c r="G1736"/>
  <c r="G1735" s="1"/>
  <c r="H3065" i="1"/>
  <c r="H3064" s="1"/>
  <c r="I3065"/>
  <c r="I3064" s="1"/>
  <c r="G3065"/>
  <c r="G3064" s="1"/>
  <c r="I1027" i="3"/>
  <c r="I1026" s="1"/>
  <c r="H1027"/>
  <c r="H1026" s="1"/>
  <c r="G1027"/>
  <c r="G1026" s="1"/>
  <c r="H38" i="1"/>
  <c r="H37" s="1"/>
  <c r="I38"/>
  <c r="I37" s="1"/>
  <c r="G38"/>
  <c r="G37" s="1"/>
  <c r="H1572" i="3"/>
  <c r="I1572"/>
  <c r="G1572"/>
  <c r="I1582"/>
  <c r="I1581" s="1"/>
  <c r="H1582"/>
  <c r="H1581" s="1"/>
  <c r="G1582"/>
  <c r="G1581" s="1"/>
  <c r="I1573"/>
  <c r="H1573"/>
  <c r="G1573"/>
  <c r="H1564"/>
  <c r="H1563" s="1"/>
  <c r="I1564"/>
  <c r="I1563" s="1"/>
  <c r="H1561"/>
  <c r="H1560" s="1"/>
  <c r="I1561"/>
  <c r="I1560" s="1"/>
  <c r="G1562"/>
  <c r="G1561" s="1"/>
  <c r="G1560" s="1"/>
  <c r="G1565"/>
  <c r="G1564" s="1"/>
  <c r="G1563" s="1"/>
  <c r="H1824" i="1"/>
  <c r="I1824"/>
  <c r="H1445" i="3"/>
  <c r="I1445"/>
  <c r="H491" i="1"/>
  <c r="H1540" i="3"/>
  <c r="I1540"/>
  <c r="G1540"/>
  <c r="I1477" i="1"/>
  <c r="H1477"/>
  <c r="G1477"/>
  <c r="I134" i="3"/>
  <c r="H134"/>
  <c r="G134"/>
  <c r="G1620" i="1"/>
  <c r="H330" i="3"/>
  <c r="I330"/>
  <c r="I1264"/>
  <c r="I1263" s="1"/>
  <c r="H1264"/>
  <c r="H1263" s="1"/>
  <c r="H2056"/>
  <c r="H2055" s="1"/>
  <c r="H2054" s="1"/>
  <c r="H2050" s="1"/>
  <c r="I2056"/>
  <c r="I2055" s="1"/>
  <c r="I2054" s="1"/>
  <c r="I2050" s="1"/>
  <c r="I1734"/>
  <c r="I1733" s="1"/>
  <c r="I1732" s="1"/>
  <c r="H1734"/>
  <c r="H1733" s="1"/>
  <c r="H1732" s="1"/>
  <c r="I1731"/>
  <c r="I1730" s="1"/>
  <c r="I1729" s="1"/>
  <c r="H1731"/>
  <c r="H1730" s="1"/>
  <c r="H1729" s="1"/>
  <c r="M1686"/>
  <c r="J1903"/>
  <c r="J1926"/>
  <c r="H1902"/>
  <c r="I1902"/>
  <c r="H1898"/>
  <c r="H1897" s="1"/>
  <c r="I1898"/>
  <c r="I1897" s="1"/>
  <c r="J1935"/>
  <c r="H2093"/>
  <c r="I2093"/>
  <c r="H2091"/>
  <c r="I2091"/>
  <c r="H2081"/>
  <c r="I2081"/>
  <c r="H2079"/>
  <c r="I2079"/>
  <c r="H2075"/>
  <c r="I2075"/>
  <c r="H2073"/>
  <c r="H2072" s="1"/>
  <c r="I2073"/>
  <c r="I2072" s="1"/>
  <c r="H2066"/>
  <c r="H2065" s="1"/>
  <c r="I2066"/>
  <c r="I2065" s="1"/>
  <c r="H2062"/>
  <c r="H2061" s="1"/>
  <c r="I2062"/>
  <c r="I2061" s="1"/>
  <c r="H2060"/>
  <c r="I2060"/>
  <c r="J2062"/>
  <c r="J2112"/>
  <c r="J2140"/>
  <c r="H1524"/>
  <c r="I1524"/>
  <c r="J1522"/>
  <c r="J1500"/>
  <c r="J1438"/>
  <c r="J1158"/>
  <c r="J1053"/>
  <c r="J651"/>
  <c r="J337"/>
  <c r="J263"/>
  <c r="J132"/>
  <c r="H1721"/>
  <c r="H1720" s="1"/>
  <c r="I1721"/>
  <c r="I1720" s="1"/>
  <c r="H1715"/>
  <c r="H1714" s="1"/>
  <c r="I1715"/>
  <c r="I1714" s="1"/>
  <c r="H1709"/>
  <c r="H1708" s="1"/>
  <c r="I1709"/>
  <c r="I1708" s="1"/>
  <c r="H1691"/>
  <c r="H1690" s="1"/>
  <c r="I1691"/>
  <c r="I1690" s="1"/>
  <c r="H1687"/>
  <c r="I1687"/>
  <c r="H1686"/>
  <c r="H1685" s="1"/>
  <c r="I1686"/>
  <c r="I1685" s="1"/>
  <c r="H1683"/>
  <c r="I1683"/>
  <c r="H1663"/>
  <c r="H1662" s="1"/>
  <c r="I1663"/>
  <c r="I1662" s="1"/>
  <c r="H1657"/>
  <c r="H1654" s="1"/>
  <c r="I1657"/>
  <c r="I1654" s="1"/>
  <c r="H1648"/>
  <c r="H1647" s="1"/>
  <c r="I1648"/>
  <c r="I1647" s="1"/>
  <c r="H1644"/>
  <c r="H1643" s="1"/>
  <c r="I1644"/>
  <c r="I1643" s="1"/>
  <c r="H380"/>
  <c r="I380"/>
  <c r="H356"/>
  <c r="I356"/>
  <c r="H351"/>
  <c r="I351"/>
  <c r="H1126"/>
  <c r="I1126"/>
  <c r="H1936"/>
  <c r="H1935" s="1"/>
  <c r="H1934" s="1"/>
  <c r="H1927" s="1"/>
  <c r="I1936"/>
  <c r="I1935" s="1"/>
  <c r="I1934" s="1"/>
  <c r="I1927" s="1"/>
  <c r="G1935"/>
  <c r="G1934" s="1"/>
  <c r="G1927" s="1"/>
  <c r="I1345" i="1"/>
  <c r="I1344" s="1"/>
  <c r="I1343" s="1"/>
  <c r="I1342" s="1"/>
  <c r="H1345"/>
  <c r="H1344" s="1"/>
  <c r="H1343" s="1"/>
  <c r="H1342" s="1"/>
  <c r="G1345"/>
  <c r="G1344" s="1"/>
  <c r="G1343" s="1"/>
  <c r="G1342" s="1"/>
  <c r="H1315" i="3"/>
  <c r="I1315"/>
  <c r="H1313"/>
  <c r="H1312" s="1"/>
  <c r="I1313"/>
  <c r="I1312" s="1"/>
  <c r="H1311"/>
  <c r="I1311"/>
  <c r="H1309"/>
  <c r="I1309"/>
  <c r="I1244"/>
  <c r="I1243" s="1"/>
  <c r="H1158"/>
  <c r="I1158"/>
  <c r="H1244"/>
  <c r="H1243" s="1"/>
  <c r="I1256"/>
  <c r="H1256"/>
  <c r="I1500"/>
  <c r="H1500"/>
  <c r="I1075"/>
  <c r="I1074" s="1"/>
  <c r="I1073" s="1"/>
  <c r="H1075"/>
  <c r="H1074" s="1"/>
  <c r="H1073" s="1"/>
  <c r="I1071"/>
  <c r="I1070" s="1"/>
  <c r="H1071"/>
  <c r="H1070" s="1"/>
  <c r="I1547"/>
  <c r="I1471"/>
  <c r="H1471"/>
  <c r="H1547"/>
  <c r="H133"/>
  <c r="I133"/>
  <c r="H1490"/>
  <c r="I1490"/>
  <c r="I999"/>
  <c r="I998" s="1"/>
  <c r="I997" s="1"/>
  <c r="I993" s="1"/>
  <c r="H999"/>
  <c r="H998" s="1"/>
  <c r="H997" s="1"/>
  <c r="H993" s="1"/>
  <c r="H1025"/>
  <c r="I1025"/>
  <c r="G2081"/>
  <c r="G2079"/>
  <c r="G545"/>
  <c r="H1646"/>
  <c r="H1645" s="1"/>
  <c r="I1646"/>
  <c r="I1645" s="1"/>
  <c r="G1733"/>
  <c r="G1732" s="1"/>
  <c r="I3062" i="1"/>
  <c r="I3061" s="1"/>
  <c r="H3062"/>
  <c r="H3061" s="1"/>
  <c r="G3062"/>
  <c r="G3061" s="1"/>
  <c r="I3051"/>
  <c r="I3050" s="1"/>
  <c r="H3051"/>
  <c r="H3050" s="1"/>
  <c r="G3051"/>
  <c r="G3050" s="1"/>
  <c r="G1071" i="3"/>
  <c r="G1070" s="1"/>
  <c r="H3169" i="1"/>
  <c r="H3168" s="1"/>
  <c r="I3169"/>
  <c r="I3168" s="1"/>
  <c r="G3169"/>
  <c r="G3168" s="1"/>
  <c r="I1506" i="3"/>
  <c r="I1503" s="1"/>
  <c r="H1506"/>
  <c r="H1503" s="1"/>
  <c r="H1636" i="1"/>
  <c r="H1635" s="1"/>
  <c r="H1634" s="1"/>
  <c r="I1636"/>
  <c r="I1635" s="1"/>
  <c r="I1634" s="1"/>
  <c r="G1636"/>
  <c r="G1635" s="1"/>
  <c r="G1634" s="1"/>
  <c r="H1997"/>
  <c r="H1996" s="1"/>
  <c r="H1995" s="1"/>
  <c r="H1932" s="1"/>
  <c r="I1997"/>
  <c r="I1996" s="1"/>
  <c r="I1995" s="1"/>
  <c r="I1932" s="1"/>
  <c r="G1997"/>
  <c r="G1996" s="1"/>
  <c r="G1995" s="1"/>
  <c r="G1932" s="1"/>
  <c r="I282" i="3"/>
  <c r="I281" s="1"/>
  <c r="I280" s="1"/>
  <c r="H282"/>
  <c r="H281" s="1"/>
  <c r="H280" s="1"/>
  <c r="G281"/>
  <c r="G280" s="1"/>
  <c r="H2061" i="1"/>
  <c r="H2060" s="1"/>
  <c r="I2061"/>
  <c r="I2060" s="1"/>
  <c r="G2061"/>
  <c r="G2060" s="1"/>
  <c r="I232" i="3"/>
  <c r="I231" s="1"/>
  <c r="I230" s="1"/>
  <c r="H232"/>
  <c r="H231" s="1"/>
  <c r="H230" s="1"/>
  <c r="H2740" i="1"/>
  <c r="H2739" s="1"/>
  <c r="H2732" s="1"/>
  <c r="I2740"/>
  <c r="I2739" s="1"/>
  <c r="I2732" s="1"/>
  <c r="G2740"/>
  <c r="G2739" s="1"/>
  <c r="H1791"/>
  <c r="H1790" s="1"/>
  <c r="I1791"/>
  <c r="I1790" s="1"/>
  <c r="G1791"/>
  <c r="G1790" s="1"/>
  <c r="G1781" s="1"/>
  <c r="G1780" s="1"/>
  <c r="I140" i="3"/>
  <c r="I139" s="1"/>
  <c r="I138" s="1"/>
  <c r="H140"/>
  <c r="H139" s="1"/>
  <c r="H138" s="1"/>
  <c r="G139"/>
  <c r="G138" s="1"/>
  <c r="I1625" i="1"/>
  <c r="I1624" s="1"/>
  <c r="H1625"/>
  <c r="H1624" s="1"/>
  <c r="G1625"/>
  <c r="G1624" s="1"/>
  <c r="I269" i="3"/>
  <c r="H269"/>
  <c r="I55"/>
  <c r="H55"/>
  <c r="I137"/>
  <c r="I136" s="1"/>
  <c r="H137"/>
  <c r="H136" s="1"/>
  <c r="I1502"/>
  <c r="H1502"/>
  <c r="H1063" i="1"/>
  <c r="H1062" s="1"/>
  <c r="H1061" s="1"/>
  <c r="I1063"/>
  <c r="I1062" s="1"/>
  <c r="I1061" s="1"/>
  <c r="I824" i="3"/>
  <c r="H824"/>
  <c r="G632"/>
  <c r="I688" i="1"/>
  <c r="I687" s="1"/>
  <c r="H688"/>
  <c r="H687" s="1"/>
  <c r="G688"/>
  <c r="G687" s="1"/>
  <c r="I548" i="3"/>
  <c r="H548"/>
  <c r="G2732" i="1" l="1"/>
  <c r="T206" i="3" s="1"/>
  <c r="G463"/>
  <c r="U463" s="1"/>
  <c r="I1476" i="1"/>
  <c r="I2202" i="3"/>
  <c r="I2201" s="1"/>
  <c r="H1476" i="1"/>
  <c r="H2202" i="3"/>
  <c r="H2201" s="1"/>
  <c r="H463"/>
  <c r="I463"/>
  <c r="G1476" i="1"/>
  <c r="G1880"/>
  <c r="G1879" s="1"/>
  <c r="G1878" s="1"/>
  <c r="G634"/>
  <c r="H1040" i="3"/>
  <c r="I1040"/>
  <c r="G1065" i="1"/>
  <c r="G429"/>
  <c r="G428" s="1"/>
  <c r="H1642" i="3"/>
  <c r="I1642"/>
  <c r="H490" i="1"/>
  <c r="H488" s="1"/>
  <c r="H487" s="1"/>
  <c r="G74" i="2" s="1"/>
  <c r="G739" i="3"/>
  <c r="I491" i="1"/>
  <c r="I490" s="1"/>
  <c r="G1062"/>
  <c r="G1061" s="1"/>
  <c r="H1682" i="3"/>
  <c r="I1682"/>
  <c r="H1065" i="1"/>
  <c r="G491"/>
  <c r="J1641" i="3"/>
  <c r="I2130"/>
  <c r="I2129" s="1"/>
  <c r="H2130"/>
  <c r="H2129" s="1"/>
  <c r="I2128"/>
  <c r="I2127" s="1"/>
  <c r="H2128"/>
  <c r="H2127" s="1"/>
  <c r="I2120"/>
  <c r="I2119" s="1"/>
  <c r="H2120"/>
  <c r="H2119" s="1"/>
  <c r="I2118"/>
  <c r="I2117" s="1"/>
  <c r="H2118"/>
  <c r="H2117" s="1"/>
  <c r="I2110"/>
  <c r="I2109" s="1"/>
  <c r="I2108" s="1"/>
  <c r="I2107" s="1"/>
  <c r="H2110"/>
  <c r="H2109" s="1"/>
  <c r="H2108" s="1"/>
  <c r="H2107" s="1"/>
  <c r="I3308" i="1"/>
  <c r="I1544" i="3"/>
  <c r="I1543" s="1"/>
  <c r="I1542" s="1"/>
  <c r="H1544"/>
  <c r="H1543" s="1"/>
  <c r="H1542" s="1"/>
  <c r="I1517"/>
  <c r="I1516" s="1"/>
  <c r="H1517"/>
  <c r="H1516" s="1"/>
  <c r="I1515"/>
  <c r="I1514" s="1"/>
  <c r="H1515"/>
  <c r="H1514" s="1"/>
  <c r="I1513"/>
  <c r="I1512" s="1"/>
  <c r="H1513"/>
  <c r="H1512" s="1"/>
  <c r="H1523"/>
  <c r="H1522" s="1"/>
  <c r="H1521" s="1"/>
  <c r="I2216"/>
  <c r="H2216"/>
  <c r="I1634"/>
  <c r="I1633" s="1"/>
  <c r="I1632" s="1"/>
  <c r="H1634"/>
  <c r="H1633" s="1"/>
  <c r="H1632" s="1"/>
  <c r="I2142"/>
  <c r="I2141" s="1"/>
  <c r="H2142"/>
  <c r="H2141" s="1"/>
  <c r="I2145"/>
  <c r="H2145"/>
  <c r="I181"/>
  <c r="I180" s="1"/>
  <c r="I179" s="1"/>
  <c r="H181"/>
  <c r="H180" s="1"/>
  <c r="H179" s="1"/>
  <c r="I178"/>
  <c r="I177" s="1"/>
  <c r="I176" s="1"/>
  <c r="H178"/>
  <c r="H177" s="1"/>
  <c r="H176" s="1"/>
  <c r="I172"/>
  <c r="I171" s="1"/>
  <c r="I170" s="1"/>
  <c r="H172"/>
  <c r="H171" s="1"/>
  <c r="H170" s="1"/>
  <c r="I166"/>
  <c r="I165" s="1"/>
  <c r="H166"/>
  <c r="H165" s="1"/>
  <c r="I164"/>
  <c r="I163" s="1"/>
  <c r="H164"/>
  <c r="H163" s="1"/>
  <c r="I162"/>
  <c r="I161" s="1"/>
  <c r="H162"/>
  <c r="H161" s="1"/>
  <c r="I2095"/>
  <c r="I2094" s="1"/>
  <c r="H2096"/>
  <c r="H2095" s="1"/>
  <c r="H2094" s="1"/>
  <c r="I1537"/>
  <c r="I1536" s="1"/>
  <c r="I1535" s="1"/>
  <c r="H1537"/>
  <c r="H1536" s="1"/>
  <c r="H1535" s="1"/>
  <c r="G1537"/>
  <c r="G1536" s="1"/>
  <c r="G1535" s="1"/>
  <c r="I1534"/>
  <c r="I1533" s="1"/>
  <c r="I1526" s="1"/>
  <c r="H1534"/>
  <c r="H1533" s="1"/>
  <c r="H1526" s="1"/>
  <c r="G1534"/>
  <c r="G52"/>
  <c r="I1901"/>
  <c r="I1900" s="1"/>
  <c r="I2298"/>
  <c r="I2295" s="1"/>
  <c r="H2298"/>
  <c r="H2297" s="1"/>
  <c r="H2296" s="1"/>
  <c r="G651"/>
  <c r="G650" s="1"/>
  <c r="H1910"/>
  <c r="H1909" s="1"/>
  <c r="I263"/>
  <c r="I262" s="1"/>
  <c r="I261" s="1"/>
  <c r="H263"/>
  <c r="H262" s="1"/>
  <c r="H261" s="1"/>
  <c r="I1539"/>
  <c r="I1538" s="1"/>
  <c r="I1154"/>
  <c r="H1154"/>
  <c r="I266"/>
  <c r="H266"/>
  <c r="H1125"/>
  <c r="H1124" s="1"/>
  <c r="G1126"/>
  <c r="I52"/>
  <c r="H52"/>
  <c r="H1608" i="1"/>
  <c r="H1607" s="1"/>
  <c r="I1608"/>
  <c r="I1607" s="1"/>
  <c r="I2166" i="3"/>
  <c r="I2144"/>
  <c r="I2132"/>
  <c r="I2131" s="1"/>
  <c r="I2092"/>
  <c r="I2090"/>
  <c r="I2080"/>
  <c r="I2078"/>
  <c r="I2074"/>
  <c r="I2071" s="1"/>
  <c r="I2067" s="1"/>
  <c r="I2059"/>
  <c r="I2058" s="1"/>
  <c r="I1925"/>
  <c r="I1924" s="1"/>
  <c r="I1916"/>
  <c r="I1915" s="1"/>
  <c r="I1910"/>
  <c r="I1909" s="1"/>
  <c r="I1904"/>
  <c r="I1903" s="1"/>
  <c r="I1558"/>
  <c r="I1546"/>
  <c r="I1545" s="1"/>
  <c r="I1523"/>
  <c r="I1522" s="1"/>
  <c r="I1521" s="1"/>
  <c r="I1505"/>
  <c r="I1501"/>
  <c r="I1499"/>
  <c r="I1489"/>
  <c r="I1488" s="1"/>
  <c r="I1487" s="1"/>
  <c r="I1474"/>
  <c r="I1473" s="1"/>
  <c r="I1472" s="1"/>
  <c r="I1470"/>
  <c r="I1469" s="1"/>
  <c r="I1468" s="1"/>
  <c r="I1467" s="1"/>
  <c r="I1444"/>
  <c r="I1443" s="1"/>
  <c r="I1438"/>
  <c r="I1437" s="1"/>
  <c r="I1436" s="1"/>
  <c r="I1314"/>
  <c r="I1310"/>
  <c r="I1308"/>
  <c r="I1262"/>
  <c r="I1255"/>
  <c r="I1254" s="1"/>
  <c r="I1242"/>
  <c r="I1157"/>
  <c r="I1156" s="1"/>
  <c r="I1125"/>
  <c r="I1124" s="1"/>
  <c r="I1059"/>
  <c r="I1058" s="1"/>
  <c r="I1056"/>
  <c r="I1054" s="1"/>
  <c r="I1024"/>
  <c r="I944"/>
  <c r="I943" s="1"/>
  <c r="I942"/>
  <c r="I941" s="1"/>
  <c r="I939"/>
  <c r="I938"/>
  <c r="I937" s="1"/>
  <c r="I823"/>
  <c r="I637"/>
  <c r="I636" s="1"/>
  <c r="I575"/>
  <c r="I574" s="1"/>
  <c r="I553"/>
  <c r="I552" s="1"/>
  <c r="I547"/>
  <c r="I546" s="1"/>
  <c r="I379"/>
  <c r="I376" s="1"/>
  <c r="I375" s="1"/>
  <c r="I355"/>
  <c r="I352" s="1"/>
  <c r="I354"/>
  <c r="I353" s="1"/>
  <c r="I350"/>
  <c r="I349" s="1"/>
  <c r="I340"/>
  <c r="I339" s="1"/>
  <c r="I329"/>
  <c r="I328" s="1"/>
  <c r="I283" s="1"/>
  <c r="I268"/>
  <c r="I267" s="1"/>
  <c r="I132"/>
  <c r="I49"/>
  <c r="I48" s="1"/>
  <c r="I43"/>
  <c r="I42" s="1"/>
  <c r="I41" s="1"/>
  <c r="I36"/>
  <c r="I35" s="1"/>
  <c r="H2166"/>
  <c r="H2144"/>
  <c r="H2132"/>
  <c r="H2131" s="1"/>
  <c r="H2092"/>
  <c r="H2090"/>
  <c r="H2080"/>
  <c r="H2078"/>
  <c r="H2074"/>
  <c r="H2071" s="1"/>
  <c r="H2067" s="1"/>
  <c r="H2059"/>
  <c r="H2058" s="1"/>
  <c r="H1925"/>
  <c r="H1924" s="1"/>
  <c r="H1916"/>
  <c r="H1915" s="1"/>
  <c r="H1904"/>
  <c r="H1903" s="1"/>
  <c r="H1901"/>
  <c r="H1900" s="1"/>
  <c r="H1558"/>
  <c r="H1546"/>
  <c r="H1545" s="1"/>
  <c r="H1539"/>
  <c r="H1538" s="1"/>
  <c r="H1505"/>
  <c r="H1501"/>
  <c r="H1499"/>
  <c r="H1489"/>
  <c r="H1488" s="1"/>
  <c r="H1487" s="1"/>
  <c r="H1474"/>
  <c r="H1473" s="1"/>
  <c r="H1472" s="1"/>
  <c r="H1470"/>
  <c r="H1469" s="1"/>
  <c r="H1468" s="1"/>
  <c r="H1467" s="1"/>
  <c r="H1444"/>
  <c r="H1443" s="1"/>
  <c r="H1438"/>
  <c r="H1437" s="1"/>
  <c r="H1436" s="1"/>
  <c r="H1314"/>
  <c r="H1310"/>
  <c r="H1308"/>
  <c r="H1262"/>
  <c r="H1255"/>
  <c r="H1254" s="1"/>
  <c r="H1242"/>
  <c r="H1157"/>
  <c r="H1156" s="1"/>
  <c r="H1059"/>
  <c r="H1058" s="1"/>
  <c r="H1056"/>
  <c r="H1054" s="1"/>
  <c r="H1052"/>
  <c r="H1024"/>
  <c r="H944"/>
  <c r="H943" s="1"/>
  <c r="H942"/>
  <c r="H941" s="1"/>
  <c r="H939"/>
  <c r="H938"/>
  <c r="H937" s="1"/>
  <c r="H823"/>
  <c r="H637"/>
  <c r="H636" s="1"/>
  <c r="H575"/>
  <c r="H574" s="1"/>
  <c r="H553"/>
  <c r="H552" s="1"/>
  <c r="H547"/>
  <c r="H546" s="1"/>
  <c r="H379"/>
  <c r="H376" s="1"/>
  <c r="H375" s="1"/>
  <c r="H355"/>
  <c r="H352" s="1"/>
  <c r="H354"/>
  <c r="H353" s="1"/>
  <c r="H350"/>
  <c r="H349" s="1"/>
  <c r="H340"/>
  <c r="H339" s="1"/>
  <c r="H329"/>
  <c r="H328" s="1"/>
  <c r="H283" s="1"/>
  <c r="H268"/>
  <c r="H267" s="1"/>
  <c r="H132"/>
  <c r="H49"/>
  <c r="H48" s="1"/>
  <c r="H43"/>
  <c r="H42" s="1"/>
  <c r="H41" s="1"/>
  <c r="H36"/>
  <c r="H35" s="1"/>
  <c r="G1912" i="1"/>
  <c r="H1912"/>
  <c r="I1912"/>
  <c r="I3166"/>
  <c r="I3165"/>
  <c r="I3163"/>
  <c r="I3162" s="1"/>
  <c r="I3160"/>
  <c r="I3159" s="1"/>
  <c r="I3113"/>
  <c r="I3112" s="1"/>
  <c r="I3110"/>
  <c r="I3109" s="1"/>
  <c r="I3107"/>
  <c r="I3105"/>
  <c r="I3102"/>
  <c r="I3101" s="1"/>
  <c r="I3036"/>
  <c r="I3035"/>
  <c r="I3025"/>
  <c r="I3024" s="1"/>
  <c r="I3002"/>
  <c r="I2999"/>
  <c r="I2998" s="1"/>
  <c r="I2996"/>
  <c r="I2995" s="1"/>
  <c r="I2990"/>
  <c r="I2986"/>
  <c r="I2932"/>
  <c r="I2929" s="1"/>
  <c r="I2928" s="1"/>
  <c r="I2908"/>
  <c r="I2907" s="1"/>
  <c r="I2905"/>
  <c r="I2904" s="1"/>
  <c r="I3311"/>
  <c r="I3310" s="1"/>
  <c r="I3306"/>
  <c r="I2878"/>
  <c r="I2876"/>
  <c r="I2872"/>
  <c r="I2871" s="1"/>
  <c r="I2870" s="1"/>
  <c r="I2868"/>
  <c r="I2867" s="1"/>
  <c r="I2850"/>
  <c r="I2849" s="1"/>
  <c r="I2848" s="1"/>
  <c r="I2847" s="1"/>
  <c r="I2846" s="1"/>
  <c r="I2845" s="1"/>
  <c r="I2803"/>
  <c r="I2802" s="1"/>
  <c r="I2794"/>
  <c r="I2793" s="1"/>
  <c r="I2788"/>
  <c r="I2787" s="1"/>
  <c r="I2772"/>
  <c r="I2771"/>
  <c r="I2770" s="1"/>
  <c r="I2765"/>
  <c r="I2764" s="1"/>
  <c r="I2762"/>
  <c r="I2761" s="1"/>
  <c r="I2758"/>
  <c r="I2757" s="1"/>
  <c r="I2756" s="1"/>
  <c r="I2729"/>
  <c r="I2728" s="1"/>
  <c r="I2727" s="1"/>
  <c r="I2726" s="1"/>
  <c r="I2071"/>
  <c r="I2070" s="1"/>
  <c r="I2069" s="1"/>
  <c r="I2068" s="1"/>
  <c r="I2065"/>
  <c r="I2064" s="1"/>
  <c r="I2051"/>
  <c r="I2048"/>
  <c r="I2047" s="1"/>
  <c r="I1900"/>
  <c r="I1899" s="1"/>
  <c r="I1898" s="1"/>
  <c r="I1890"/>
  <c r="I1823"/>
  <c r="I1695"/>
  <c r="I1682"/>
  <c r="I1680"/>
  <c r="I1664"/>
  <c r="I1663" s="1"/>
  <c r="I1641" s="1"/>
  <c r="I1618"/>
  <c r="I1617" s="1"/>
  <c r="I1605"/>
  <c r="I1604" s="1"/>
  <c r="I1585"/>
  <c r="I1584" s="1"/>
  <c r="I1583" s="1"/>
  <c r="I1582" s="1"/>
  <c r="H40" i="2" s="1"/>
  <c r="I1575" i="1"/>
  <c r="I1574" s="1"/>
  <c r="I1551"/>
  <c r="I1550" s="1"/>
  <c r="I1548"/>
  <c r="I1546"/>
  <c r="I1530"/>
  <c r="I1526"/>
  <c r="I1536"/>
  <c r="I1534"/>
  <c r="I1515"/>
  <c r="I1513"/>
  <c r="I1508"/>
  <c r="I1507" s="1"/>
  <c r="I1506"/>
  <c r="I1497"/>
  <c r="I1496" s="1"/>
  <c r="I1492" s="1"/>
  <c r="I1491" s="1"/>
  <c r="I1490" s="1"/>
  <c r="I1483"/>
  <c r="I1482" s="1"/>
  <c r="I1481" s="1"/>
  <c r="I1474"/>
  <c r="I1473" s="1"/>
  <c r="I1467"/>
  <c r="I1466" s="1"/>
  <c r="I1465" s="1"/>
  <c r="I1464" s="1"/>
  <c r="I1463" s="1"/>
  <c r="I1449"/>
  <c r="I1448" s="1"/>
  <c r="I1447" s="1"/>
  <c r="I1442"/>
  <c r="I1441" s="1"/>
  <c r="I1437" s="1"/>
  <c r="I1436" s="1"/>
  <c r="I1431"/>
  <c r="I1429"/>
  <c r="I1427"/>
  <c r="I1368"/>
  <c r="I1367" s="1"/>
  <c r="I1405"/>
  <c r="I1404" s="1"/>
  <c r="I1362"/>
  <c r="I1339"/>
  <c r="I1337"/>
  <c r="I1335"/>
  <c r="I1267"/>
  <c r="I1266" s="1"/>
  <c r="I1273"/>
  <c r="I1272" s="1"/>
  <c r="I1271" s="1"/>
  <c r="I1269"/>
  <c r="I1261"/>
  <c r="I1259"/>
  <c r="I1197"/>
  <c r="I1196" s="1"/>
  <c r="I1195" s="1"/>
  <c r="I1190"/>
  <c r="I1189" s="1"/>
  <c r="I1176" s="1"/>
  <c r="I1159"/>
  <c r="I1158" s="1"/>
  <c r="I1157" s="1"/>
  <c r="I1146"/>
  <c r="I1145" s="1"/>
  <c r="I1139"/>
  <c r="I1137"/>
  <c r="I1136" s="1"/>
  <c r="I1055"/>
  <c r="I1054" s="1"/>
  <c r="I1053" s="1"/>
  <c r="I1051"/>
  <c r="I1050" s="1"/>
  <c r="I1049" s="1"/>
  <c r="I789" s="1"/>
  <c r="I919"/>
  <c r="I918" s="1"/>
  <c r="I916"/>
  <c r="I915" s="1"/>
  <c r="I970"/>
  <c r="I969" s="1"/>
  <c r="I849"/>
  <c r="I848" s="1"/>
  <c r="I806"/>
  <c r="I803" s="1"/>
  <c r="I801"/>
  <c r="I800" s="1"/>
  <c r="I798"/>
  <c r="I797" s="1"/>
  <c r="I795"/>
  <c r="I794" s="1"/>
  <c r="I745"/>
  <c r="I744" s="1"/>
  <c r="I743" s="1"/>
  <c r="I729"/>
  <c r="I728" s="1"/>
  <c r="I726"/>
  <c r="I724"/>
  <c r="I723" s="1"/>
  <c r="I721"/>
  <c r="I720" s="1"/>
  <c r="I718"/>
  <c r="I717" s="1"/>
  <c r="I682"/>
  <c r="I681" s="1"/>
  <c r="I679"/>
  <c r="I678" s="1"/>
  <c r="I676"/>
  <c r="I675" s="1"/>
  <c r="I662"/>
  <c r="I643" s="1"/>
  <c r="I642" s="1"/>
  <c r="I601"/>
  <c r="I600" s="1"/>
  <c r="I598"/>
  <c r="I597" s="1"/>
  <c r="I562"/>
  <c r="I561" s="1"/>
  <c r="I560" s="1"/>
  <c r="I554"/>
  <c r="I552"/>
  <c r="I550"/>
  <c r="I484"/>
  <c r="I483" s="1"/>
  <c r="I2784"/>
  <c r="I2783" s="1"/>
  <c r="I476"/>
  <c r="I473" s="1"/>
  <c r="I472" s="1"/>
  <c r="I471" s="1"/>
  <c r="I312"/>
  <c r="I311" s="1"/>
  <c r="I308"/>
  <c r="I307" s="1"/>
  <c r="I305"/>
  <c r="I303"/>
  <c r="I302" s="1"/>
  <c r="I291"/>
  <c r="I285"/>
  <c r="I156"/>
  <c r="I131"/>
  <c r="I130" s="1"/>
  <c r="I47"/>
  <c r="I46" s="1"/>
  <c r="I42" s="1"/>
  <c r="I35"/>
  <c r="H3166"/>
  <c r="H3165"/>
  <c r="H3163"/>
  <c r="H3162" s="1"/>
  <c r="H3160"/>
  <c r="H3159" s="1"/>
  <c r="H3113"/>
  <c r="H3112" s="1"/>
  <c r="H3110"/>
  <c r="H3109" s="1"/>
  <c r="H3107"/>
  <c r="H3105"/>
  <c r="H3102"/>
  <c r="H3101" s="1"/>
  <c r="H3036"/>
  <c r="H3025"/>
  <c r="H3024" s="1"/>
  <c r="H3002"/>
  <c r="H2999"/>
  <c r="H2998" s="1"/>
  <c r="H2996"/>
  <c r="H2995" s="1"/>
  <c r="H2990"/>
  <c r="H2986"/>
  <c r="H2932"/>
  <c r="H2929" s="1"/>
  <c r="H2928" s="1"/>
  <c r="H2908"/>
  <c r="H2907" s="1"/>
  <c r="H2905"/>
  <c r="H2904" s="1"/>
  <c r="H3311"/>
  <c r="H3310" s="1"/>
  <c r="H3308"/>
  <c r="H3306"/>
  <c r="H2878"/>
  <c r="H2876"/>
  <c r="H2872"/>
  <c r="H2871" s="1"/>
  <c r="H2870" s="1"/>
  <c r="H2868"/>
  <c r="H2867" s="1"/>
  <c r="H2850"/>
  <c r="H2849" s="1"/>
  <c r="H2848" s="1"/>
  <c r="H2847" s="1"/>
  <c r="H2846" s="1"/>
  <c r="H2845" s="1"/>
  <c r="H2803"/>
  <c r="H2802" s="1"/>
  <c r="H2794"/>
  <c r="H2793" s="1"/>
  <c r="H2788"/>
  <c r="H2787" s="1"/>
  <c r="H2772"/>
  <c r="H2771"/>
  <c r="H2770" s="1"/>
  <c r="H2765"/>
  <c r="H2764" s="1"/>
  <c r="H2762"/>
  <c r="H2761" s="1"/>
  <c r="H2758"/>
  <c r="H2757" s="1"/>
  <c r="H2756" s="1"/>
  <c r="H2728"/>
  <c r="H2727" s="1"/>
  <c r="H2726" s="1"/>
  <c r="H2071"/>
  <c r="H2070" s="1"/>
  <c r="H2069" s="1"/>
  <c r="H2068" s="1"/>
  <c r="H2065"/>
  <c r="H2064" s="1"/>
  <c r="H2051"/>
  <c r="H2048"/>
  <c r="H2047" s="1"/>
  <c r="H1900"/>
  <c r="H1899" s="1"/>
  <c r="H1898" s="1"/>
  <c r="H1890"/>
  <c r="H1823"/>
  <c r="H1695"/>
  <c r="H1682"/>
  <c r="H1680"/>
  <c r="H1664"/>
  <c r="H1663" s="1"/>
  <c r="H1641" s="1"/>
  <c r="H1618"/>
  <c r="H1617" s="1"/>
  <c r="H1605"/>
  <c r="H1604" s="1"/>
  <c r="H1585"/>
  <c r="H1584" s="1"/>
  <c r="H1583" s="1"/>
  <c r="H1582" s="1"/>
  <c r="G40" i="2" s="1"/>
  <c r="H1575" i="1"/>
  <c r="H1574" s="1"/>
  <c r="H1551"/>
  <c r="H1550" s="1"/>
  <c r="H1548"/>
  <c r="H1546"/>
  <c r="H1530"/>
  <c r="H1526"/>
  <c r="H1536"/>
  <c r="H1534"/>
  <c r="H1515"/>
  <c r="H1513"/>
  <c r="H1508"/>
  <c r="H1507" s="1"/>
  <c r="H1506"/>
  <c r="H1497"/>
  <c r="H1496" s="1"/>
  <c r="H1492" s="1"/>
  <c r="H1491" s="1"/>
  <c r="H1490" s="1"/>
  <c r="H1483"/>
  <c r="H1482" s="1"/>
  <c r="H1481" s="1"/>
  <c r="H1474"/>
  <c r="H1473" s="1"/>
  <c r="H1467"/>
  <c r="H1466" s="1"/>
  <c r="H1465" s="1"/>
  <c r="H1464" s="1"/>
  <c r="H1463" s="1"/>
  <c r="H1449"/>
  <c r="H1448" s="1"/>
  <c r="H1447" s="1"/>
  <c r="H1442"/>
  <c r="H1441" s="1"/>
  <c r="H1437" s="1"/>
  <c r="H1436" s="1"/>
  <c r="H1431"/>
  <c r="H1429"/>
  <c r="H1427"/>
  <c r="H1368"/>
  <c r="H1367" s="1"/>
  <c r="H1405"/>
  <c r="H1404" s="1"/>
  <c r="H1362"/>
  <c r="H1339"/>
  <c r="H1337"/>
  <c r="H1335"/>
  <c r="H1267"/>
  <c r="H1266" s="1"/>
  <c r="H1273"/>
  <c r="H1272" s="1"/>
  <c r="H1271" s="1"/>
  <c r="H1269"/>
  <c r="H1261"/>
  <c r="H1259"/>
  <c r="H1197"/>
  <c r="H1196" s="1"/>
  <c r="H1195" s="1"/>
  <c r="H1190"/>
  <c r="H1189" s="1"/>
  <c r="H1176" s="1"/>
  <c r="H1159"/>
  <c r="H1158" s="1"/>
  <c r="H1157" s="1"/>
  <c r="H1146"/>
  <c r="H1145" s="1"/>
  <c r="H1139"/>
  <c r="H1137"/>
  <c r="H1136" s="1"/>
  <c r="H1055"/>
  <c r="H1054" s="1"/>
  <c r="H1053" s="1"/>
  <c r="H1051"/>
  <c r="H1050" s="1"/>
  <c r="H1049" s="1"/>
  <c r="H789" s="1"/>
  <c r="H919"/>
  <c r="H918" s="1"/>
  <c r="H916"/>
  <c r="H915" s="1"/>
  <c r="H970"/>
  <c r="H969" s="1"/>
  <c r="H849"/>
  <c r="H848" s="1"/>
  <c r="H806"/>
  <c r="H803" s="1"/>
  <c r="H801"/>
  <c r="H800" s="1"/>
  <c r="H797"/>
  <c r="H795"/>
  <c r="H794" s="1"/>
  <c r="H745"/>
  <c r="H744" s="1"/>
  <c r="H743" s="1"/>
  <c r="H729"/>
  <c r="H728" s="1"/>
  <c r="H726"/>
  <c r="H724"/>
  <c r="H723" s="1"/>
  <c r="H721"/>
  <c r="H720" s="1"/>
  <c r="H718"/>
  <c r="H717" s="1"/>
  <c r="H682"/>
  <c r="H681" s="1"/>
  <c r="H679"/>
  <c r="H678" s="1"/>
  <c r="H676"/>
  <c r="H675" s="1"/>
  <c r="H662"/>
  <c r="H643" s="1"/>
  <c r="H642" s="1"/>
  <c r="H601"/>
  <c r="H600" s="1"/>
  <c r="H598"/>
  <c r="H597" s="1"/>
  <c r="H562"/>
  <c r="H554"/>
  <c r="H552"/>
  <c r="H550"/>
  <c r="H484"/>
  <c r="H483" s="1"/>
  <c r="H2784"/>
  <c r="H2783" s="1"/>
  <c r="H476"/>
  <c r="H473" s="1"/>
  <c r="H472" s="1"/>
  <c r="H471" s="1"/>
  <c r="H312"/>
  <c r="H311" s="1"/>
  <c r="H308"/>
  <c r="H307" s="1"/>
  <c r="H305"/>
  <c r="H303"/>
  <c r="H302" s="1"/>
  <c r="H291"/>
  <c r="H285"/>
  <c r="H154"/>
  <c r="H145" s="1"/>
  <c r="H131"/>
  <c r="H130" s="1"/>
  <c r="H47"/>
  <c r="H46" s="1"/>
  <c r="H42" s="1"/>
  <c r="H35"/>
  <c r="G823" i="3"/>
  <c r="G3102" i="1"/>
  <c r="G3101" s="1"/>
  <c r="G2144" i="3"/>
  <c r="G3306" i="1"/>
  <c r="G819" i="3"/>
  <c r="G717" s="1"/>
  <c r="G726" i="1"/>
  <c r="G1025" i="3"/>
  <c r="G35" i="1"/>
  <c r="G3113"/>
  <c r="G3112" s="1"/>
  <c r="H1472" l="1"/>
  <c r="H2198" i="3" s="1"/>
  <c r="H2197" s="1"/>
  <c r="H2191" s="1"/>
  <c r="I1472" i="1"/>
  <c r="I1471" s="1"/>
  <c r="I2244" i="3" s="1"/>
  <c r="I3001" i="1"/>
  <c r="I2176" i="3"/>
  <c r="I2175" s="1"/>
  <c r="H3001" i="1"/>
  <c r="H2994" s="1"/>
  <c r="H2993" s="1"/>
  <c r="G54" i="2" s="1"/>
  <c r="H2176" i="3"/>
  <c r="H2175" s="1"/>
  <c r="G2359" i="1"/>
  <c r="G2358" s="1"/>
  <c r="H198"/>
  <c r="H180" s="1"/>
  <c r="I198"/>
  <c r="I180" s="1"/>
  <c r="U206" i="3"/>
  <c r="T1641"/>
  <c r="U1641" s="1"/>
  <c r="G628" i="1"/>
  <c r="G627" s="1"/>
  <c r="H2786"/>
  <c r="I2786"/>
  <c r="I1896" i="3"/>
  <c r="H1896"/>
  <c r="H1817" i="1"/>
  <c r="H1816" s="1"/>
  <c r="G46" i="2" s="1"/>
  <c r="I1817" i="1"/>
  <c r="I1816" s="1"/>
  <c r="H46" i="2" s="1"/>
  <c r="H1135" i="1"/>
  <c r="H1134" s="1"/>
  <c r="H1126" s="1"/>
  <c r="I1135"/>
  <c r="I1134" s="1"/>
  <c r="I1126" s="1"/>
  <c r="I1153" i="3"/>
  <c r="I1152" s="1"/>
  <c r="H1153"/>
  <c r="H1152" s="1"/>
  <c r="H674" i="1"/>
  <c r="H673" s="1"/>
  <c r="H672" s="1"/>
  <c r="I674"/>
  <c r="I673" s="1"/>
  <c r="I672" s="1"/>
  <c r="H2866"/>
  <c r="H3284"/>
  <c r="H3281" s="1"/>
  <c r="H3277" s="1"/>
  <c r="I2866"/>
  <c r="I3284"/>
  <c r="I3281" s="1"/>
  <c r="I3277" s="1"/>
  <c r="I3305"/>
  <c r="I3303" s="1"/>
  <c r="I3301" s="1"/>
  <c r="I3316" s="1"/>
  <c r="H2760"/>
  <c r="H2731" s="1"/>
  <c r="G71" i="2" s="1"/>
  <c r="I2760" i="1"/>
  <c r="I2731" s="1"/>
  <c r="H71" i="2" s="1"/>
  <c r="H1512" i="1"/>
  <c r="I1512"/>
  <c r="G1533" i="3"/>
  <c r="G1526" s="1"/>
  <c r="I264"/>
  <c r="I265"/>
  <c r="H264"/>
  <c r="H265"/>
  <c r="H1334" i="1"/>
  <c r="I1334"/>
  <c r="I1603"/>
  <c r="I788"/>
  <c r="H788"/>
  <c r="H1603"/>
  <c r="H936" i="3"/>
  <c r="I936"/>
  <c r="H1573" i="1"/>
  <c r="H1572" s="1"/>
  <c r="G37" i="2" s="1"/>
  <c r="I1573" i="1"/>
  <c r="I1572" s="1"/>
  <c r="H37" i="2" s="1"/>
  <c r="H561" i="1"/>
  <c r="H560" s="1"/>
  <c r="H559" s="1"/>
  <c r="H34" i="2"/>
  <c r="G34"/>
  <c r="I3023" i="1"/>
  <c r="I3022" s="1"/>
  <c r="H55" i="2" s="1"/>
  <c r="I1911" i="1"/>
  <c r="I1909" s="1"/>
  <c r="I1908" s="1"/>
  <c r="H1911"/>
  <c r="H1909" s="1"/>
  <c r="H1908" s="1"/>
  <c r="H3152"/>
  <c r="I3152"/>
  <c r="I1366"/>
  <c r="I1365" s="1"/>
  <c r="I1364" s="1"/>
  <c r="H1889"/>
  <c r="I1889"/>
  <c r="I1888" s="1"/>
  <c r="I1887" s="1"/>
  <c r="H47" i="2" s="1"/>
  <c r="I596" i="1"/>
  <c r="M1687" i="3"/>
  <c r="H596" i="1"/>
  <c r="I2900"/>
  <c r="I2899" s="1"/>
  <c r="I2898" s="1"/>
  <c r="H51" i="2" s="1"/>
  <c r="H1366" i="1"/>
  <c r="H1365" s="1"/>
  <c r="H1364" s="1"/>
  <c r="H2900"/>
  <c r="H2899" s="1"/>
  <c r="H2898" s="1"/>
  <c r="G51" i="2" s="1"/>
  <c r="I345" i="3"/>
  <c r="H345"/>
  <c r="I155" i="1"/>
  <c r="I154" s="1"/>
  <c r="I145" s="1"/>
  <c r="I32"/>
  <c r="I31" s="1"/>
  <c r="I30" s="1"/>
  <c r="H32"/>
  <c r="H31" s="1"/>
  <c r="H30" s="1"/>
  <c r="G32"/>
  <c r="G31" s="1"/>
  <c r="H1021" i="3"/>
  <c r="H1020" s="1"/>
  <c r="I1021"/>
  <c r="I1020" s="1"/>
  <c r="H160"/>
  <c r="H148" s="1"/>
  <c r="I160"/>
  <c r="I148" s="1"/>
  <c r="I2126"/>
  <c r="H2126"/>
  <c r="H1525"/>
  <c r="I1525"/>
  <c r="I1511"/>
  <c r="I1510" s="1"/>
  <c r="H1511"/>
  <c r="H1510" s="1"/>
  <c r="I2994" i="1"/>
  <c r="I2993" s="1"/>
  <c r="H54" i="2" s="1"/>
  <c r="I2985" i="1"/>
  <c r="I2984" s="1"/>
  <c r="I2983" s="1"/>
  <c r="I2684" s="1"/>
  <c r="H2985"/>
  <c r="H2984" s="1"/>
  <c r="I2875"/>
  <c r="I2874" s="1"/>
  <c r="H3305"/>
  <c r="H3303" s="1"/>
  <c r="H3301" s="1"/>
  <c r="H3316" s="1"/>
  <c r="H2875"/>
  <c r="H2874" s="1"/>
  <c r="H2050"/>
  <c r="H2046" s="1"/>
  <c r="I2050"/>
  <c r="I2046" s="1"/>
  <c r="H2140" i="3"/>
  <c r="H2139" s="1"/>
  <c r="H1678" i="1"/>
  <c r="I2140" i="3"/>
  <c r="I2139" s="1"/>
  <c r="I1678" i="1"/>
  <c r="H1426"/>
  <c r="H1425" s="1"/>
  <c r="H1424" s="1"/>
  <c r="H1418" s="1"/>
  <c r="I1426"/>
  <c r="I1425" s="1"/>
  <c r="I1424" s="1"/>
  <c r="I1418" s="1"/>
  <c r="G490"/>
  <c r="G488" s="1"/>
  <c r="G487" s="1"/>
  <c r="H661"/>
  <c r="H660" s="1"/>
  <c r="H659" s="1"/>
  <c r="H658" s="1"/>
  <c r="I1504" i="3"/>
  <c r="I661" i="1"/>
  <c r="I660" s="1"/>
  <c r="I659" s="1"/>
  <c r="I658" s="1"/>
  <c r="H1504" i="3"/>
  <c r="I260"/>
  <c r="H260"/>
  <c r="I2116"/>
  <c r="I2115" s="1"/>
  <c r="H2116"/>
  <c r="H2115" s="1"/>
  <c r="I2215"/>
  <c r="I2210" s="1"/>
  <c r="I2203" s="1"/>
  <c r="H2215"/>
  <c r="H2210" s="1"/>
  <c r="H2203" s="1"/>
  <c r="I1684" i="1"/>
  <c r="I488"/>
  <c r="I487" s="1"/>
  <c r="H74" i="2" s="1"/>
  <c r="H1307" i="3"/>
  <c r="I1307"/>
  <c r="I34"/>
  <c r="H34"/>
  <c r="H2782" i="1"/>
  <c r="I2782"/>
  <c r="H634" i="3"/>
  <c r="I634"/>
  <c r="I131"/>
  <c r="I47" s="1"/>
  <c r="H1781" i="1"/>
  <c r="H1780" s="1"/>
  <c r="H1684"/>
  <c r="I1781"/>
  <c r="I1780" s="1"/>
  <c r="H131" i="3"/>
  <c r="H47" s="1"/>
  <c r="H1462" i="1"/>
  <c r="G77" i="2"/>
  <c r="G76" s="1"/>
  <c r="I1462" i="1"/>
  <c r="H77" i="2"/>
  <c r="H76" s="1"/>
  <c r="I2297" i="3"/>
  <c r="I2296" s="1"/>
  <c r="H1555"/>
  <c r="H1548" s="1"/>
  <c r="I1555"/>
  <c r="I1548" s="1"/>
  <c r="H1480" i="1"/>
  <c r="I1480"/>
  <c r="I2077" i="3"/>
  <c r="I2076" s="1"/>
  <c r="R2067" s="1"/>
  <c r="H1361" i="1"/>
  <c r="H1360" s="1"/>
  <c r="H1359" s="1"/>
  <c r="G70" i="2" s="1"/>
  <c r="I1361" i="1"/>
  <c r="I1360" s="1"/>
  <c r="I1359" s="1"/>
  <c r="H70" i="2" s="1"/>
  <c r="I2114" i="3"/>
  <c r="I2113" s="1"/>
  <c r="I2112" s="1"/>
  <c r="I2111" s="1"/>
  <c r="H310" i="1"/>
  <c r="H2114" i="3"/>
  <c r="H2113" s="1"/>
  <c r="H2112" s="1"/>
  <c r="H2111" s="1"/>
  <c r="I2143"/>
  <c r="I2063" i="1"/>
  <c r="I2067"/>
  <c r="H2324" i="3"/>
  <c r="H2327" s="1"/>
  <c r="I2324"/>
  <c r="I2327" s="1"/>
  <c r="I1258" i="1"/>
  <c r="I1257" s="1"/>
  <c r="H1533"/>
  <c r="H1532" s="1"/>
  <c r="J1536" s="1"/>
  <c r="I549"/>
  <c r="I548" s="1"/>
  <c r="I547" s="1"/>
  <c r="H1498" i="3"/>
  <c r="H1497" s="1"/>
  <c r="I1498"/>
  <c r="I1497" s="1"/>
  <c r="H2143"/>
  <c r="H1051"/>
  <c r="H549" i="1"/>
  <c r="H548" s="1"/>
  <c r="H547" s="1"/>
  <c r="H2063"/>
  <c r="H3104"/>
  <c r="H3100" s="1"/>
  <c r="H3099" s="1"/>
  <c r="G56" i="2" s="1"/>
  <c r="H2089" i="3"/>
  <c r="I1051"/>
  <c r="I2089"/>
  <c r="H2077"/>
  <c r="H2076" s="1"/>
  <c r="Q2067" s="1"/>
  <c r="H2295"/>
  <c r="H1545" i="1"/>
  <c r="I1545"/>
  <c r="H1525"/>
  <c r="H1524" s="1"/>
  <c r="I310"/>
  <c r="H1446"/>
  <c r="H1445" s="1"/>
  <c r="G43" i="2" s="1"/>
  <c r="H1258" i="1"/>
  <c r="H1257" s="1"/>
  <c r="H2067"/>
  <c r="I1533"/>
  <c r="I1532" s="1"/>
  <c r="K1536" s="1"/>
  <c r="H3035"/>
  <c r="H3023" s="1"/>
  <c r="I559"/>
  <c r="I1525"/>
  <c r="I1524" s="1"/>
  <c r="I3104"/>
  <c r="I3100" s="1"/>
  <c r="I3099" s="1"/>
  <c r="H56" i="2" s="1"/>
  <c r="I128" i="1"/>
  <c r="I41" s="1"/>
  <c r="I129"/>
  <c r="I1446"/>
  <c r="I1445" s="1"/>
  <c r="H43" i="2" s="1"/>
  <c r="H128" i="1"/>
  <c r="H41" s="1"/>
  <c r="H129"/>
  <c r="G1691" i="3"/>
  <c r="G1690" s="1"/>
  <c r="G2080"/>
  <c r="G2078"/>
  <c r="G1530" i="1"/>
  <c r="G1526"/>
  <c r="G1159"/>
  <c r="G43" i="3"/>
  <c r="G42" s="1"/>
  <c r="G41" s="1"/>
  <c r="G662" i="1"/>
  <c r="G643" s="1"/>
  <c r="G642" s="1"/>
  <c r="G818" i="3"/>
  <c r="G817" s="1"/>
  <c r="G970" i="1"/>
  <c r="G969" s="1"/>
  <c r="G938" i="3"/>
  <c r="G36"/>
  <c r="G35" s="1"/>
  <c r="G2784" i="1"/>
  <c r="G2783" s="1"/>
  <c r="G312"/>
  <c r="G310" s="1"/>
  <c r="G1125" i="3"/>
  <c r="G1124" s="1"/>
  <c r="G303" i="1"/>
  <c r="G302" s="1"/>
  <c r="G1682"/>
  <c r="H1471" l="1"/>
  <c r="H2244" i="3" s="1"/>
  <c r="I2198"/>
  <c r="I2197" s="1"/>
  <c r="I2191" s="1"/>
  <c r="G2357" i="1"/>
  <c r="H1479"/>
  <c r="H2263" i="3" s="1"/>
  <c r="H2262" s="1"/>
  <c r="H2171" i="1"/>
  <c r="H2170" s="1"/>
  <c r="H2164" s="1"/>
  <c r="I1479"/>
  <c r="I2263" i="3" s="1"/>
  <c r="I2262" s="1"/>
  <c r="I2171" i="1"/>
  <c r="I2170" s="1"/>
  <c r="I2164" s="1"/>
  <c r="H2780"/>
  <c r="G72" i="2" s="1"/>
  <c r="I2865" i="1"/>
  <c r="I2864" s="1"/>
  <c r="H35" i="2" s="1"/>
  <c r="H1114" i="3"/>
  <c r="I1114"/>
  <c r="G34"/>
  <c r="G30" i="1"/>
  <c r="T1020" i="3"/>
  <c r="H2265"/>
  <c r="H2264" s="1"/>
  <c r="H2259" s="1"/>
  <c r="I2780" i="1"/>
  <c r="H72" i="2" s="1"/>
  <c r="J1526" i="1"/>
  <c r="K1526"/>
  <c r="K1546"/>
  <c r="K1527"/>
  <c r="J1527"/>
  <c r="J1546"/>
  <c r="H1509" i="3"/>
  <c r="I1509"/>
  <c r="H2865" i="1"/>
  <c r="H2864" s="1"/>
  <c r="G35" i="2" s="1"/>
  <c r="H2057" i="3"/>
  <c r="H2049" s="1"/>
  <c r="I1511" i="1"/>
  <c r="I1510" s="1"/>
  <c r="I1505" s="1"/>
  <c r="I2057" i="3"/>
  <c r="I2049" s="1"/>
  <c r="H1511" i="1"/>
  <c r="H1510" s="1"/>
  <c r="H1505" s="1"/>
  <c r="I1333"/>
  <c r="I1315" s="1"/>
  <c r="H1333"/>
  <c r="H1315" s="1"/>
  <c r="H337" i="3"/>
  <c r="I337"/>
  <c r="I2124"/>
  <c r="H2124"/>
  <c r="H2016" i="1"/>
  <c r="I2016"/>
  <c r="H546"/>
  <c r="H2983"/>
  <c r="H1888"/>
  <c r="H1887" s="1"/>
  <c r="G47" i="2" s="1"/>
  <c r="G50"/>
  <c r="H50"/>
  <c r="J1561" i="3"/>
  <c r="I1052"/>
  <c r="I1417" i="1"/>
  <c r="I1416" s="1"/>
  <c r="H1417"/>
  <c r="H1416" s="1"/>
  <c r="I1423"/>
  <c r="H38" i="2" s="1"/>
  <c r="H1423" i="1"/>
  <c r="G38" i="2" s="1"/>
  <c r="I633" i="3"/>
  <c r="H633"/>
  <c r="I3151" i="1"/>
  <c r="H3022"/>
  <c r="G55" i="2" s="1"/>
  <c r="I2138" i="3"/>
  <c r="I2137" s="1"/>
  <c r="H2138"/>
  <c r="H2137" s="1"/>
  <c r="H62" i="2"/>
  <c r="G62"/>
  <c r="H1677" i="1"/>
  <c r="H1676" s="1"/>
  <c r="H1587" s="1"/>
  <c r="I1677"/>
  <c r="I1676" s="1"/>
  <c r="I1587" s="1"/>
  <c r="G661"/>
  <c r="G660" s="1"/>
  <c r="G659" s="1"/>
  <c r="G658" s="1"/>
  <c r="G63" i="2"/>
  <c r="H2151" i="3"/>
  <c r="H2150" s="1"/>
  <c r="I2151"/>
  <c r="I2150" s="1"/>
  <c r="G45" i="2"/>
  <c r="I546" i="1"/>
  <c r="I1256"/>
  <c r="I1255" s="1"/>
  <c r="H2156" i="3"/>
  <c r="I2156"/>
  <c r="G68" i="2"/>
  <c r="G61"/>
  <c r="H68"/>
  <c r="H595" i="1"/>
  <c r="H589" s="1"/>
  <c r="I1779"/>
  <c r="H1607" i="3"/>
  <c r="H2106"/>
  <c r="I1358" i="1"/>
  <c r="I1444"/>
  <c r="H42" i="2"/>
  <c r="H1358" i="1"/>
  <c r="H1444"/>
  <c r="G42" i="2"/>
  <c r="H29" i="1"/>
  <c r="I29"/>
  <c r="H3151"/>
  <c r="H45" i="2"/>
  <c r="H44" s="1"/>
  <c r="H1256" i="1"/>
  <c r="H1255" s="1"/>
  <c r="H61" i="2"/>
  <c r="I2106" i="3"/>
  <c r="I595" i="1"/>
  <c r="H338" i="3"/>
  <c r="I1470" i="1"/>
  <c r="H79" i="2" s="1"/>
  <c r="G484" i="1"/>
  <c r="G483" s="1"/>
  <c r="G2782" s="1"/>
  <c r="G945" i="3"/>
  <c r="G2077"/>
  <c r="G1267" i="1"/>
  <c r="G1266" s="1"/>
  <c r="G1525"/>
  <c r="G311"/>
  <c r="G1517" i="3"/>
  <c r="G1516" s="1"/>
  <c r="G1431" i="1"/>
  <c r="G2048"/>
  <c r="G2047" s="1"/>
  <c r="G1158"/>
  <c r="G1127" s="1"/>
  <c r="H1469" l="1"/>
  <c r="H1470"/>
  <c r="G79" i="2" s="1"/>
  <c r="G80"/>
  <c r="H32" i="3"/>
  <c r="I1469" i="1"/>
  <c r="I2265" i="3"/>
  <c r="I2264" s="1"/>
  <c r="I2259" s="1"/>
  <c r="H80" i="2"/>
  <c r="H78" s="1"/>
  <c r="I2147" i="3"/>
  <c r="I2146" s="1"/>
  <c r="H2147"/>
  <c r="H2146" s="1"/>
  <c r="I2863" i="1"/>
  <c r="I2889" s="1"/>
  <c r="H2897"/>
  <c r="H2684"/>
  <c r="G1157"/>
  <c r="G1524"/>
  <c r="G1926"/>
  <c r="G1925" s="1"/>
  <c r="G1924" s="1"/>
  <c r="G2076" i="3"/>
  <c r="H36" i="2"/>
  <c r="G36"/>
  <c r="H2863" i="1"/>
  <c r="H2889" s="1"/>
  <c r="H2725"/>
  <c r="H2717" s="1"/>
  <c r="H1313"/>
  <c r="G65" i="2" s="1"/>
  <c r="I1313" i="1"/>
  <c r="I1607" i="3"/>
  <c r="I32" s="1"/>
  <c r="I2725" i="1"/>
  <c r="I2717" s="1"/>
  <c r="H649"/>
  <c r="H3150"/>
  <c r="G59" i="2"/>
  <c r="G58" s="1"/>
  <c r="I3150" i="1"/>
  <c r="H59" i="2"/>
  <c r="H58" s="1"/>
  <c r="I1489" i="1"/>
  <c r="H1489"/>
  <c r="H1902"/>
  <c r="I1902"/>
  <c r="G44" i="2"/>
  <c r="J1523" i="3"/>
  <c r="H1415" i="1"/>
  <c r="I1415"/>
  <c r="H67" i="2"/>
  <c r="H66" s="1"/>
  <c r="G67"/>
  <c r="G66" s="1"/>
  <c r="G52"/>
  <c r="H1779" i="1"/>
  <c r="H52" i="2"/>
  <c r="H53"/>
  <c r="I2992" i="1"/>
  <c r="G53" i="2"/>
  <c r="H2992" i="1"/>
  <c r="H486"/>
  <c r="G73" i="2"/>
  <c r="I486" i="1"/>
  <c r="H73" i="2"/>
  <c r="G69"/>
  <c r="I338" i="3"/>
  <c r="H69" i="2"/>
  <c r="H63"/>
  <c r="I589" i="1"/>
  <c r="I649" s="1"/>
  <c r="G760" i="3"/>
  <c r="G759" s="1"/>
  <c r="G78" i="2" l="1"/>
  <c r="H1487" i="1"/>
  <c r="I1487"/>
  <c r="I2852"/>
  <c r="H2852"/>
  <c r="H65" i="2"/>
  <c r="I671" i="1"/>
  <c r="I1413" s="1"/>
  <c r="H671"/>
  <c r="H1413" s="1"/>
  <c r="G48" i="2"/>
  <c r="H48"/>
  <c r="G41"/>
  <c r="H41"/>
  <c r="I179" i="1"/>
  <c r="H179"/>
  <c r="H3200"/>
  <c r="I163" l="1"/>
  <c r="H163"/>
  <c r="G33" i="2"/>
  <c r="H33"/>
  <c r="I520" i="1"/>
  <c r="I2897"/>
  <c r="I3200" s="1"/>
  <c r="G340" i="3"/>
  <c r="G339" s="1"/>
  <c r="G131" i="1"/>
  <c r="G130" s="1"/>
  <c r="J454" s="1"/>
  <c r="G266" i="3"/>
  <c r="G1315"/>
  <c r="G1314" s="1"/>
  <c r="G291" i="1"/>
  <c r="G198" s="1"/>
  <c r="G1686" i="3"/>
  <c r="G3107" i="1"/>
  <c r="G3035"/>
  <c r="G3036"/>
  <c r="G180" l="1"/>
  <c r="F67" i="2" s="1"/>
  <c r="H40" i="1"/>
  <c r="G64" i="2"/>
  <c r="G60" s="1"/>
  <c r="G82" s="1"/>
  <c r="I40" i="1"/>
  <c r="I541" s="1"/>
  <c r="I3379" s="1"/>
  <c r="H64" i="2"/>
  <c r="H60" s="1"/>
  <c r="H82" s="1"/>
  <c r="H109" s="1"/>
  <c r="H520" i="1"/>
  <c r="G264" i="3"/>
  <c r="G265"/>
  <c r="G129" i="1"/>
  <c r="G128"/>
  <c r="H86" i="2" l="1"/>
  <c r="I3381" i="1"/>
  <c r="H107" i="2" s="1"/>
  <c r="I3388" i="1"/>
  <c r="I3389" s="1"/>
  <c r="I3383"/>
  <c r="H84" i="2"/>
  <c r="G84"/>
  <c r="H541" i="1"/>
  <c r="H3379" s="1"/>
  <c r="G86" i="2" s="1"/>
  <c r="G1502" i="3"/>
  <c r="G1055" i="1"/>
  <c r="G1054" s="1"/>
  <c r="G1053" s="1"/>
  <c r="G109" i="2" l="1"/>
  <c r="H3381" i="1"/>
  <c r="G107" i="2" s="1"/>
  <c r="H3388" i="1"/>
  <c r="H3389" s="1"/>
  <c r="H3383"/>
  <c r="G2075" i="3"/>
  <c r="G2074" s="1"/>
  <c r="G2073"/>
  <c r="G2072" s="1"/>
  <c r="G2093"/>
  <c r="G2092" s="1"/>
  <c r="G2091"/>
  <c r="G2090" s="1"/>
  <c r="G1546" i="1"/>
  <c r="G1545" s="1"/>
  <c r="G637" i="3"/>
  <c r="G636" s="1"/>
  <c r="G849" i="1"/>
  <c r="G137" i="3"/>
  <c r="G136" s="1"/>
  <c r="G133"/>
  <c r="G132" s="1"/>
  <c r="G1618" i="1"/>
  <c r="G1617" s="1"/>
  <c r="G1536"/>
  <c r="G1534"/>
  <c r="G308"/>
  <c r="G307" s="1"/>
  <c r="G306" s="1"/>
  <c r="G2145" i="3"/>
  <c r="G2143" s="1"/>
  <c r="G2071" l="1"/>
  <c r="P2084" s="1"/>
  <c r="R2084" s="1"/>
  <c r="G131"/>
  <c r="G848" i="1"/>
  <c r="G2089" i="3"/>
  <c r="G1533" i="1"/>
  <c r="G1532" s="1"/>
  <c r="G1441"/>
  <c r="G718"/>
  <c r="G717" s="1"/>
  <c r="G729"/>
  <c r="G728" s="1"/>
  <c r="G1190"/>
  <c r="G1189" s="1"/>
  <c r="G1176" s="1"/>
  <c r="G50" i="3"/>
  <c r="G1437" i="1" l="1"/>
  <c r="G1436" s="1"/>
  <c r="G49" i="3"/>
  <c r="G48" s="1"/>
  <c r="G47" s="1"/>
  <c r="G2067"/>
  <c r="P2067" s="1"/>
  <c r="G1605" i="1"/>
  <c r="G1604" l="1"/>
  <c r="G1603" s="1"/>
  <c r="G1724" i="3"/>
  <c r="G1723" s="1"/>
  <c r="G2071" i="1"/>
  <c r="G2070" s="1"/>
  <c r="G2069" s="1"/>
  <c r="G2068" s="1"/>
  <c r="G1056" i="3"/>
  <c r="G1059"/>
  <c r="G3163" i="1"/>
  <c r="G3162" s="1"/>
  <c r="G3160"/>
  <c r="G3159" s="1"/>
  <c r="T47" i="3" l="1"/>
  <c r="G1058"/>
  <c r="J1386"/>
  <c r="G1054"/>
  <c r="J1383"/>
  <c r="G47" i="1"/>
  <c r="G46" s="1"/>
  <c r="G42" s="1"/>
  <c r="G1444" i="3"/>
  <c r="G1443" s="1"/>
  <c r="G987"/>
  <c r="G1513"/>
  <c r="G1512" s="1"/>
  <c r="G354"/>
  <c r="G353" s="1"/>
  <c r="G380"/>
  <c r="G379" s="1"/>
  <c r="G376" s="1"/>
  <c r="G375" s="1"/>
  <c r="G351"/>
  <c r="G2056"/>
  <c r="G2055" s="1"/>
  <c r="G2054" s="1"/>
  <c r="G2050" s="1"/>
  <c r="G2060"/>
  <c r="G2059" s="1"/>
  <c r="G2058" s="1"/>
  <c r="G2062"/>
  <c r="G2061" s="1"/>
  <c r="G2066"/>
  <c r="G2065" s="1"/>
  <c r="G2096"/>
  <c r="G2095" s="1"/>
  <c r="G2094" s="1"/>
  <c r="G2110"/>
  <c r="G2109" s="1"/>
  <c r="G2108" s="1"/>
  <c r="G2107" s="1"/>
  <c r="G2114"/>
  <c r="G2113" s="1"/>
  <c r="G2112" s="1"/>
  <c r="G2111" s="1"/>
  <c r="G2118"/>
  <c r="G2117" s="1"/>
  <c r="G2120"/>
  <c r="G2119" s="1"/>
  <c r="G2133"/>
  <c r="G2132" s="1"/>
  <c r="G2131" s="1"/>
  <c r="G2124" s="1"/>
  <c r="G2140"/>
  <c r="G2139" s="1"/>
  <c r="G2142"/>
  <c r="G2141" s="1"/>
  <c r="G2166"/>
  <c r="G2147" s="1"/>
  <c r="G2298"/>
  <c r="G2295" s="1"/>
  <c r="G356"/>
  <c r="G330"/>
  <c r="G162"/>
  <c r="G161" s="1"/>
  <c r="G164"/>
  <c r="G163" s="1"/>
  <c r="G166"/>
  <c r="G165" s="1"/>
  <c r="G172"/>
  <c r="G171" s="1"/>
  <c r="G170" s="1"/>
  <c r="G178"/>
  <c r="G177" s="1"/>
  <c r="G181"/>
  <c r="G180" s="1"/>
  <c r="G179" s="1"/>
  <c r="G263"/>
  <c r="G262" s="1"/>
  <c r="G261" s="1"/>
  <c r="G269"/>
  <c r="G548"/>
  <c r="G576"/>
  <c r="G582"/>
  <c r="G631"/>
  <c r="G630" s="1"/>
  <c r="G770"/>
  <c r="G769" s="1"/>
  <c r="G1197" i="1"/>
  <c r="G1196" s="1"/>
  <c r="G1195" s="1"/>
  <c r="G989" i="3"/>
  <c r="G988" s="1"/>
  <c r="G912"/>
  <c r="G911" s="1"/>
  <c r="G937"/>
  <c r="G944"/>
  <c r="G943" s="1"/>
  <c r="G939"/>
  <c r="G1024"/>
  <c r="G1154"/>
  <c r="G1158"/>
  <c r="G1157" s="1"/>
  <c r="G1156" s="1"/>
  <c r="G1244"/>
  <c r="G1256"/>
  <c r="G1255" s="1"/>
  <c r="G1254" s="1"/>
  <c r="G1309"/>
  <c r="G1308" s="1"/>
  <c r="G1313"/>
  <c r="G1312" s="1"/>
  <c r="G476" i="1"/>
  <c r="G1438" i="3"/>
  <c r="G1437" s="1"/>
  <c r="G1471"/>
  <c r="G1470" s="1"/>
  <c r="G1474"/>
  <c r="G1473" s="1"/>
  <c r="G1472" s="1"/>
  <c r="G1490"/>
  <c r="G1500"/>
  <c r="G1499" s="1"/>
  <c r="G1501"/>
  <c r="G1515"/>
  <c r="G1514" s="1"/>
  <c r="G2850" i="1"/>
  <c r="G2849" s="1"/>
  <c r="G2848" s="1"/>
  <c r="G1544" i="3"/>
  <c r="G1547"/>
  <c r="G1546" s="1"/>
  <c r="G1545" s="1"/>
  <c r="G1558"/>
  <c r="G1663"/>
  <c r="G1662" s="1"/>
  <c r="G1683"/>
  <c r="G1685"/>
  <c r="G1709"/>
  <c r="G1708" s="1"/>
  <c r="G1715"/>
  <c r="G1714" s="1"/>
  <c r="G1721"/>
  <c r="G1720" s="1"/>
  <c r="G1644"/>
  <c r="G1643" s="1"/>
  <c r="G1646"/>
  <c r="G1645" s="1"/>
  <c r="G1648"/>
  <c r="G1647" s="1"/>
  <c r="G1688"/>
  <c r="G1657"/>
  <c r="G1654" s="1"/>
  <c r="G1898"/>
  <c r="G1897" s="1"/>
  <c r="G1902"/>
  <c r="G1901" s="1"/>
  <c r="G1900" s="1"/>
  <c r="G1905"/>
  <c r="G1904" s="1"/>
  <c r="G1903" s="1"/>
  <c r="G1911"/>
  <c r="G1926"/>
  <c r="G1925" s="1"/>
  <c r="G1924" s="1"/>
  <c r="G1917"/>
  <c r="G1916" s="1"/>
  <c r="G1915" s="1"/>
  <c r="G1634"/>
  <c r="G1633" s="1"/>
  <c r="G1632" s="1"/>
  <c r="G1607" s="1"/>
  <c r="G1139" i="1"/>
  <c r="G1137"/>
  <c r="G1136" s="1"/>
  <c r="G801"/>
  <c r="G800" s="1"/>
  <c r="G806"/>
  <c r="G803" s="1"/>
  <c r="G1051"/>
  <c r="G1050" s="1"/>
  <c r="G1049" s="1"/>
  <c r="G916"/>
  <c r="G915" s="1"/>
  <c r="G919"/>
  <c r="G1084" s="1"/>
  <c r="G1083" s="1"/>
  <c r="G676"/>
  <c r="G675" s="1"/>
  <c r="G679"/>
  <c r="G678" s="1"/>
  <c r="G721"/>
  <c r="G720" s="1"/>
  <c r="G724"/>
  <c r="G723" s="1"/>
  <c r="G1680"/>
  <c r="G2990"/>
  <c r="G2051"/>
  <c r="G2065"/>
  <c r="G2064" s="1"/>
  <c r="G598"/>
  <c r="G597" s="1"/>
  <c r="G601"/>
  <c r="G600" s="1"/>
  <c r="G1890"/>
  <c r="G1889" s="1"/>
  <c r="G1888" s="1"/>
  <c r="T1487" i="3" s="1"/>
  <c r="G1900" i="1"/>
  <c r="G1899" s="1"/>
  <c r="G1515"/>
  <c r="G1512" s="1"/>
  <c r="G1427"/>
  <c r="G1429"/>
  <c r="G1449"/>
  <c r="G1448" s="1"/>
  <c r="G1467"/>
  <c r="G1466" s="1"/>
  <c r="G1465" s="1"/>
  <c r="G1464" s="1"/>
  <c r="G1463" s="1"/>
  <c r="G1462" s="1"/>
  <c r="G1474"/>
  <c r="G1473" s="1"/>
  <c r="G1472" s="1"/>
  <c r="G1471" s="1"/>
  <c r="G1483"/>
  <c r="G1482" s="1"/>
  <c r="G1575"/>
  <c r="G1574" s="1"/>
  <c r="G2905"/>
  <c r="G2904" s="1"/>
  <c r="G2908"/>
  <c r="G2907" s="1"/>
  <c r="G3025"/>
  <c r="G2996"/>
  <c r="G2995" s="1"/>
  <c r="G2999"/>
  <c r="G2998" s="1"/>
  <c r="G3002"/>
  <c r="G3105"/>
  <c r="G1884" s="1"/>
  <c r="G1883" s="1"/>
  <c r="G1882" s="1"/>
  <c r="G3110"/>
  <c r="G3109" s="1"/>
  <c r="G3165"/>
  <c r="G3152" s="1"/>
  <c r="G2765"/>
  <c r="G2764" s="1"/>
  <c r="G2758"/>
  <c r="G2757" s="1"/>
  <c r="G2756" s="1"/>
  <c r="G2771"/>
  <c r="G2770" s="1"/>
  <c r="G2803"/>
  <c r="G2802" s="1"/>
  <c r="G1497"/>
  <c r="G1496" s="1"/>
  <c r="G1492" s="1"/>
  <c r="G1551"/>
  <c r="G1550" s="1"/>
  <c r="G1506"/>
  <c r="G467" s="1"/>
  <c r="G466" s="1"/>
  <c r="G1585"/>
  <c r="G1584" s="1"/>
  <c r="G1583" s="1"/>
  <c r="G1582" s="1"/>
  <c r="F40" i="2" s="1"/>
  <c r="G1695" i="1"/>
  <c r="G1664"/>
  <c r="G1663" s="1"/>
  <c r="G1641" s="1"/>
  <c r="G1911"/>
  <c r="G1909" s="1"/>
  <c r="G550"/>
  <c r="G552"/>
  <c r="G562"/>
  <c r="G561" s="1"/>
  <c r="G560" s="1"/>
  <c r="G559" s="1"/>
  <c r="G745"/>
  <c r="G1259"/>
  <c r="G1261"/>
  <c r="G1269"/>
  <c r="G1273"/>
  <c r="G1272" s="1"/>
  <c r="G942" i="3" s="1"/>
  <c r="G941" s="1"/>
  <c r="G1335" i="1"/>
  <c r="G1337"/>
  <c r="G1362"/>
  <c r="G1361" s="1"/>
  <c r="G1360" s="1"/>
  <c r="G1368"/>
  <c r="G1367" s="1"/>
  <c r="G1405"/>
  <c r="G1404" s="1"/>
  <c r="G2868"/>
  <c r="G2867" s="1"/>
  <c r="G2872"/>
  <c r="G2871" s="1"/>
  <c r="G2870" s="1"/>
  <c r="G2876"/>
  <c r="G2878"/>
  <c r="G3308"/>
  <c r="G3305" s="1"/>
  <c r="G3303" s="1"/>
  <c r="G2988"/>
  <c r="G2788"/>
  <c r="G2787" s="1"/>
  <c r="G553" i="3"/>
  <c r="G552" s="1"/>
  <c r="G2772" i="1"/>
  <c r="G3166"/>
  <c r="G554"/>
  <c r="G1508"/>
  <c r="G1507" s="1"/>
  <c r="G1311" i="3"/>
  <c r="G1310" s="1"/>
  <c r="G2762" i="1"/>
  <c r="G2761" s="1"/>
  <c r="G2729"/>
  <c r="G795"/>
  <c r="G794" s="1"/>
  <c r="G1146"/>
  <c r="G1145" s="1"/>
  <c r="G581" i="3" l="1"/>
  <c r="G580" s="1"/>
  <c r="G530"/>
  <c r="G1366" i="1"/>
  <c r="G1365" s="1"/>
  <c r="G789"/>
  <c r="G788" s="1"/>
  <c r="G1436" i="3"/>
  <c r="G2728" i="1"/>
  <c r="G2727" s="1"/>
  <c r="G2726" s="1"/>
  <c r="T283" i="3"/>
  <c r="G2146"/>
  <c r="G1359" i="1"/>
  <c r="G1898"/>
  <c r="G1887" s="1"/>
  <c r="T1503" i="3"/>
  <c r="G3001" i="1"/>
  <c r="G2994" s="1"/>
  <c r="G1760"/>
  <c r="G1759" s="1"/>
  <c r="G1758" s="1"/>
  <c r="G1754" s="1"/>
  <c r="G1753" s="1"/>
  <c r="G1752" s="1"/>
  <c r="G596"/>
  <c r="G176" i="3"/>
  <c r="J149"/>
  <c r="J165" s="1"/>
  <c r="G1135" i="1"/>
  <c r="G1134" s="1"/>
  <c r="G1126" s="1"/>
  <c r="G473"/>
  <c r="G1153" i="3"/>
  <c r="G1152" s="1"/>
  <c r="G1243"/>
  <c r="G1242" s="1"/>
  <c r="G2760" i="1"/>
  <c r="G2731" s="1"/>
  <c r="G2866"/>
  <c r="G3284"/>
  <c r="G3281" s="1"/>
  <c r="G3277" s="1"/>
  <c r="G3269" s="1"/>
  <c r="G3243" s="1"/>
  <c r="G1491"/>
  <c r="G1490" s="1"/>
  <c r="G2057" i="3"/>
  <c r="G1511" i="1"/>
  <c r="G1092"/>
  <c r="G1091" s="1"/>
  <c r="G1082"/>
  <c r="G1081" s="1"/>
  <c r="G744"/>
  <c r="G743" s="1"/>
  <c r="G1687" i="3"/>
  <c r="G1573" i="1"/>
  <c r="G1572" s="1"/>
  <c r="F37" i="2" s="1"/>
  <c r="G2847" i="1"/>
  <c r="G2846" s="1"/>
  <c r="G2845" s="1"/>
  <c r="I76" i="2" s="1"/>
  <c r="G41" i="1"/>
  <c r="O41" s="1"/>
  <c r="G268" i="3"/>
  <c r="G267" s="1"/>
  <c r="G260" s="1"/>
  <c r="G1469"/>
  <c r="G1468" s="1"/>
  <c r="G1467" s="1"/>
  <c r="J1463"/>
  <c r="G3024" i="1"/>
  <c r="G3023" s="1"/>
  <c r="G918"/>
  <c r="G2900"/>
  <c r="G1426"/>
  <c r="G1021" i="3"/>
  <c r="G1020" s="1"/>
  <c r="G1523"/>
  <c r="G1522" s="1"/>
  <c r="G1521" s="1"/>
  <c r="G1642"/>
  <c r="G1525"/>
  <c r="G1511"/>
  <c r="G1510" s="1"/>
  <c r="G2985" i="1"/>
  <c r="G2984" s="1"/>
  <c r="G2983" s="1"/>
  <c r="G2684" s="1"/>
  <c r="G2683" s="1"/>
  <c r="G2875"/>
  <c r="G2874" s="1"/>
  <c r="G2050"/>
  <c r="G2046" s="1"/>
  <c r="G1481"/>
  <c r="G1480" s="1"/>
  <c r="G1479" s="1"/>
  <c r="G2116" i="3"/>
  <c r="G2138"/>
  <c r="G575"/>
  <c r="G574" s="1"/>
  <c r="G1307"/>
  <c r="G3151" i="1"/>
  <c r="G535" i="3"/>
  <c r="G534" s="1"/>
  <c r="G1051"/>
  <c r="G355"/>
  <c r="G352" s="1"/>
  <c r="L345"/>
  <c r="G1334" i="1"/>
  <c r="G1333" s="1"/>
  <c r="G1556" i="3"/>
  <c r="G1555" s="1"/>
  <c r="G1548" s="1"/>
  <c r="G1446" i="1"/>
  <c r="G1445" s="1"/>
  <c r="G1447"/>
  <c r="G1543" i="3"/>
  <c r="G1542" s="1"/>
  <c r="G329"/>
  <c r="G328" s="1"/>
  <c r="G283" s="1"/>
  <c r="G350"/>
  <c r="G349" s="1"/>
  <c r="G1539"/>
  <c r="G1538" s="1"/>
  <c r="G2063" i="1"/>
  <c r="G936" i="3"/>
  <c r="G1498"/>
  <c r="G1497" s="1"/>
  <c r="G986"/>
  <c r="G985" s="1"/>
  <c r="G984" s="1"/>
  <c r="G2297"/>
  <c r="G2296" s="1"/>
  <c r="G547"/>
  <c r="G2324"/>
  <c r="G2327" s="1"/>
  <c r="F77" i="2"/>
  <c r="F76" s="1"/>
  <c r="G1505" i="3"/>
  <c r="G1052"/>
  <c r="G1910"/>
  <c r="G1909" s="1"/>
  <c r="G1896" s="1"/>
  <c r="G2067" i="1"/>
  <c r="G1258"/>
  <c r="G1682" i="3"/>
  <c r="G544"/>
  <c r="G543" s="1"/>
  <c r="G3104" i="1"/>
  <c r="G3100" s="1"/>
  <c r="G3099" s="1"/>
  <c r="F56" i="2" s="1"/>
  <c r="G983" i="3"/>
  <c r="G1489"/>
  <c r="G1488" s="1"/>
  <c r="G1487" s="1"/>
  <c r="G3311" i="1"/>
  <c r="G3310" s="1"/>
  <c r="G3301" s="1"/>
  <c r="G549"/>
  <c r="G798"/>
  <c r="G797" s="1"/>
  <c r="G2932"/>
  <c r="G2929" s="1"/>
  <c r="G2928" s="1"/>
  <c r="G682"/>
  <c r="G681" s="1"/>
  <c r="G674" s="1"/>
  <c r="G160" i="3"/>
  <c r="G148" s="1"/>
  <c r="G2794" i="1"/>
  <c r="G2793" s="1"/>
  <c r="G2786" s="1"/>
  <c r="G156"/>
  <c r="G1824"/>
  <c r="G1823" s="1"/>
  <c r="G1677"/>
  <c r="G1676" s="1"/>
  <c r="G1425" l="1"/>
  <c r="G1424" s="1"/>
  <c r="T1509" i="3" s="1"/>
  <c r="G472" i="1"/>
  <c r="G471" s="1"/>
  <c r="G2186" i="3" s="1"/>
  <c r="G2185" s="1"/>
  <c r="G548" i="1"/>
  <c r="T148" i="3" s="1"/>
  <c r="G2115"/>
  <c r="G2106" s="1"/>
  <c r="G1114"/>
  <c r="F63" i="2"/>
  <c r="G436" i="1"/>
  <c r="T1607" i="3"/>
  <c r="G1587" i="1"/>
  <c r="F41" i="2" s="1"/>
  <c r="G1257" i="1"/>
  <c r="G1256" s="1"/>
  <c r="G929" i="3"/>
  <c r="G928" s="1"/>
  <c r="G1817" i="1"/>
  <c r="G1816" s="1"/>
  <c r="G1779" s="1"/>
  <c r="T1467" i="3"/>
  <c r="V2017" i="1"/>
  <c r="G2016"/>
  <c r="F70" i="2"/>
  <c r="G982" i="3"/>
  <c r="G981" s="1"/>
  <c r="G980" s="1"/>
  <c r="T1896"/>
  <c r="T1897" s="1"/>
  <c r="F62" i="2"/>
  <c r="T260" i="3"/>
  <c r="U260" s="1"/>
  <c r="T1114"/>
  <c r="G1364" i="1"/>
  <c r="G1358" s="1"/>
  <c r="G1757"/>
  <c r="G1756" s="1"/>
  <c r="G1755" s="1"/>
  <c r="G2167" s="1"/>
  <c r="G2166" s="1"/>
  <c r="G2165" s="1"/>
  <c r="F34" i="2"/>
  <c r="J1587" i="1"/>
  <c r="G1444"/>
  <c r="F43" i="2"/>
  <c r="F42" s="1"/>
  <c r="G1509" i="3"/>
  <c r="G3316" i="1"/>
  <c r="G2865"/>
  <c r="G2864" s="1"/>
  <c r="G2863" s="1"/>
  <c r="G2889" s="1"/>
  <c r="G2780"/>
  <c r="G1315"/>
  <c r="G673"/>
  <c r="G672" s="1"/>
  <c r="G3150"/>
  <c r="J1460" i="3"/>
  <c r="J1457"/>
  <c r="G345"/>
  <c r="G2137"/>
  <c r="L2317"/>
  <c r="L2350" s="1"/>
  <c r="G3089" i="1"/>
  <c r="F71" i="2"/>
  <c r="G2993" i="1"/>
  <c r="F54" i="2" s="1"/>
  <c r="G155" i="1"/>
  <c r="G550" i="3"/>
  <c r="G549" s="1"/>
  <c r="K1124"/>
  <c r="G1418" i="1"/>
  <c r="G1417" s="1"/>
  <c r="F80" i="2"/>
  <c r="G1469" i="1"/>
  <c r="I78" i="2" s="1"/>
  <c r="F47"/>
  <c r="G1504" i="3"/>
  <c r="G595" i="1"/>
  <c r="G1510"/>
  <c r="G1505" s="1"/>
  <c r="G2049" i="3"/>
  <c r="G486" i="1"/>
  <c r="G1470"/>
  <c r="F79" i="2" s="1"/>
  <c r="G1423" i="1" l="1"/>
  <c r="G547"/>
  <c r="G546" s="1"/>
  <c r="G649" s="1"/>
  <c r="G589"/>
  <c r="G2178" i="3"/>
  <c r="G2177" s="1"/>
  <c r="G1255" i="1"/>
  <c r="G925" i="3"/>
  <c r="G924" s="1"/>
  <c r="G529"/>
  <c r="L148"/>
  <c r="T1548"/>
  <c r="U148"/>
  <c r="T1124"/>
  <c r="T529"/>
  <c r="I58" i="2"/>
  <c r="G1929" i="1"/>
  <c r="G1928" s="1"/>
  <c r="G1927" s="1"/>
  <c r="G1923" s="1"/>
  <c r="F72" i="2"/>
  <c r="G546" i="3"/>
  <c r="F35" i="2"/>
  <c r="G179" i="1"/>
  <c r="F52" i="2"/>
  <c r="G1313" i="1"/>
  <c r="G1489"/>
  <c r="F61" i="2"/>
  <c r="G337" i="3"/>
  <c r="G3082" i="1"/>
  <c r="G3081" s="1"/>
  <c r="G3022" s="1"/>
  <c r="F55" i="2" s="1"/>
  <c r="G154" i="1"/>
  <c r="G145" s="1"/>
  <c r="G2725"/>
  <c r="G2899"/>
  <c r="G2898" s="1"/>
  <c r="F51" i="2" s="1"/>
  <c r="G1416" i="1"/>
  <c r="F78" i="2"/>
  <c r="G1503" i="3"/>
  <c r="U1503" s="1"/>
  <c r="G338"/>
  <c r="L2337"/>
  <c r="I73" i="2"/>
  <c r="F68"/>
  <c r="F45"/>
  <c r="F36" l="1"/>
  <c r="G32" i="3"/>
  <c r="G2717" i="1"/>
  <c r="G1908"/>
  <c r="G1902" s="1"/>
  <c r="I66" i="2"/>
  <c r="G163" i="1"/>
  <c r="G40" s="1"/>
  <c r="F65" i="2"/>
  <c r="G671" i="1"/>
  <c r="G1413" s="1"/>
  <c r="O1413" s="1"/>
  <c r="I44" i="2"/>
  <c r="F38"/>
  <c r="F53"/>
  <c r="G2992" i="1"/>
  <c r="I69" i="2"/>
  <c r="F46"/>
  <c r="F44" s="1"/>
  <c r="F69"/>
  <c r="G1415" i="1"/>
  <c r="G1487" s="1"/>
  <c r="F66" i="2"/>
  <c r="G29" i="1"/>
  <c r="G536" s="1"/>
  <c r="G2852" l="1"/>
  <c r="O2852" s="1"/>
  <c r="J2852"/>
  <c r="F50" i="2"/>
  <c r="F48" s="1"/>
  <c r="F64"/>
  <c r="F60" s="1"/>
  <c r="G520" i="1"/>
  <c r="G541" s="1"/>
  <c r="F75" i="2"/>
  <c r="F73" s="1"/>
  <c r="F33"/>
  <c r="I53"/>
  <c r="I60"/>
  <c r="I33"/>
  <c r="G2897" i="1"/>
  <c r="G3200" s="1"/>
  <c r="I48" i="2" l="1"/>
  <c r="G3294" i="1"/>
  <c r="F59" i="2" s="1"/>
  <c r="F58" s="1"/>
  <c r="F82" s="1"/>
  <c r="F120" s="1"/>
  <c r="F123" s="1"/>
  <c r="F107" l="1"/>
  <c r="F115"/>
  <c r="G3293" i="1"/>
  <c r="F84" i="2"/>
  <c r="G3299" i="1" l="1"/>
  <c r="G3379" s="1"/>
  <c r="F86" i="2" s="1"/>
  <c r="G3388" i="1" l="1"/>
  <c r="G3389" s="1"/>
  <c r="G3381"/>
  <c r="G3383"/>
  <c r="G2303" i="3"/>
  <c r="G1986" s="1"/>
  <c r="I2303"/>
  <c r="I1986" s="1"/>
  <c r="H2303"/>
  <c r="H1986" s="1"/>
  <c r="G2317" l="1"/>
  <c r="H2317"/>
  <c r="G110" i="2" s="1"/>
  <c r="I2317" i="3"/>
  <c r="H110" i="2" s="1"/>
  <c r="I3384" i="1" l="1"/>
  <c r="H103" i="2"/>
  <c r="H3384" i="1"/>
  <c r="G103" i="2"/>
  <c r="G2346" i="3"/>
  <c r="F103" i="2"/>
  <c r="G2345" i="3"/>
  <c r="G3384" i="1"/>
  <c r="I2326" i="3"/>
  <c r="I2322"/>
  <c r="H2326"/>
  <c r="H2322"/>
  <c r="G2326" l="1"/>
  <c r="G2322"/>
</calcChain>
</file>

<file path=xl/sharedStrings.xml><?xml version="1.0" encoding="utf-8"?>
<sst xmlns="http://schemas.openxmlformats.org/spreadsheetml/2006/main" count="25870" uniqueCount="1553">
  <si>
    <t>Создание безопасной инфраструктуры образовательных организаций МО "Устьянский муниципальный район"</t>
  </si>
  <si>
    <t>Ремонт образовательных учреждений</t>
  </si>
  <si>
    <t>ОХРАНА ОКРУЖАЮЩЕЙ СРЕДЫ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</si>
  <si>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федеральный бюджет</t>
  </si>
  <si>
    <t>08 2 01 R0271</t>
  </si>
  <si>
    <t>511</t>
  </si>
  <si>
    <t>Дотации на выравнивание бюджетной обеспеченности</t>
  </si>
  <si>
    <t>630</t>
  </si>
  <si>
    <t>Субсидии некоммерческим организациям (за исключением государственных (муниципальных) учреждений)</t>
  </si>
  <si>
    <t>06 2 00 83094</t>
  </si>
  <si>
    <t>06 6 00 00000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</si>
  <si>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</si>
  <si>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</si>
  <si>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</si>
  <si>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</si>
  <si>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</si>
  <si>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</si>
  <si>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ОБЩЕГОСУДАРСТВЕННЫЕ ВОПРОСЫ</t>
  </si>
  <si>
    <t>01</t>
  </si>
  <si>
    <t>21 0 00 80060</t>
  </si>
  <si>
    <t>мероприятие - обслуживание установленной в здании администрации и гараже системы автоматической пожарной сигнализации и системы оповещения людей о пожаре</t>
  </si>
  <si>
    <t>Другие общегосударственные вопросы</t>
  </si>
  <si>
    <t>13</t>
  </si>
  <si>
    <t>Подпрограмма "Создание условий для развития одаренных детей"</t>
  </si>
  <si>
    <t>ОБРАЗОВАНИЕ</t>
  </si>
  <si>
    <t>07</t>
  </si>
  <si>
    <t>Общее образование</t>
  </si>
  <si>
    <t>02</t>
  </si>
  <si>
    <t xml:space="preserve">Расходы на обеспечение деятельности учреждений по внешкольной работе с детьми 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</si>
  <si>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</si>
  <si>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</si>
  <si>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</si>
  <si>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</si>
  <si>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</si>
  <si>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</si>
  <si>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</si>
  <si>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</si>
  <si>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</si>
  <si>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</si>
  <si>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13 0 01 S5420</t>
  </si>
  <si>
    <t>08 2 02 R0271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</si>
  <si>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областной бюджет</t>
  </si>
  <si>
    <t xml:space="preserve">КУЛЬТУРА И КИНЕМАТОГРАФИЯ </t>
  </si>
  <si>
    <t>08</t>
  </si>
  <si>
    <t>Культура</t>
  </si>
  <si>
    <t>06 2 20 83092</t>
  </si>
  <si>
    <t>Обеспечение населения услугами учреждений культуры</t>
  </si>
  <si>
    <t xml:space="preserve">Организация музейного  обслуживания </t>
  </si>
  <si>
    <t xml:space="preserve">Организация библиотечного обслуживания </t>
  </si>
  <si>
    <t>Расходы на обеспечение деятельности подведомственных учреждений</t>
  </si>
  <si>
    <t>757</t>
  </si>
  <si>
    <t>612</t>
  </si>
  <si>
    <t>Другие вопросы в области культуры, кинематографии</t>
  </si>
  <si>
    <t>04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</si>
  <si>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</si>
  <si>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</si>
  <si>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 и взносы по обязательному социальному страхованию</t>
  </si>
  <si>
    <t>100</t>
  </si>
  <si>
    <t>120</t>
  </si>
  <si>
    <t>121</t>
  </si>
  <si>
    <t xml:space="preserve">Иные выплаты персоналу государственных (муниципальных) органов, за исключением фонда оплаты труда </t>
  </si>
  <si>
    <t>122</t>
  </si>
  <si>
    <t>Иные бюджетные ассигнования</t>
  </si>
  <si>
    <t>800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</si>
  <si>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</si>
  <si>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Уплата налогов , сборов и иных платежей</t>
  </si>
  <si>
    <t>850</t>
  </si>
  <si>
    <t>Социальное обеспечение населения</t>
  </si>
  <si>
    <t>10</t>
  </si>
  <si>
    <t>03</t>
  </si>
  <si>
    <t>Массовый спорт</t>
  </si>
  <si>
    <t>11</t>
  </si>
  <si>
    <t xml:space="preserve">мероприятие - "Создание условий для укрепления здоровья населения" </t>
  </si>
  <si>
    <t>ИТОГО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</si>
  <si>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</si>
  <si>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содержание муниципальных органов и обеспечение их функций</t>
  </si>
  <si>
    <t xml:space="preserve">Организация ритуальных услуг
</t>
  </si>
  <si>
    <t>22 0 00 83165</t>
  </si>
  <si>
    <t xml:space="preserve">Содержание кладбищ </t>
  </si>
  <si>
    <t>22 0 00 83170</t>
  </si>
  <si>
    <t>Уплата взносов на кап.ремонт многоквартирных домов находящихся на территории сельских поселений МО "Устьянский  муниципальный район" Фонд кап.ремонта многокв. домов Арх.обл.в 100% объёме</t>
  </si>
  <si>
    <t>22 0 00 83180</t>
  </si>
  <si>
    <t>Проведение  капитального ремонта жилого фонда</t>
  </si>
  <si>
    <t>22 0 00 83190</t>
  </si>
  <si>
    <t>Мероприятия в области жилищного хозяйства</t>
  </si>
  <si>
    <t>НАЦИОНАЛЬНАЯ ЭКОНОМИКА</t>
  </si>
  <si>
    <t>Другие вопросы в области национальной экономики</t>
  </si>
  <si>
    <t>12</t>
  </si>
  <si>
    <t>Дошкольное образование</t>
  </si>
  <si>
    <t>Реализация общеобразовательных программ</t>
  </si>
  <si>
    <t>611</t>
  </si>
  <si>
    <t>Расходы на обеспечение деятельности детских дошкольных учреждений</t>
  </si>
  <si>
    <t>774</t>
  </si>
  <si>
    <t>Дополнительное образование детей</t>
  </si>
  <si>
    <t>Капитальные вложения в объекты государственной (муниципальной) собственности</t>
  </si>
  <si>
    <t>Непрограммные расходы в сфере общегосударственных вопросов</t>
  </si>
  <si>
    <t xml:space="preserve">Формирование доступной среды для инвалидов в муниципальных районах </t>
  </si>
  <si>
    <t>22 0 00 83160</t>
  </si>
  <si>
    <t>06 1 00 00000</t>
  </si>
  <si>
    <t>06 1 00 83091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</si>
  <si>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</si>
  <si>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капитальный ремонт, ремонт и обустройство автомобильных дорог вне границ населенных пунктов за счет средств муниципального дорожного фонда</t>
  </si>
  <si>
    <t>06 2 00 00000</t>
  </si>
  <si>
    <t>06 2 00 83092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</si>
  <si>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</si>
  <si>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капитальный ремонт, ремонт и обустройство автомобильных дорог в границах населенных пунктов за счет средств муниципального дорожного фонда</t>
  </si>
  <si>
    <t>1. Муниципальные программы</t>
  </si>
  <si>
    <t>01 0 0 00000</t>
  </si>
  <si>
    <t>Содействие по созданию условий в обеспечении товарами  первой необходимости жителей труднодоступных и малонаселенных пунктов района</t>
  </si>
  <si>
    <t>Расходы на обеспечение деятельности учреждения по дополнительной работе с детьми спортивной направленности</t>
  </si>
  <si>
    <t>Муниципальная программа "Развитие туризма в Устьянском районе на 2014-2020 годы"</t>
  </si>
  <si>
    <t>Муниципальная программа "Развитие малого и среднего предпринимательства в Устьянском районе на 2014-2016 годы"</t>
  </si>
  <si>
    <t>Иные бюджетные средства</t>
  </si>
  <si>
    <t>Содержание кладбищ и оказание ритуальных услуг</t>
  </si>
  <si>
    <t>2. Непрограммные направления деятельности</t>
  </si>
  <si>
    <t>Расходы на обеспечение деятельности подведомственных учреждений (Школы - детские сады, школы начальные, неполные средние и средние</t>
  </si>
  <si>
    <t>Подпрограмма "Отдых детей в каникулярный период"</t>
  </si>
  <si>
    <t>Финансовая поддержка социально-ориентированных некоммерческих организаций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</si>
  <si>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</si>
  <si>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Другие вопросы в области образования</t>
  </si>
  <si>
    <t>09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</si>
  <si>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</si>
  <si>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Выявление детей с ограниченными возможностями здоровья и проведение их комплексного обследования</t>
  </si>
  <si>
    <t>12 0 00 L5190</t>
  </si>
  <si>
    <t>Осуществление государственных полномочий по финансовому обеспечению оплаты набора продуктов питания в оздоровительных лагерях с дневным пребыванием детей</t>
  </si>
  <si>
    <t>Организация сбора и утилизации опасных отходов</t>
  </si>
  <si>
    <t>Подпрограмма "Отдых детей в каникулярный период" 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</si>
  <si>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06 1 01 83091</t>
  </si>
  <si>
    <t>06 1 02 83091</t>
  </si>
  <si>
    <t>06 1 01 00000</t>
  </si>
  <si>
    <t>06 1 02 00000</t>
  </si>
  <si>
    <t>08 1 01 78620</t>
  </si>
  <si>
    <t>08 4 02 78320</t>
  </si>
  <si>
    <t>20 0 00 81540</t>
  </si>
  <si>
    <t>20 0 00 81510</t>
  </si>
  <si>
    <t>09 0 00 00000</t>
  </si>
  <si>
    <t>Межбюджетные трансферты бюджетам муниципальных районов из бюджетов поселений по передаваемым полномочиям по осуществлению внешнего муниципального финансового контроля в соответствии с заключенными соглашениями</t>
  </si>
  <si>
    <t>Подпрограмма "Развитие технического творчества и прочих условий для одаренных детей"</t>
  </si>
  <si>
    <t>Участие в мероприятиях детей (олимпиады,конкурсы,конференции и т.д.)</t>
  </si>
  <si>
    <t>Подпрограмма "Раходы на содержание органов местного самоуправления в сфере образования"</t>
  </si>
  <si>
    <t>Уплата налогов, сборов и иных платежей</t>
  </si>
  <si>
    <t>СОЦИАЛЬНАЯ ПОЛИТИКА</t>
  </si>
  <si>
    <t>Пенсионное обеспечение</t>
  </si>
  <si>
    <t xml:space="preserve">Доплаты к пенсиям муниципальных служащих 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</si>
  <si>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</si>
  <si>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</si>
  <si>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</si>
  <si>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</si>
  <si>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</si>
  <si>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Охрана семьи и детства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</si>
  <si>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</si>
  <si>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Подпрограмма «Поддержание устойчивого исполнения бюджетов муниципальных образований Устьянского района»</t>
  </si>
  <si>
    <t>Межбюджетные трансферты</t>
  </si>
  <si>
    <t>500</t>
  </si>
  <si>
    <t>Субвенции</t>
  </si>
  <si>
    <t>530</t>
  </si>
  <si>
    <t>Обеспечение деятельности финансовых, налоговых и таможенных органов и органов финансового (финансово- бюджетного) надзора</t>
  </si>
  <si>
    <t>06</t>
  </si>
  <si>
    <t>Непрограммные расходы в сфере других общегосударственных вопросах</t>
  </si>
  <si>
    <t>НАЦИОНАЛЬНАЯ ОБОРОНА</t>
  </si>
  <si>
    <t xml:space="preserve">Мобилизационная и вневойсковая подготовка 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</si>
  <si>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</si>
  <si>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</si>
  <si>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Резервный фонд администрации муниципального образования</t>
  </si>
  <si>
    <t>Субсидии</t>
  </si>
  <si>
    <t>520</t>
  </si>
  <si>
    <t>Дорожное хозяйство</t>
  </si>
  <si>
    <t>05</t>
  </si>
  <si>
    <t>Жилищное хозяйство</t>
  </si>
  <si>
    <t>Коммунальное хозяйство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</si>
  <si>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</si>
  <si>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</si>
  <si>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>Иные межбюджетные трансферты</t>
  </si>
  <si>
    <t>540</t>
  </si>
  <si>
    <t>Резервные средства</t>
  </si>
  <si>
    <t>870</t>
  </si>
  <si>
    <t>Благоустройство</t>
  </si>
  <si>
    <t>12 0 00 L4670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</si>
  <si>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</si>
  <si>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Реализация мероприятий по обеспечению жильем молодых семей</t>
  </si>
  <si>
    <t>Мероприятия в сфере пожарной безопасности</t>
  </si>
  <si>
    <t>06 1 10 83091</t>
  </si>
  <si>
    <t>Реализация муниципальных программ поддержки социально ориентированных некоммерческих организаций</t>
  </si>
  <si>
    <t>08 0 00 00000</t>
  </si>
  <si>
    <t>08 3 00 00000</t>
  </si>
  <si>
    <t>08 3 00 78320</t>
  </si>
  <si>
    <t>08 3 00 88320</t>
  </si>
  <si>
    <t>12 0 00 00000</t>
  </si>
  <si>
    <t>12 0  00 85040</t>
  </si>
  <si>
    <t>13 0 00 00000</t>
  </si>
  <si>
    <t>13 0 00 85420</t>
  </si>
  <si>
    <t>15 0 00 00000</t>
  </si>
  <si>
    <t>15 0 00 88860</t>
  </si>
  <si>
    <t>12 0 00 85010</t>
  </si>
  <si>
    <t>12 0 00 85020</t>
  </si>
  <si>
    <t>12 0 00 85030</t>
  </si>
  <si>
    <t>10 0 00 00000</t>
  </si>
  <si>
    <t>10 0 00 88850</t>
  </si>
  <si>
    <t>12 0 00 80010</t>
  </si>
  <si>
    <t>01 0 00 00000</t>
  </si>
  <si>
    <t>13 0 00 85410</t>
  </si>
  <si>
    <t>03 0 00 00000</t>
  </si>
  <si>
    <t>03 0 00 80010</t>
  </si>
  <si>
    <t>03 0 00 80620</t>
  </si>
  <si>
    <t>96 0 00 00000</t>
  </si>
  <si>
    <t>96 0 00 81110</t>
  </si>
  <si>
    <t>03 0 00 82690</t>
  </si>
  <si>
    <t>03 0 00 82700</t>
  </si>
  <si>
    <t>07 0 00 00000</t>
  </si>
  <si>
    <t>08 1 00 00000</t>
  </si>
  <si>
    <t>08 1 00 78620</t>
  </si>
  <si>
    <t>08 1 00 80120</t>
  </si>
  <si>
    <t>08 2 00 00000</t>
  </si>
  <si>
    <t>08 2 00 80190</t>
  </si>
  <si>
    <t>17 0 00 00000</t>
  </si>
  <si>
    <t>17 0 00 88460</t>
  </si>
  <si>
    <t>08 1 00 80130</t>
  </si>
  <si>
    <t>08 1 00 80140</t>
  </si>
  <si>
    <t>08 4 00 00000</t>
  </si>
  <si>
    <t>08 4 00 80150</t>
  </si>
  <si>
    <t>08 1 00 80180</t>
  </si>
  <si>
    <t>08 5 00 00000</t>
  </si>
  <si>
    <t>08 5 00 80010</t>
  </si>
  <si>
    <t>83 0 00 78650</t>
  </si>
  <si>
    <t>19 0 00 00000</t>
  </si>
  <si>
    <t>19 3 00 00000</t>
  </si>
  <si>
    <t>19 1 00 00000</t>
  </si>
  <si>
    <t>19 1 00 80010</t>
  </si>
  <si>
    <t>87 0 00 00000</t>
  </si>
  <si>
    <t>06 0 00 00000</t>
  </si>
  <si>
    <t>19 2 00 00000</t>
  </si>
  <si>
    <t>19 2 00 81750</t>
  </si>
  <si>
    <t>19 3 00 78010</t>
  </si>
  <si>
    <t>19 3 00 88230</t>
  </si>
  <si>
    <t>81 0 00 00000</t>
  </si>
  <si>
    <t>81 1 00 00000</t>
  </si>
  <si>
    <t>81 1 00 80010</t>
  </si>
  <si>
    <t>05 0 00 00000</t>
  </si>
  <si>
    <t>05 0 00 78700</t>
  </si>
  <si>
    <t>81 2 00 00000</t>
  </si>
  <si>
    <t>81 2 00 80010</t>
  </si>
  <si>
    <t>81 2 00 78710</t>
  </si>
  <si>
    <t>02 0 00 00000</t>
  </si>
  <si>
    <t>02 0 00 81180</t>
  </si>
  <si>
    <t>21 0 00 00000</t>
  </si>
  <si>
    <t>84 0 00 00000</t>
  </si>
  <si>
    <t>20 0 00 00000</t>
  </si>
  <si>
    <t>20 0 00 81520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</si>
  <si>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81520</t>
    </r>
  </si>
  <si>
    <t>16 0 00 00000</t>
  </si>
  <si>
    <t>16 0 00 88890</t>
  </si>
  <si>
    <t>18 0 00 00000</t>
  </si>
  <si>
    <t>18 0 00 88870</t>
  </si>
  <si>
    <t>05 0 00 82990</t>
  </si>
  <si>
    <t>14 0 00 00000</t>
  </si>
  <si>
    <t>14 0 00 88440</t>
  </si>
  <si>
    <t>11 0 00 00000</t>
  </si>
  <si>
    <t>04 0 00 00000</t>
  </si>
  <si>
    <t>82 0 00 00000</t>
  </si>
  <si>
    <t>82 1 00 00000</t>
  </si>
  <si>
    <t>82 1 00 80010</t>
  </si>
  <si>
    <t>82 2 00 00000</t>
  </si>
  <si>
    <t>82 2 00 80010</t>
  </si>
  <si>
    <t>82 3 00 00000</t>
  </si>
  <si>
    <t>82 3 00 80010</t>
  </si>
  <si>
    <t>82 4 00 00000</t>
  </si>
  <si>
    <t>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01 июня 2012 года № 761 О Национальной стратегии действий в интересах детей на 2012-2017 годы"</t>
  </si>
  <si>
    <t>Резервный фонд Правительства Архангельской области</t>
  </si>
  <si>
    <t>04 0 00 78130</t>
  </si>
  <si>
    <t>Улучшение жилищных условий граждан, проживающих в сельской местности, в том числе молодых семей и молодых специалистов</t>
  </si>
  <si>
    <t>87 0 00 81400</t>
  </si>
  <si>
    <t>Судебная система</t>
  </si>
  <si>
    <t>Непрограммные расходы в сфере судебной системы</t>
  </si>
  <si>
    <t>97 0 00 00000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</si>
  <si>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</si>
  <si>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Молодежная политика </t>
  </si>
  <si>
    <t>22 0 00 80010</t>
  </si>
  <si>
    <t>19 3 00 88020</t>
  </si>
  <si>
    <t>БЛАГОУСТРОЙСТВО</t>
  </si>
  <si>
    <t>11 0 00 88910</t>
  </si>
  <si>
    <t>23 0 00 00000</t>
  </si>
  <si>
    <t>23 0 00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</si>
  <si>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</si>
  <si>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(областной бюджет)</t>
  </si>
  <si>
    <t>23 0 00 87050</t>
  </si>
  <si>
    <t>23 0 00 87350</t>
  </si>
  <si>
    <t>84 0 00 80100</t>
  </si>
  <si>
    <t>08 2 00 80220</t>
  </si>
  <si>
    <t>Создание условий, отвечающих требованиям пожарной безопасности</t>
  </si>
  <si>
    <t>22 0 00 00000</t>
  </si>
  <si>
    <t>22 0 00 83150</t>
  </si>
  <si>
    <t>Резервный фонд для создания групп, классов-комплектов и объединений дополнительного образования</t>
  </si>
  <si>
    <t>Мероприятия по реализации молодежной политики в муниципальных образованиях</t>
  </si>
  <si>
    <t>06 3 00 83100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</si>
  <si>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</si>
  <si>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</si>
  <si>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Подпрограмма "Управление муниципальным долгом Устьянского района"</t>
  </si>
  <si>
    <t>Обслуживание муниципального долга</t>
  </si>
  <si>
    <t>Обслуживание государственного (муниципального) долга</t>
  </si>
  <si>
    <t>700</t>
  </si>
  <si>
    <t xml:space="preserve">Обслуживание муниципального долга </t>
  </si>
  <si>
    <t>730</t>
  </si>
  <si>
    <t>МЕЖБЮДЖЕТНЫЕ ТРАНСФЕРТЫ ОБЩЕГО ХАРАКТЕРА БЮДЖЕТАМ СУБЪЕКТОВ РОССИЙСКОЙ ФЕДЕРАЦИИ И МУНИЦАПАЛЬНЫХ ОБРАЗОВАНИЙ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</si>
  <si>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</si>
  <si>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</si>
  <si>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Выравнивание бюджетной обеспеченности поселений из бюджета муниципального района</t>
  </si>
  <si>
    <t>Дотации</t>
  </si>
  <si>
    <t>510</t>
  </si>
  <si>
    <t>Выравнивание бюджетной обеспеченности поселений</t>
  </si>
  <si>
    <t>Прочие межбюджетные трансферты общего характера</t>
  </si>
  <si>
    <t>Функционирование высшего должностного лица субъекта РФ и муниципального образования</t>
  </si>
  <si>
    <t xml:space="preserve">Обеспечение функционирования Главы и администрации муниципального образования </t>
  </si>
  <si>
    <t>Расходы на выплаты персоналу в целях обеспечения выполнения функций государственными органами, казенными учредениями, органами управления государственными внебюджетными фондами</t>
  </si>
  <si>
    <t>Передача полномочий в рамках организации в границах поселений  электро-, тепло-, газо- и водоснабжениея населения, водоотведения, снабжения населения топливом в пределах полномочий, установленных законодательством РФ</t>
  </si>
  <si>
    <t>22 0 00 83140</t>
  </si>
  <si>
    <t>Осуществление государственных полномочий по формированию торгового реестра</t>
  </si>
  <si>
    <t>Закупка товаров, работ и услуг для муниципальных нужд</t>
  </si>
  <si>
    <t>Администрация муниципального образования</t>
  </si>
  <si>
    <t>110</t>
  </si>
  <si>
    <t>Расходы на выплаты персоналу казенных учреждений</t>
  </si>
  <si>
    <t>830</t>
  </si>
  <si>
    <t>Исполнение судебных актов</t>
  </si>
  <si>
    <t>Осуществление государственных полномочий в сфере охраны труда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</si>
  <si>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</si>
  <si>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Резервные фонды</t>
  </si>
  <si>
    <t>Обеспечение функционирования эксплуатационного управления</t>
  </si>
  <si>
    <t>Возмещение расходов по исполнительному листу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</si>
  <si>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</t>
  </si>
  <si>
    <t>Другие вопросы в области национальной безопасности и правоохранительной деятельности</t>
  </si>
  <si>
    <t>Мероприятия по повышению эффективности системы профилактики, безнадзорности и правонарушений несовершеннолетних</t>
  </si>
  <si>
    <t xml:space="preserve">Выполнение работ (услуг), связанных с осуществлением регулярных перевозок по регулируемым тарифам </t>
  </si>
  <si>
    <t>Проведение районных мероприятий для молодежи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</si>
  <si>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</si>
  <si>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</si>
  <si>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Транспорт</t>
  </si>
  <si>
    <t>Содействие по созданию условий в обеспечении товарами  первой необходимости жителей труднодоступныхи малонаселенных пунктов района</t>
  </si>
  <si>
    <t>ЖИЛИЩНО-КОММУНАЛЬНОЙ ХОЗЯЙСТВО</t>
  </si>
  <si>
    <t>Капитальные вложения в объекты недвижимого имущества государственной (муниципальной) собственности</t>
  </si>
  <si>
    <t>400</t>
  </si>
  <si>
    <t>Бюджетные инвестиции</t>
  </si>
  <si>
    <t>410</t>
  </si>
  <si>
    <t>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</si>
  <si>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Другие вопросы в области охраны окружающей среды</t>
  </si>
  <si>
    <t xml:space="preserve">Социальное обеспечение и иные выплаты населению
</t>
  </si>
  <si>
    <t>Публичные нормативные социальные выплаты гражданам</t>
  </si>
  <si>
    <t>310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</si>
  <si>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</si>
  <si>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Социальные выплаты в части исполнения публичных нормативных обязательств</t>
  </si>
  <si>
    <t xml:space="preserve">Социальное обеспечение и иные выплаты населению </t>
  </si>
  <si>
    <t>Выплаты приемным семьям на оздоровление и организацию отдыха приемных детей</t>
  </si>
  <si>
    <t>ФИЗИЧЕСКАЯ КУЛЬТУРА И СПОРТ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</si>
  <si>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</si>
  <si>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представительного органа</t>
  </si>
  <si>
    <t>Обеспечение функционирования представительного органа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</si>
  <si>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</si>
  <si>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функционирования контрольно-ревизионной комиссии</t>
  </si>
  <si>
    <t>ВСЕГО</t>
  </si>
  <si>
    <t>Поддержка малого и среднего предпринимательства, включая крестьянские (фермерские) хозяйства за счет средств местного бюджета</t>
  </si>
  <si>
    <t>Приложение №</t>
  </si>
  <si>
    <t>Сумма, рублей</t>
  </si>
  <si>
    <t>23 0 00 78770</t>
  </si>
  <si>
    <t>97 0 00 51200</t>
  </si>
  <si>
    <t>23 0 00 78910</t>
  </si>
  <si>
    <t>11 0 00 88911</t>
  </si>
  <si>
    <t>11 0 00 88912</t>
  </si>
  <si>
    <t xml:space="preserve">07 0 00 88282 </t>
  </si>
  <si>
    <t>Выполнение работ по устройству контейнерных площадок</t>
  </si>
  <si>
    <t>22 0 00 83200</t>
  </si>
  <si>
    <t>Мероприятия в области благоустройства</t>
  </si>
  <si>
    <t>02 0 00 S8410</t>
  </si>
  <si>
    <t>02 0 00 S8420</t>
  </si>
  <si>
    <t>08 2 00 80221</t>
  </si>
  <si>
    <t>19 3 00 51180</t>
  </si>
  <si>
    <t>81 2 00 78690</t>
  </si>
  <si>
    <t>08 1 00 88240</t>
  </si>
  <si>
    <t>Реализация мер по обеспечению безопасности граждан и антитеррористической защишенности объектов образовательных организаций</t>
  </si>
  <si>
    <t>Содержание,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</si>
  <si>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ремонт и обустройство автомобильных дорог вне границ населенных пунктов за счет средств муниципального дорожного фонда</t>
  </si>
  <si>
    <t>Содержание, 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</si>
  <si>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 ремонт и обустройство автомобильных дорог в границах населенных пунктов за счет средств муниципального дорожного фонда</t>
  </si>
  <si>
    <t xml:space="preserve">Субсидии на поддержку отрасли культуры </t>
  </si>
  <si>
    <t>12 0 00 88240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</si>
  <si>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 за счет средств местного бюджета</t>
  </si>
  <si>
    <t>05 0 00 78270</t>
  </si>
  <si>
    <t>08 0  00 00000</t>
  </si>
  <si>
    <t>06 0 00 83120</t>
  </si>
  <si>
    <t>Субсидия на софинансирование проведения работ по разработке комплексной схемы организации дорожного движения</t>
  </si>
  <si>
    <t>21 0 00 80052</t>
  </si>
  <si>
    <t>Управление строительства и инфраструктуры муниципального образования "Устьянский муниципальный район"</t>
  </si>
  <si>
    <t>09 0 F2 55550</t>
  </si>
  <si>
    <t>Субсидии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</si>
  <si>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96 1 00 81110</t>
  </si>
  <si>
    <t>Возмещение расходов по исполнительному листу (госпошлина)</t>
  </si>
  <si>
    <t>06 6 00 S875Д</t>
  </si>
  <si>
    <t>12 0 00 S6820</t>
  </si>
  <si>
    <t xml:space="preserve">87 0 00 81400 </t>
  </si>
  <si>
    <t xml:space="preserve">87 0 00 00000 </t>
  </si>
  <si>
    <t>01 0 00 L4970</t>
  </si>
  <si>
    <t>01 0 00 S8510</t>
  </si>
  <si>
    <t>Госпрограмма Архангельской области "Обеспечение качественным, доступным жильем и объектами инженерной инфраструктуры населения Арх.области (2014-2020 годы) Мероприятия подпрограммы "Обеспечение жильем молодых семей" предоставление дополнительной социальной выплаты при рождении (усыновлении) ребенка</t>
  </si>
  <si>
    <t>Оснащение образовательных организаций Архангельской области специальными транспортными средствами для перевозки детей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</si>
  <si>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</si>
  <si>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>16 0 00 88891</t>
  </si>
  <si>
    <t>Мероприятия по предупреждению преступлений, терроризма, экстремизма и других правонарушений  по соглашению о передаче полномочий поселений мун.району</t>
  </si>
  <si>
    <t>22 0 00 83166</t>
  </si>
  <si>
    <t>10 0 00 88870</t>
  </si>
  <si>
    <t>460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</si>
  <si>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</si>
  <si>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 ( Шурай - Митинская )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</si>
  <si>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на 01.01.2016г.</t>
  </si>
  <si>
    <t>Мероприятия в области переселения граждан из ветхого и аварийного жилья Устьянского района Архангельской области</t>
  </si>
  <si>
    <t>08 3 00 S8530</t>
  </si>
  <si>
    <t>Мероприятия по реализации молодежной политики в муниципальных образованиях (содействие трудоустройству несовершеннолетних граждан на территории Архангельской области)</t>
  </si>
  <si>
    <t>12 0 00 86030</t>
  </si>
  <si>
    <t>Создание модельной муниципальной библиотеки</t>
  </si>
  <si>
    <t>08 2 00 80191</t>
  </si>
  <si>
    <t>Оснащение пищеблоков в образовательных учреждениях</t>
  </si>
  <si>
    <t>96 2 00 81110</t>
  </si>
  <si>
    <t>Возмещение расходов по исполнительному листу (судебные издержки)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</si>
  <si>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</si>
  <si>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Развитие территориального общественного самоуправления в Архангельской области</t>
  </si>
  <si>
    <t>Комплектование книжных фондов библиотек муниципальных образований Архангельской области и подписка на периодическую печать</t>
  </si>
  <si>
    <t>08 1 00 S8330</t>
  </si>
  <si>
    <t>08 1 00 78650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</si>
  <si>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средств, поступивших от Фонда содействия реформированию жилищно-коммунального хозяйства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</si>
  <si>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 бюджетов субъектов Российской Федерации</t>
  </si>
  <si>
    <t xml:space="preserve">Муниципальная программа "Управление муниципальным имуществом муниципального образования "Устьянский муниципальный район" </t>
  </si>
  <si>
    <t>Муниципальная программа "Управление муниципальными финансами и муниципальным долгом Устьянского района"</t>
  </si>
  <si>
    <t>04 0 00 88881</t>
  </si>
  <si>
    <t>08 2 00 86840</t>
  </si>
  <si>
    <t>Публикации в СМИ информационных материалов</t>
  </si>
  <si>
    <t>02 0 00 81150</t>
  </si>
  <si>
    <t>Проведение ежегодных аттестационных мероприятий по режимному кабинету и защищаемому помещению</t>
  </si>
  <si>
    <t>20 0 00 81522</t>
  </si>
  <si>
    <t>04 0 00 88885</t>
  </si>
  <si>
    <t>Реализация мероприятий по благоустройству сельских территорий</t>
  </si>
  <si>
    <t>05 0 00 82995</t>
  </si>
  <si>
    <t>Содействие оформлению прав собственности сельскохозяйственных товаропроизводителей на земельные участки сельскохозяйственного назначения</t>
  </si>
  <si>
    <t>25 0 00 88887</t>
  </si>
  <si>
    <t>Закупка товаров, работ и услуг для обеспечения государственных (муниципальных) нужд</t>
  </si>
  <si>
    <t>Мероприятия по формированию законопослушного поведения участников дорожного движения</t>
  </si>
  <si>
    <t>25 0 00 00000</t>
  </si>
  <si>
    <t>Муниципальная программа " Формирование законопослушного поведения участников дорожного движения в Устьянском районе"</t>
  </si>
  <si>
    <t>Мероприятия по подготовке площадок временного накопления твердых коммунальных отходов на территории МО "Устьянский муниципальный район"</t>
  </si>
  <si>
    <t>11 0 00 88914</t>
  </si>
  <si>
    <t>22 0 00 83163</t>
  </si>
  <si>
    <t>22 0 00 83164</t>
  </si>
  <si>
    <t>Разработка документации по объектам незавершенного строительства</t>
  </si>
  <si>
    <t>АКЦИЗЫ</t>
  </si>
  <si>
    <t>78000</t>
  </si>
  <si>
    <t>Муниципальная программа "Формирование современной городской среды на территории муниципального образования "Устьянский муниципальный район"</t>
  </si>
  <si>
    <t xml:space="preserve">Муниципальная программа "Формирование современной городской среды на территории муниципального образования "Устьянский муниципальный район" </t>
  </si>
  <si>
    <t>Муниципальная программа "Обеспечение жильем молодых семей"</t>
  </si>
  <si>
    <t>Разработка проектно-сметной документации по плоскостным сооружениям</t>
  </si>
  <si>
    <t xml:space="preserve">Муниципальная программа "Комплексное развитие сельских территорий" </t>
  </si>
  <si>
    <t>Иные межбюджетные трансферты на софинансирование вопросов местного значения</t>
  </si>
  <si>
    <t>Муниципальная программа "Развитие образования Устьянского района"</t>
  </si>
  <si>
    <t>Муниципальная программа "Безопасное обращение с отходами производства и потребления в муниципальном образовании "Устьянский муниципальный район"</t>
  </si>
  <si>
    <t xml:space="preserve">Муниципальная программа «Молодежь Устьянского района»  </t>
  </si>
  <si>
    <t>Муниципальная программа "Доступная среда для инвалидов в Устьянском районе"</t>
  </si>
  <si>
    <t xml:space="preserve">Муниципальная программа «Развитие физкультуры и спорта в Устьянском районе» </t>
  </si>
  <si>
    <t>Выполнение работ по уборке несанкционированных свалок и навалов мусора</t>
  </si>
  <si>
    <t>Муниципальная программа "Развитие транспортной системы Устьянского района"</t>
  </si>
  <si>
    <t>390000</t>
  </si>
  <si>
    <t>189200</t>
  </si>
  <si>
    <t>270072</t>
  </si>
  <si>
    <t>4607800</t>
  </si>
  <si>
    <t xml:space="preserve">Муниципальная программа "Комплексное развитие систем коммунальной инфраструктуры сельских поселений муниципального образования "Устьянский муниципальный район" </t>
  </si>
  <si>
    <t>Физическая культура</t>
  </si>
  <si>
    <t>20 0 00 81511</t>
  </si>
  <si>
    <t>Создание резерва финансовых и материальных ресурсов для предупреждения ликвидации чрезвычайных ситуаций природного и техногенного характера</t>
  </si>
  <si>
    <t>20 0 00 81512</t>
  </si>
  <si>
    <t>Создание телекоммуникационной и информационно-технической инфраструктуры системы АПК "Безопасный город" на территории Устьянского района</t>
  </si>
  <si>
    <t>10 0 00 88871</t>
  </si>
  <si>
    <t xml:space="preserve">Участие в реализации проекта "Сделано в Устьянах" </t>
  </si>
  <si>
    <t>22 0 00 83167</t>
  </si>
  <si>
    <t>Выполнение работ по проектированию и строительству котельной</t>
  </si>
  <si>
    <t>07 0 00 88287</t>
  </si>
  <si>
    <t>Строительство здания спортзала МБОУ "Илезская средняя общеобразовательная школа"</t>
  </si>
  <si>
    <t>07 0 00 88288</t>
  </si>
  <si>
    <t>Строительство здания спортзала МБОУ "Октябрьская средняя общеобразовательная школа №1"</t>
  </si>
  <si>
    <t>Строительство водопроводной сети в п. Лойга</t>
  </si>
  <si>
    <t>Мероприятия для участия в региональной программе "Чистая вода"</t>
  </si>
  <si>
    <t>22 0 00 83168</t>
  </si>
  <si>
    <t>Оснащение образовательных учреждений в сфере культуры (школ искусств и училищ) Архангельской области музыкальными инструментами, оборудованием и материалами для творчества в соответствии с современными стандартами профессионального и дополнительного образования в сфере культуры</t>
  </si>
  <si>
    <t>120A155191</t>
  </si>
  <si>
    <t xml:space="preserve"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района" </t>
  </si>
  <si>
    <t>96 2 00 00000</t>
  </si>
  <si>
    <t>Мероприятие - Сила в селе МО "Киземское", п.Кизема</t>
  </si>
  <si>
    <t>04 0 01 R5760</t>
  </si>
  <si>
    <t>Мероприятие - реконструкция канализационных очистных сооружений</t>
  </si>
  <si>
    <t>Муниципальная программа "Развитие туризма в Устьянском районе"</t>
  </si>
  <si>
    <t>Мероприятия по предупреждению преступлений, терроризма, экстремизма и других правонарушений, выполнение мероприятий в сфере мобилизации и мобилизационной подготовки в рамках территориальной обороны</t>
  </si>
  <si>
    <t>04 0 04  L5760</t>
  </si>
  <si>
    <t>04 0 05  L5760</t>
  </si>
  <si>
    <t>120A155192</t>
  </si>
  <si>
    <t>Создание (реконструкция) и капитальный ремонт учреждений культурно - досугового типа в сельской местности</t>
  </si>
  <si>
    <t>07 0 F3 67483</t>
  </si>
  <si>
    <t>07 0 F3 67484</t>
  </si>
  <si>
    <t>Гашение кредиторской задолженности прошлых лет связанной с финансовым обеспечением дорожной деятельности в границах населенных пунктов в границах муниципального района, включая обеспечение безопасности дорожного движения на них</t>
  </si>
  <si>
    <t>Гашение кредиторской задолженности прошлых лет связанной с финансовым обеспечением дорожной деятельности вне границ населенных пунктов в границах муниципального района, включая обеспечение безопасности дорожного движения на них</t>
  </si>
  <si>
    <t>06 1 03 83091</t>
  </si>
  <si>
    <t>06 1 03 00000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</si>
  <si>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 ( Илеза - Митинская )</t>
  </si>
  <si>
    <t>Участие в конкурсе на предоставление субсидии на укрепление МТБ загородных стационарных лагерей детскому оздоровительному лагерю "Колос"</t>
  </si>
  <si>
    <t>Содержание мест (площадок) накопления твердых коммунальных отходов</t>
  </si>
  <si>
    <t>11 0 00 89000</t>
  </si>
  <si>
    <t>22 0 00 83169</t>
  </si>
  <si>
    <t>Ремонт децентрализованных источников водоснабжения на территории Устьянского района</t>
  </si>
  <si>
    <t xml:space="preserve">22 0 00 88283 </t>
  </si>
  <si>
    <t>Снос аварийных многоквартирных домом п. Кизема</t>
  </si>
  <si>
    <t>Выполнение работ по проектированию теплотрассы в с.Шангалы</t>
  </si>
  <si>
    <t>22 0 00 83171</t>
  </si>
  <si>
    <t>Капитальный ремонт и реконструкцию детских школ искусств по видам искусств, находящимся в ведении органов государственной власти субъектов Российской Федерации и муниципальных образований в области культуры МБУ ДО "Радуга"</t>
  </si>
  <si>
    <t>12 0 00 88289</t>
  </si>
  <si>
    <t>12 00 88290</t>
  </si>
  <si>
    <t>12 0 00 88290</t>
  </si>
  <si>
    <t>Расходы на оплату проезда одаренных детей для участия в конкурсах, мероприятиях, фестивалях</t>
  </si>
  <si>
    <t>12 0 00 85060</t>
  </si>
  <si>
    <t>13 0 00 S8520</t>
  </si>
  <si>
    <t>04 0 03 L5761</t>
  </si>
  <si>
    <t>Обеспечение комплексного развития сельских территорий (капитальный ремонт зданий МБОУ "ОСОШ № 1 СП д/с "Рябинушка" в пос.Октябрьский Устьянского района)</t>
  </si>
  <si>
    <t>08 1 00 80191</t>
  </si>
  <si>
    <t>08 1 00 80190</t>
  </si>
  <si>
    <t>04 0 01 L5763</t>
  </si>
  <si>
    <t>Обеспечение комплексного развития сельских территорий (реконструкция канализационных очистных сооружений (КОС) в пос.Октябрьский Устьянского района)</t>
  </si>
  <si>
    <t>11 4 00 S6740</t>
  </si>
  <si>
    <t>Приобретение контейнеров (бункеров) для накопления твердых коммунальных отходов</t>
  </si>
  <si>
    <t>11 3 00 S6740</t>
  </si>
  <si>
    <t>Создание мест (площадок) накопления (в том числе раздельного накопления) твердых коммунальных отходов</t>
  </si>
  <si>
    <t>11 2 00 S6740</t>
  </si>
  <si>
    <t>Приобретение контейнеров (бункеров) для накопления твердых коммунальных отходов (остатки 2019 года)</t>
  </si>
  <si>
    <t>11 1 00 S6740</t>
  </si>
  <si>
    <t>Создание мест (площадок) накопления (в том числе раздельного накопления) твердых коммунальных отходов (остатки 2019 года)</t>
  </si>
  <si>
    <t>11 0 00 S6650</t>
  </si>
  <si>
    <t>11 0 00 S6610</t>
  </si>
  <si>
    <t>Обустройство объектов размещения твердых коммунальных отходов</t>
  </si>
  <si>
    <t>08 3 00 88300</t>
  </si>
  <si>
    <t>03 0 00 83001</t>
  </si>
  <si>
    <t>03 0 00 83002</t>
  </si>
  <si>
    <t>Формирование земельных участков под кладбищами</t>
  </si>
  <si>
    <t>03 0 00 83003</t>
  </si>
  <si>
    <t>Формирование земельных участков для предоставления многодетным семьям</t>
  </si>
  <si>
    <t>67 0 00 00000</t>
  </si>
  <si>
    <t>67 0 00 71400</t>
  </si>
  <si>
    <t>12 0 01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</si>
  <si>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(Обеспечение населения услугами учреждений культуры)</t>
  </si>
  <si>
    <t>12 0 00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</si>
  <si>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</t>
  </si>
  <si>
    <t>12 0 02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</si>
  <si>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(Организация музейного  обслуживания)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</si>
  <si>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(Организация библиотечного обслуживания)</t>
  </si>
  <si>
    <t>12 0 03 S8310</t>
  </si>
  <si>
    <t>12 0 04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</si>
  <si>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(резерв)</t>
  </si>
  <si>
    <t>03 0 00 80621</t>
  </si>
  <si>
    <t>мероприятие - Проведение работ по отводу , таксации лесосек и объектов лесной инфраструктуры</t>
  </si>
  <si>
    <t>07 0 00 88291</t>
  </si>
  <si>
    <t>08 3 00 78530</t>
  </si>
  <si>
    <t>Разработка проектно-сметной документации для строительства и реконструкции (модернизации) объектов питьевого водоснабжения</t>
  </si>
  <si>
    <t>Другие вопросы в области жилищно-коммунального хозяйства</t>
  </si>
  <si>
    <t>08 1 00 76600</t>
  </si>
  <si>
    <t>Обеспечение бесплатным горячим питанием обучающихся, осваивающих образовательные программы начального общего образования</t>
  </si>
  <si>
    <t>06 2 00 7667Д</t>
  </si>
  <si>
    <t>Модернизация нерегулируемых пешеходных переходов, светофорных объектов и установка пешеходных ограждений на автомобильных дорогах общего пользования местного значения (дорожный фонд Архангельской области)</t>
  </si>
  <si>
    <t>12 0 00 S8300</t>
  </si>
  <si>
    <t>10 0 00 R384Д</t>
  </si>
  <si>
    <t xml:space="preserve">Софинансирование строительства (реконструкции) объектов обеспечивающей инфраструктуры с длительным сроком окупаемости, входящих в состав инвестиционных проектов по созданию в субъектах Российской Федерации туристических кластеров </t>
  </si>
  <si>
    <t>04 0 02 L5762</t>
  </si>
  <si>
    <t>Мероприятие - капитальный ремонт и перепланировка помещений первого этажа здания под районную детскую библиотеку, расположенного по ул. Ленина, р.п.Октябрьский, Устьянского района, Архангельской области</t>
  </si>
  <si>
    <t xml:space="preserve"> "Формирование земельных участков в целях  переселения граждан из аварийного жилого фонда  по заявлениям граждан-собственников помещений в многоквартирных домах и по решению суда с учетом подготовки проектов межевания и кадастровых работ"  
</t>
  </si>
  <si>
    <t xml:space="preserve"> Формирование земельных участков в целя переселения граждан из аварийного жилого фонда  по заявлениям граждан-собственников помещений в многоквартирных домах и по решению суда с учетом подготовки проектов межевания и кадастровых работ
</t>
  </si>
  <si>
    <t>Инженерные изыскания, разработку  проектно-сметной документации и экспертизы для привязки проекта строительства Дома культуры в с.Бестужево</t>
  </si>
  <si>
    <t>Инженерные изыскания, разработку проектно-сметной документации и экспертизы для привязки проекта  строительства Нагорского дома культуры</t>
  </si>
  <si>
    <t xml:space="preserve">Закупка товаров, работ и услуг для муниципальных нужд </t>
  </si>
  <si>
    <t>Разработка проектно-сметной документации на строительство Дома детского и молодежного творчества в п. Октябрьский</t>
  </si>
  <si>
    <t>Возмещение части затрат крестьянских (фермерских) хозяйств, включая индивидуальных предпринимателей, при оформлении в собственность  используемых ими земельных участков из земельсельскохозяйственного назначения</t>
  </si>
  <si>
    <t>06 2 00 7875Д</t>
  </si>
  <si>
    <t>Ремонт автомобильных дорог общего пользования местного значения в муниципальных районах и городских округах Архангельской области</t>
  </si>
  <si>
    <t>08 3  00 00000</t>
  </si>
  <si>
    <t>12 0 00 88888</t>
  </si>
  <si>
    <t>Субсидия на создание и модернизацию учреждений культурно-досугового типа в сельсколй местности (в части капитального ремонта зданий)</t>
  </si>
  <si>
    <t>22 0 00 S6640</t>
  </si>
  <si>
    <t>25 0 00 88879</t>
  </si>
  <si>
    <t>Создание условий для вовлечения обучающихся в муниципальных образовательных организациях в деятельность по профилактике дорожно - транспортного травматизма в рамках фед.проекта "Безопасность дорожного движения" национального проекта "Безопасные и качественные автомобильные дороги"</t>
  </si>
  <si>
    <t>08 1 Е250970</t>
  </si>
  <si>
    <t>13 0 Р5 50810</t>
  </si>
  <si>
    <t>Субсидии на адресную финансовую поддержку спортивных организаций, осуществляющих подготовку спортивного резерва для сборных команд Российской Федерации</t>
  </si>
  <si>
    <t>08 1 00 S6830</t>
  </si>
  <si>
    <t>Укрепление матерниально-технической базы муниципальных дошкольных образовательных организаций</t>
  </si>
  <si>
    <t>Мероприятие по развитию физической культуры и спорта в муниципальных образованиях</t>
  </si>
  <si>
    <t>20 0 00 76630</t>
  </si>
  <si>
    <t>Оборудование источников наружного противопожарного водоснабжения</t>
  </si>
  <si>
    <t>06 6 00 S667Д</t>
  </si>
  <si>
    <t>Субсидия на софинансирование мероприятий по модернизации нерегулируемых пешеходных переходов, светофорных объектов и установке пешеходных ограждений на автомобильных дорогах общего пользования местного значения (дорожный фонд Архангельской области)</t>
  </si>
  <si>
    <t>06 6 00 S812Д</t>
  </si>
  <si>
    <t>22 0 G5 00000</t>
  </si>
  <si>
    <t>22 0 G5 52430</t>
  </si>
  <si>
    <t>Строительство и реконструкция (модернизация) объектов питьевого водоснабжения</t>
  </si>
  <si>
    <t>Федеральный проект "Чистая вода"</t>
  </si>
  <si>
    <t>12 0 00 88890</t>
  </si>
  <si>
    <t>12 0 00 L3060</t>
  </si>
  <si>
    <t>Модернизация и развитие, обследование и ремонт гос.учреждений, подведомственных министерству культуры, муниципальных учреждений культуры, школ искусств, образовательных организаций в сфере культуры и искусства</t>
  </si>
  <si>
    <t>22 0 00 83173</t>
  </si>
  <si>
    <t>Приобретение котлов</t>
  </si>
  <si>
    <t>620</t>
  </si>
  <si>
    <t>Субсидии автономным учреждениям</t>
  </si>
  <si>
    <t>Обеспечение функционирования модели персонифицированного финансирования дополнительного образования детей</t>
  </si>
  <si>
    <t>08 1 03 78620</t>
  </si>
  <si>
    <t>Реализация образовательных программ (Обеспечение функционирования модели персонифицированного финансирования дополнительного образования детей)</t>
  </si>
  <si>
    <t>08 2 00 S6680</t>
  </si>
  <si>
    <t>Субсидии на благоустройство территорий муниципальных образовательных организаций (учреждений общего образования)</t>
  </si>
  <si>
    <t>Оказание содействия муниципальным образованиям Архангельской области в подготовке проведения общероссийского голосования по вопросу одобрения изменений в Конституцию Российской Федерации</t>
  </si>
  <si>
    <t>96 0 W0 78850</t>
  </si>
  <si>
    <t>05 0 00 S6690</t>
  </si>
  <si>
    <t>мероприятие - Организация учета, управления и распоряжения муниципальным имуществом</t>
  </si>
  <si>
    <t>Благоустройство территорий и приобретение уборочной и коммунальной техники</t>
  </si>
  <si>
    <t>09 0 00 78840</t>
  </si>
  <si>
    <t>08 1 00 53030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</si>
  <si>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</si>
  <si>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08 1 03 80170</t>
  </si>
  <si>
    <t>08 1 03 S6570</t>
  </si>
  <si>
    <t>Внедрение модели персонифицированного финансирования дополнительного образования детей в Архангельской области</t>
  </si>
  <si>
    <t>08 3 00 88400</t>
  </si>
  <si>
    <t>Укрепление материально-технической базы загородных стационарных лагерей</t>
  </si>
  <si>
    <t>08 1 00 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</si>
  <si>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</si>
  <si>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 0 00 S6630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</si>
  <si>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за счет остатка средств ликвидируемых муниципальных дорожных фондов сельских поселений на 01.01.2016г.</t>
  </si>
  <si>
    <t>Реконструкция автомобильной дороги общего пользования Аверкиевская-Малиновка (в том числе разработка проекта реконструкции) за счет средств муниципального дорожного фонда</t>
  </si>
  <si>
    <t>06 1 00 83094</t>
  </si>
  <si>
    <t>2023 год</t>
  </si>
  <si>
    <t>12 0 00 88872</t>
  </si>
  <si>
    <t>Печать справочника по фондам архивного отдела</t>
  </si>
  <si>
    <t>Пособия, компенсации и иные социальные выплаты Почетным гражданам</t>
  </si>
  <si>
    <t>Обеспечение нормативных условий хранения архивных документов</t>
  </si>
  <si>
    <t>12 0 00 S8240</t>
  </si>
  <si>
    <t>08 1 00 S8240</t>
  </si>
  <si>
    <t>06 1 00 83095</t>
  </si>
  <si>
    <t>На паспортизацию, проектирование, строительство и реконструкцию автомобильных дорог общего пользования местного значения муниципального района и искусственных сооружений на них вне границ населенных пунктов</t>
  </si>
  <si>
    <t xml:space="preserve">Мероприятия на поддержку отрасли культуры в части приобретения музыкальных инструментов, оборудования и материалов для детских школ искусств </t>
  </si>
  <si>
    <t>12 0 00 85011</t>
  </si>
  <si>
    <t>330</t>
  </si>
  <si>
    <t xml:space="preserve">Публичные нормативные выплаты гражданам не социального характера </t>
  </si>
  <si>
    <t>Иные межбюджетные трансферты бюджетам городских поселений, входящих в состав муниципального образования "Устьянский муниципальный район" в соответствии с п.2 Порядка формирования и использования бюджетных ассигнований муниципального дорожного фонда МО "Устьянский муниципальный район"</t>
  </si>
  <si>
    <t xml:space="preserve">Иные межбюджетные трансферты на 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</t>
  </si>
  <si>
    <t>Устройство душевых комнат в здании раздевалок хоккейного корта</t>
  </si>
  <si>
    <t xml:space="preserve">Муниципальная программа "Укрепление общественного здоровья населения Устьянского района" </t>
  </si>
  <si>
    <t>26 0 00 00000</t>
  </si>
  <si>
    <t>Приобретение жилья медицинским работникам</t>
  </si>
  <si>
    <t>26 0 00  87550</t>
  </si>
  <si>
    <t>19 3 00 78793</t>
  </si>
  <si>
    <t>Осуществление переданных органам местного самоуправления муниципальных образований Архангельской области государственных полномочий Архангельской области в сфере административных правонарушений</t>
  </si>
  <si>
    <t>23 0 00 87460</t>
  </si>
  <si>
    <t>12 0 A1 55191</t>
  </si>
  <si>
    <t>12 0 A1 55195</t>
  </si>
  <si>
    <t>Модернизация региональных и муниципальных детских школ искусств по видам искусств</t>
  </si>
  <si>
    <t>12 0 A1 55193</t>
  </si>
  <si>
    <t>08 1 Р5 51390</t>
  </si>
  <si>
    <t xml:space="preserve">Создание и модернизация объектов спортивной инфраструктуры региональной собственности (муниципальной собственности) для занятий физической культурой и спортом   
</t>
  </si>
  <si>
    <t>08 1 00 L3042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</si>
  <si>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(для муниципальных общеобразовательных организаций)</t>
  </si>
  <si>
    <t>96 0 00 54690</t>
  </si>
  <si>
    <t>Проведение Всероссийской переписи населения 2020 года</t>
  </si>
  <si>
    <t>22 0 00 83151</t>
  </si>
  <si>
    <t xml:space="preserve">Ремонт водопровода </t>
  </si>
  <si>
    <t>13 0 00 85411</t>
  </si>
  <si>
    <t>Участие в конкурсе на обустройство и модернизацию плоскостных сооружений</t>
  </si>
  <si>
    <t>06 2 00 83095</t>
  </si>
  <si>
    <t>Разработка проектно-сметной документации мест захоронения</t>
  </si>
  <si>
    <t>11 0 00 88915</t>
  </si>
  <si>
    <t>Разработка инженерной схемы санитарной очистки территорий и населенных пунктов Устьянского района</t>
  </si>
  <si>
    <t>06 4 00 83071</t>
  </si>
  <si>
    <t>Субсидия на возмещение части затрат перевозчикам, осуществляющим регулярные перевозки пассажиров и багажа автомобильным транспортом по регулируемым муниципальным маршрутам в целях устойчивого функционирования в период коронавирусной пандемии</t>
  </si>
  <si>
    <t>08 1 00 88287</t>
  </si>
  <si>
    <t>08 1 00 88288</t>
  </si>
  <si>
    <t>Выполнение проектных работ стадии "Рабочая документация" по объекту "Спортивный зал Илезской СОШ"</t>
  </si>
  <si>
    <t>06 2 00 83093</t>
  </si>
  <si>
    <t>Гашение кредиторской задолженности по дорожной деятельности за счет остатка собственных средств на 01.01.2021 года  в границах населенных пунктов, включая обеспечение безопасности дорожного движения на них</t>
  </si>
  <si>
    <t>Муниципальная программа "Развитие АПК и торговли"</t>
  </si>
  <si>
    <t>Разработка проектной и рабочей документации по объекту: "Строительство и подключение блочно-модульной станции очистки воды, строительство водонапорных сетей с последующим объединением с существующими сетями (закольцовка) п. Октябрьский"</t>
  </si>
  <si>
    <t>к  решению сессии шестого созыва Собрания депутатов №     от                   2021 года</t>
  </si>
  <si>
    <t>08 1 00 80150</t>
  </si>
  <si>
    <t>08 1 Е2 50970</t>
  </si>
  <si>
    <t>Субсидии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</si>
  <si>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08 1 00 80192</t>
  </si>
  <si>
    <t>22 0 00 86641</t>
  </si>
  <si>
    <t>22 0 00 86640</t>
  </si>
  <si>
    <t>22 0 00 16640</t>
  </si>
  <si>
    <t>22 0 0016640</t>
  </si>
  <si>
    <t>Разработка проектно-сметной документации по объекту "Капитальный ремонт здания спортивного комплекса по адресу п.Октябрьский ул.Клубная д.7</t>
  </si>
  <si>
    <t>08 2 00 80201</t>
  </si>
  <si>
    <t>08 1 00 16830</t>
  </si>
  <si>
    <t>08 2 00 81190</t>
  </si>
  <si>
    <t>Проведение поддерживающего ремонта здания СП "Едемская ООШ" МБОУ "Березницкая ОГ"</t>
  </si>
  <si>
    <t>Капитальный ремонт дошкольных образовательных организаций</t>
  </si>
  <si>
    <t>08 2 00 82190</t>
  </si>
  <si>
    <t>08 2 0082190</t>
  </si>
  <si>
    <t>Ремонт дошкольных образовательных организаций</t>
  </si>
  <si>
    <t>08 2 00 81194</t>
  </si>
  <si>
    <t>08 2 00 80194</t>
  </si>
  <si>
    <t>08 1 00 80131</t>
  </si>
  <si>
    <t>08 2 00 80195</t>
  </si>
  <si>
    <t>Выполнение работ по осуществлению строительного контроля, авторского надзора на объекте капитального строительства  "Строительство здания спортивного  зала  МБОУ "Илезская СОШ" по адресу: Архангельская область, Устьянский район, п.Илеза ул.Школьная д.1"</t>
  </si>
  <si>
    <t>Разработка проектной и рабочей документации по строительству и подключение блочно-модульной станции очистки воды, строительство водопроводных сетей п.Кизема</t>
  </si>
  <si>
    <t xml:space="preserve">Укрепление матерниально-технической базы муниципальных дошкольных образовательных организаций ДОУ "Рябинушка" МБОУ "ОСОШ №1" </t>
  </si>
  <si>
    <t>Укрепление матерниально-технической базы муниципальных дошкольных образовательных организаций ДОУ "Рябинушка" МБОУ "ОСОШ №1"</t>
  </si>
  <si>
    <t>Разработка проектно-сметной документации и проведение государственной экспертизы на реконструкцию автодрома в МБОУ "Устьянская СОШ"</t>
  </si>
  <si>
    <t>Разработка проектно-сметной документации и проведение государственной экспертизы на строительство автодрома на территории  МБОУ "Устьянская СОШ"</t>
  </si>
  <si>
    <t>25 0 00 88810</t>
  </si>
  <si>
    <t>22 0 00 83153</t>
  </si>
  <si>
    <t xml:space="preserve">Ремонт здания котельной п.Илеза </t>
  </si>
  <si>
    <t>Разработка и проведение государственной экспертизы проектно-сметной документации на ремонт образовательных учреждений</t>
  </si>
  <si>
    <t>12 0 00 85013</t>
  </si>
  <si>
    <t>12 0 00 85012</t>
  </si>
  <si>
    <t>12 0 00 85014</t>
  </si>
  <si>
    <t xml:space="preserve">Мероприятия на разработку проектно-сметной документации </t>
  </si>
  <si>
    <t>12 0 00 85015</t>
  </si>
  <si>
    <t>Мероприятия на проведение экспертизы проектно-сметной документации на капитальный ремонт учреждений культуры</t>
  </si>
  <si>
    <t>Мероприятия по монтажу пожарной сигнализации в доме культуры п.Кизема</t>
  </si>
  <si>
    <t xml:space="preserve">Мероприятия по подготовке к отопительному периоду </t>
  </si>
  <si>
    <t>12 0 00 88869</t>
  </si>
  <si>
    <t>11 0 00 16610</t>
  </si>
  <si>
    <t>мероприятия на обустройство объектов размещения твердых коммунальных отходов</t>
  </si>
  <si>
    <t>08 1 00 80142</t>
  </si>
  <si>
    <t>08 1 00 80141</t>
  </si>
  <si>
    <t>Мероприятия по созданию и функционированию в ОО центрах образования естественно-научной и технологической направленности в рамках нац.проекта "Образование-точка роста"</t>
  </si>
  <si>
    <t>Мероприятия по проведению государственной экспертизы ПСД для создания и функционирования в ОО центрах образования естественно-научной и технологической направленности в рамках нац.проекта "Образование-точка роста"</t>
  </si>
  <si>
    <t>08 3 00 88101</t>
  </si>
  <si>
    <t>Мероприятия по установке системы фильтрации для получения санитарно-эпидемиологического заключения на подземный водоисточник на территории лагеря ДОЛ "Колос"</t>
  </si>
  <si>
    <t>08 3 00 88102</t>
  </si>
  <si>
    <t>Мероприятия на получение лицензии на медицинский блок на территории лагеря ДОЛ "Колос"</t>
  </si>
  <si>
    <t>08 3 00 88103</t>
  </si>
  <si>
    <t>Мероприятия на проведение обследования ПЦР-тестирование на коронавирус CОVID-2019 для персонала лагерей с дневным пребыванием детей и персонала ДОЛ</t>
  </si>
  <si>
    <t>08 2 00 80143</t>
  </si>
  <si>
    <t>12 0 00 78300</t>
  </si>
  <si>
    <t>12 0 00 78310</t>
  </si>
  <si>
    <t>Субсидии на повышение средней заработной платы работников муниципальных учреждений культуры</t>
  </si>
  <si>
    <t>08 2 00 S8260</t>
  </si>
  <si>
    <t>Капитальный ремонт муниципальных дошкольных образовательных организаций</t>
  </si>
  <si>
    <t>08 1 00 74740</t>
  </si>
  <si>
    <t>08 1 00 S6560</t>
  </si>
  <si>
    <t>Субсидии бюджетам муниципальных районов на укрепление материально-технической базы пищеблоков и столовых муниципальных общеобразовательных организаций Архангельской области в целях создания условий для организации горячего питания обучающихся, получающих начальное общее образование</t>
  </si>
  <si>
    <t>11 0 00 S6420</t>
  </si>
  <si>
    <t>Оплата выполненных работ по обустройству объекта размещения твердых коммунальных отходов в деревне Тарасонаволоцкая Устьянского муниципального района Архангельской области</t>
  </si>
  <si>
    <t>06 4 00 83072</t>
  </si>
  <si>
    <t>Приобретение бланков свидетельства об осуществлении перевозок по маршруту регулярных перевозок</t>
  </si>
  <si>
    <t>16 0 00 81512</t>
  </si>
  <si>
    <t>12 0 00 85016</t>
  </si>
  <si>
    <t>Благоустройство территории и ремонт крыльца МБУК "УЦНТ"</t>
  </si>
  <si>
    <t>792</t>
  </si>
  <si>
    <t>Мероприятия в сфере предупреждения и ликвидации последствий чрезвычайных ситуаций и стихийных бедствий природного и  техногенного характера</t>
  </si>
  <si>
    <t>Софинансирование мероприятий по проведению кадастровых работ и мониторинга земель сельскохозяйственного назначения</t>
  </si>
  <si>
    <t>Сельское хозяйство и рыболовство</t>
  </si>
  <si>
    <t>03 0 00 80622</t>
  </si>
  <si>
    <t>Софинансирование расходов на проведение комплексных кадастровых работ</t>
  </si>
  <si>
    <t>Проектирование "Строительство моста (Пентус)" (ранее "Проектирование строительства мостового перехода через реку Устья к туристическому объекту "Дом 19 века"", Пост. №502 от 09.04.21г.)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</si>
  <si>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</si>
  <si>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</si>
  <si>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20 0 00 81523</t>
  </si>
  <si>
    <t>Техническое обеспечение выполнения мероприятий по территориальной и гражданской обороне</t>
  </si>
  <si>
    <t>03 0 00 S6690</t>
  </si>
  <si>
    <t>03 0 00 80623</t>
  </si>
  <si>
    <t>Проведение агрохимических исследований земельных участков</t>
  </si>
  <si>
    <t>15 0 00 S8530</t>
  </si>
  <si>
    <t>03 0 00 L5110</t>
  </si>
  <si>
    <t>Проведение комплексных кадастровых работ</t>
  </si>
  <si>
    <t>Муниципальная программа "Комплексное развитие систем коммунальной инфраструктуры сельских поселений МО "Устьянский муниципальный район"</t>
  </si>
  <si>
    <t>880</t>
  </si>
  <si>
    <t>96 0 00 74750</t>
  </si>
  <si>
    <t>Специальные расходы</t>
  </si>
  <si>
    <t>Обеспечение проведения выборов в представительные органы вновь образованных муниципальных образований Архангельской области</t>
  </si>
  <si>
    <t>Обеспечение проведения выборов и референдумов</t>
  </si>
  <si>
    <t>22 0 00 86650</t>
  </si>
  <si>
    <t>Устройство каркасно-модульной котельной в п. Квазеньга</t>
  </si>
  <si>
    <t>22 0 00 86651</t>
  </si>
  <si>
    <t>Устройство каркасно-модульной котельной в п. Глубокий</t>
  </si>
  <si>
    <t>22 0 00 86652</t>
  </si>
  <si>
    <t xml:space="preserve">Устройство магистральной тепловой сети к распределительному колодцу здания спортивного зала п.Илеза </t>
  </si>
  <si>
    <t>22 0 00 86653</t>
  </si>
  <si>
    <t>Проведение проверки достоверности сметной стоимости объектов: установка и обвязка котельного оборудования в здании котельной п.Илеза и устройство каркасно-модульной котельной п.Илеза</t>
  </si>
  <si>
    <t>Мероприятия по осуществлению технического надзора по капитальному ремонту домов культуры</t>
  </si>
  <si>
    <t>Реализация мер по обеспечению безопасности граждан и антитеррористической защищенности объектов образовательных организаций</t>
  </si>
  <si>
    <t>Мероприятия по капитальному ремонту систем водопровода, канализации, септиков в здании школы МБОУ "Синицкая ООШ"</t>
  </si>
  <si>
    <t>01 0 00 88510</t>
  </si>
  <si>
    <t>Реализация мероприятий по обеспечению жильем молодых семей за счет средств местного бюджета</t>
  </si>
  <si>
    <t>На разработку и прохождение государственной экспертизы проектной документации по объекту "Реконструкция станции биологической очистки, строительство канализационных сетей, ремонт канализационной насосной станции в с. Шангалы"</t>
  </si>
  <si>
    <t>21 0 00 78040</t>
  </si>
  <si>
    <t>Обеспечение энергетической эффективности зданий, строений, сооружений</t>
  </si>
  <si>
    <t>08 2 R3 S8170</t>
  </si>
  <si>
    <t>87 0 00 71400</t>
  </si>
  <si>
    <t>Муниципальная программа "Комплексное развитие сельских территорий муниципального образования "Устьянский район""</t>
  </si>
  <si>
    <t>12 0 00  78310</t>
  </si>
  <si>
    <t>Уплата административного штрафа</t>
  </si>
  <si>
    <t>96 0 00 81113</t>
  </si>
  <si>
    <t>04 0 09 L519F</t>
  </si>
  <si>
    <t>Государственная поддержка отрасли культуры за счет средств резервного фонда Правительства Российской Федерации</t>
  </si>
  <si>
    <t>96 3 00 81110</t>
  </si>
  <si>
    <t>Возмещение расходов по исполнительному листу (пени, неустойки)</t>
  </si>
  <si>
    <t>мероприятие - Организация учета, управления и распоряжения муниципальным имуществом и содержание казны</t>
  </si>
  <si>
    <t>текст</t>
  </si>
  <si>
    <t>27 0 00 00000</t>
  </si>
  <si>
    <t>27 0 00 81170</t>
  </si>
  <si>
    <t>Проведение полного комплекса организационно-хозяйственных, химических, механических мер борьбы на площадях, засоренных борщевиком Сосновского</t>
  </si>
  <si>
    <t>793</t>
  </si>
  <si>
    <t>83 0 00 00000</t>
  </si>
  <si>
    <t>83 0 00 80010</t>
  </si>
  <si>
    <t>13 0 00 85412</t>
  </si>
  <si>
    <t>Софинансирование на участие в конкурсе на оснащение объектов спортивной инфраструктуры спортивно-техническим оборудованием</t>
  </si>
  <si>
    <t>13 0 00 85413</t>
  </si>
  <si>
    <t xml:space="preserve">Софинансирование на участие в конкурсе на капитальный ремонт крытых спортивных объектов муниципальных образований </t>
  </si>
  <si>
    <t>12 0  00 85041</t>
  </si>
  <si>
    <t>Оплата проезда одаренных детей для участия в конкурсах, мероприятиях, фестивалях</t>
  </si>
  <si>
    <t>12 0  00 85042</t>
  </si>
  <si>
    <t>12 0  00 85011</t>
  </si>
  <si>
    <t>12 0  00 85043</t>
  </si>
  <si>
    <t>Оплата проезда к месту отдыха и обратно</t>
  </si>
  <si>
    <t>12 0  00 85045</t>
  </si>
  <si>
    <t>Услуги проведения специальной оценки условий труда, производственного контроля и оценки проф. рисков на рабочих местах</t>
  </si>
  <si>
    <t>12 0  00 85046</t>
  </si>
  <si>
    <t>Услуги по приобретению оборудования и монтаж узла тепловой энергии (теплосчетчик)</t>
  </si>
  <si>
    <t>12 0  00 85047</t>
  </si>
  <si>
    <t>Капитальный ремонт СП "Плосское" МБУК "Устьяны" Устройство отмостки здания ДК д. Левоплосская, расположенного по адресу: д. Левоплосская д. 16</t>
  </si>
  <si>
    <t>12 0  00 85048</t>
  </si>
  <si>
    <t>12 0  00 85049</t>
  </si>
  <si>
    <t>Взносы в Фонд капитального ремонта формируемый на специальном счете УК</t>
  </si>
  <si>
    <t>12 0  00 85050</t>
  </si>
  <si>
    <t>Издательская деятельность</t>
  </si>
  <si>
    <t>12 0  00 85053</t>
  </si>
  <si>
    <t>Эксплуатационные испытания внутренних электрических сетей и заземляющих устройств</t>
  </si>
  <si>
    <t>12 0  00 85054</t>
  </si>
  <si>
    <t>02 0 00 81130</t>
  </si>
  <si>
    <t>22 0 00 87485</t>
  </si>
  <si>
    <t>Софинансирование для участия в конкурсе по разработке проектно-сметной документации по строительству и подключение блочно-модульной станции очистки воды</t>
  </si>
  <si>
    <t>08 1 00 85043</t>
  </si>
  <si>
    <t>Укрепление материально-технической базы муниципальных дошкольных образовательных организаций</t>
  </si>
  <si>
    <t>08 1 00 80145</t>
  </si>
  <si>
    <t>Субсидия на организацию бесплатного двухразового питания обучающихся с ограниченными возможностями здоровья в образовательных учреждениях</t>
  </si>
  <si>
    <t>08 1 00 S6980</t>
  </si>
  <si>
    <t>Обеспечение условий для развития кадрового потенциала муниципальных образовательных организаций в Архангельской области</t>
  </si>
  <si>
    <t>Субсидия на организацию бесплатного питания детей с ограниченными возможностями здоровья, сирот и инвалидов в дошкольных образовательных организациях</t>
  </si>
  <si>
    <t>08 1 00 80146</t>
  </si>
  <si>
    <t>08 2 00 80196</t>
  </si>
  <si>
    <t>Проведение строительного контроля</t>
  </si>
  <si>
    <t>08 2 00 80197</t>
  </si>
  <si>
    <t>Приобретение и установка приборов учета</t>
  </si>
  <si>
    <t>Подвоз на олимпиады, конкурсы</t>
  </si>
  <si>
    <t>12 0 00 55193</t>
  </si>
  <si>
    <t>Обеспечение учреждений культуры специализированным автотранспортом для обслуживания населения, в том числе сельского населения</t>
  </si>
  <si>
    <t>Реконструкция и капитальный ремонт муниципальных музеев</t>
  </si>
  <si>
    <t>Укрепление материально-технической базы пищеблоков и столовых муниципальных общеобразовательных организаций в Архангельской области в целях создания условий для организации горячего питания обучающихся, получающих начальное общее образование</t>
  </si>
  <si>
    <t>\</t>
  </si>
  <si>
    <t>Содержание, ремонт, капитальный ремонт систем водоснабжения и водоотведения</t>
  </si>
  <si>
    <t>22 0 00 88341</t>
  </si>
  <si>
    <t>Софинансирование капитального ремонта фасада здания музея и обустройство ограждения прилегающей территории</t>
  </si>
  <si>
    <t>04 0 00 85360</t>
  </si>
  <si>
    <t>08 2 00 80199</t>
  </si>
  <si>
    <t>08 2 00 86841</t>
  </si>
  <si>
    <t>Реализация мер по обеспечению безопасности граждан и антитеррористической защищенности объектов образовательных организаций (Киземская СОШ)</t>
  </si>
  <si>
    <t>08 2 00 86842</t>
  </si>
  <si>
    <t>Реализация мер по обеспечению безопасности граждан и антитеррористической защищенности объектов образовательных организаций (Устьянская СОШ)</t>
  </si>
  <si>
    <t xml:space="preserve"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</t>
  </si>
  <si>
    <t>06 2 00 S812Д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</si>
  <si>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 сельских поселений</t>
  </si>
  <si>
    <t>06 1 00 83092</t>
  </si>
  <si>
    <t>2024 год</t>
  </si>
  <si>
    <t>08 1  00 78390</t>
  </si>
  <si>
    <t>08 1 00 78390</t>
  </si>
  <si>
    <t>Софинансирование на конкурсной основе инициативных проектов по решению вопросов местного значения</t>
  </si>
  <si>
    <t>Капитальный ремонт МБОУ "Киземская СОШ"</t>
  </si>
  <si>
    <t>08 6 00 S6980</t>
  </si>
  <si>
    <t>08 6 00 00000</t>
  </si>
  <si>
    <t>340</t>
  </si>
  <si>
    <t>08 3 00 88104</t>
  </si>
  <si>
    <t>Софинансирование расходов по ремонту оздоровительного лагеря "Колос"</t>
  </si>
  <si>
    <t>Стипендии</t>
  </si>
  <si>
    <t>Приложение № 6</t>
  </si>
  <si>
    <t>12 0 А1 55970</t>
  </si>
  <si>
    <t xml:space="preserve">"Федеральный проект ""Культурная среда"
</t>
  </si>
  <si>
    <t>12 0 А1 00000</t>
  </si>
  <si>
    <t>12 0 A1 55130</t>
  </si>
  <si>
    <t>Развитие сети учреждений культурно-досугового типа</t>
  </si>
  <si>
    <t>12 0 00 76810</t>
  </si>
  <si>
    <t>Ремонт зданий муниципальных учреждений культуры</t>
  </si>
  <si>
    <t>12 0 00 L5198</t>
  </si>
  <si>
    <t>12 0 A2 55194</t>
  </si>
  <si>
    <t>12 0 А2 55194</t>
  </si>
  <si>
    <t>Федеральный проект "Творческие люди"</t>
  </si>
  <si>
    <t xml:space="preserve">Государственная поддержка лучших работников сельских учреждений культуры </t>
  </si>
  <si>
    <t>08 1 00 80188</t>
  </si>
  <si>
    <t>08 2 00 L7500</t>
  </si>
  <si>
    <t>Реализация мероприятий по модернизации школьных систем образования</t>
  </si>
  <si>
    <t>08 1 00 80193</t>
  </si>
  <si>
    <t>Питание в интернате за счет средств местного бюджета</t>
  </si>
  <si>
    <t>81 2 00 94060</t>
  </si>
  <si>
    <t>Межбюджетные трансферты бюджетам муниципальных районов из бюджетов поселений по передаваемым полномочиям по решению вопроса местного значения по контролю за исполнением местного бюджета в части осуществления внутреннего муниципального финансового контроля в соответствии с заключенными соглашениями</t>
  </si>
  <si>
    <t>10 0 J1 00000</t>
  </si>
  <si>
    <t>Федеральный проект "Развитие туристической инфраструктуры"</t>
  </si>
  <si>
    <t>Государственная поддержка инвестиционных проектов путем софинансирования строительства (реконструкции) объектов обеспечивающей инфраструктуры с длительным сроком окупаемости (дорожный фонд Архангельской области)</t>
  </si>
  <si>
    <t>10 0 J1 5336Д</t>
  </si>
  <si>
    <t>04 0 00  L5760</t>
  </si>
  <si>
    <t>Обеспечение комплексного развития сельских территорий</t>
  </si>
  <si>
    <t>08 2 00 78180</t>
  </si>
  <si>
    <t>Капитальный ремонт зданий муниципальных общеобразовательных организаций</t>
  </si>
  <si>
    <t>83 0 00 94050</t>
  </si>
  <si>
    <t>08 1 00 80151</t>
  </si>
  <si>
    <t>Субсидия на участие в мероприятиях направленных на повышение престижа профессии педагог</t>
  </si>
  <si>
    <t>05 0 00 81155</t>
  </si>
  <si>
    <t>Оказание поддержки в продвижении товаров местных товаропроизводителей путем выставочно-ярмарочной деятельности</t>
  </si>
  <si>
    <t>13 0 00 88520</t>
  </si>
  <si>
    <t>21 0 00 80053</t>
  </si>
  <si>
    <t xml:space="preserve">Текущий ремонт недвижимого имущества </t>
  </si>
  <si>
    <t>08 7 00 80151</t>
  </si>
  <si>
    <t>Субсидии на разработку проектно-сметной документации, проведение государственной экспертизы ПСД на капитальный ремонт образовательных учреждений</t>
  </si>
  <si>
    <t>22 0 00 83181</t>
  </si>
  <si>
    <t>Мероприятия в целях проведения текущего ремонта жилого фонда</t>
  </si>
  <si>
    <t>Проектирование, строительство и реконструкция автомобильных дорог общего пользования местного значения и искусственных сооружений на них в границах муниципального района, за исключением автомобильных дорог в границах населенных пунктов городского поселения "Октябрьское" ( Илеза - Митинская )</t>
  </si>
  <si>
    <t>12 0  00 85055</t>
  </si>
  <si>
    <t>Расходы по внесению изменений в дизайн-проект интерьера общественного помещения районной детской библиотеки расположенной по адресу: п Октябрьский ул Ленина д 21</t>
  </si>
  <si>
    <t xml:space="preserve">Капитальный ремонт недвижимого имущества </t>
  </si>
  <si>
    <t>Капитальный ремонт недвижимого имущества</t>
  </si>
  <si>
    <t>Мероприятия в целях проведения  капитального ремонта жилого фонда</t>
  </si>
  <si>
    <t>Приложение № 4</t>
  </si>
  <si>
    <t>12 0 00 85017</t>
  </si>
  <si>
    <t>Текущий ремонт учреждений культуры</t>
  </si>
  <si>
    <t>12 0 01 76810</t>
  </si>
  <si>
    <t>12 0 02 76810</t>
  </si>
  <si>
    <t>Ремонт зданий муниципальных учреждений культуры (Музей)</t>
  </si>
  <si>
    <t>Участие в мероприятиях направленных на повышение престижа профессии педагог</t>
  </si>
  <si>
    <t>Софинансирование на участие в конкурсе по обустройству и модернизации плоскостных спортивных сооружений муниципальных образований - устройство бесшовного резинового покрытия спортивных площадок</t>
  </si>
  <si>
    <t>Управление строительства и инфраструктуры администрации МО "Устьянский муниципальный район"</t>
  </si>
  <si>
    <t>06 3 00 83091</t>
  </si>
  <si>
    <t>Проектирование, строительство и реконструкция автомобильных дорог общего пользования местного значения и искусственных сооружений на них в границах муниципального района, за исключением автомобильных дорог в границах населенных пунктов городского поселения "Октябрьское"</t>
  </si>
  <si>
    <t>06 3 00 00000</t>
  </si>
  <si>
    <t>06 5 00 00000</t>
  </si>
  <si>
    <r>
      <t xml:space="preserve">Гашение кредиторской задолженности прошлых лет, связанной с финансовым обеспечением дорожной деятельности </t>
    </r>
    <r>
      <rPr>
        <u/>
        <sz val="10"/>
        <rFont val="Arial"/>
        <family val="2"/>
        <charset val="204"/>
      </rPr>
      <t>вне границ</t>
    </r>
    <r>
      <rPr>
        <sz val="10"/>
        <rFont val="Arial"/>
        <family val="2"/>
        <charset val="204"/>
      </rPr>
      <t xml:space="preserve"> населенных пунктов в границах муниципального района, включая обеспечение безопасности дорожного движения на них</t>
    </r>
  </si>
  <si>
    <r>
      <t xml:space="preserve">Гашение кредиторской задолженности прошлых лет, связанной с финансовым обеспечением дорожной деятельности </t>
    </r>
    <r>
      <rPr>
        <u/>
        <sz val="10"/>
        <rFont val="Arial"/>
        <family val="2"/>
        <charset val="204"/>
      </rPr>
      <t>в границах</t>
    </r>
    <r>
      <rPr>
        <sz val="10"/>
        <rFont val="Arial"/>
        <family val="2"/>
        <charset val="204"/>
      </rPr>
      <t xml:space="preserve"> населенных пунктов в границах муниципального района, включая обеспечение безопасности дорожного движения на них</t>
    </r>
  </si>
  <si>
    <t>06 6 00 83097</t>
  </si>
  <si>
    <t>06 5 00 83096</t>
  </si>
  <si>
    <t>06 7 00 00000</t>
  </si>
  <si>
    <r>
      <t xml:space="preserve">Гашение кредиторской задолженности прошлых лет, связанной с финансовым обеспечением дорожной деятельности </t>
    </r>
    <r>
      <rPr>
        <u/>
        <sz val="10"/>
        <rFont val="Arial"/>
        <family val="2"/>
        <charset val="204"/>
      </rPr>
      <t>в границах</t>
    </r>
    <r>
      <rPr>
        <sz val="10"/>
        <rFont val="Arial"/>
        <family val="2"/>
        <charset val="204"/>
      </rPr>
      <t xml:space="preserve"> населенных пунктов в границах муниципального района, включая обеспечение безопасности дорожного движения на них за счет остаткасредств ликвидируемых муниципальных дорожных фондов сельских поселений на 01.01.2016г</t>
    </r>
  </si>
  <si>
    <t>06 7 00 83098</t>
  </si>
  <si>
    <t>к  решению сессии шестого созыва Собрания депутатов № 453  от 18 февраля 2022 года</t>
  </si>
  <si>
    <t>к  решению сессии шестого созыва Собрания депутатов                                  № 453 от 18 февраля 2022 года</t>
  </si>
  <si>
    <t>07 0 F3 6748S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</si>
  <si>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 местного бюджета</t>
  </si>
  <si>
    <t>22 0 00 83154</t>
  </si>
  <si>
    <t>Выполнение работ по устройству тепловых сетей в п. Илеза</t>
  </si>
  <si>
    <t>08 2 00 82192</t>
  </si>
  <si>
    <t xml:space="preserve">Разработка проектно-сметной документации для строительства и реконтрукции (модернизации) объектов питьевого водоснабжения </t>
  </si>
  <si>
    <t>Текущий ремонт образовательных учреждений за счет средств местного бюджета</t>
  </si>
  <si>
    <t>Капитальный ремонт образовательных учреждений  за счет средств местного бюджета</t>
  </si>
  <si>
    <t>06 1 00 83099</t>
  </si>
  <si>
    <t>Выполнение работ по капитальному ремонту автомобильных дорог общего пользования местного значения МО "Шангальское"</t>
  </si>
  <si>
    <t>12 0  00 S8310</t>
  </si>
  <si>
    <t>Материально-техническое обеспечение пожарной безопасности муниципального образования по обеспечению пожарной безопасности жилых и общественных зданий, находящихся в муниципальной собственности</t>
  </si>
  <si>
    <t>11 0 00 88917</t>
  </si>
  <si>
    <t>Предоставление иных межбюджетных трансфертов, передаваемых бюджетам сельских поселений Устьянского района Архангельской области из бюджета Устьянского муниципального района на осуществление полномочий, связанных с участием в организации деятельности по накоплению (в том числе раздельному накоплению) и транспортированию твердых коммунальных отходов</t>
  </si>
  <si>
    <t xml:space="preserve">Приобретение техники по содержанию улично-дорожной сети </t>
  </si>
  <si>
    <t>0680000000</t>
  </si>
  <si>
    <t>Приобретение техники для выполнения работ по дорожной деятельности</t>
  </si>
  <si>
    <t>0690000000</t>
  </si>
  <si>
    <t>0690083061</t>
  </si>
  <si>
    <t>Осуществление иных мероприятий, связанных с выполнением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</si>
  <si>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Осуществление иных мероприятий (приобретение техники)</t>
  </si>
  <si>
    <t>0680083062</t>
  </si>
  <si>
    <t>06 800 00000</t>
  </si>
  <si>
    <t>06 800 83062</t>
  </si>
  <si>
    <t>06 900 00000</t>
  </si>
  <si>
    <t>06 900 83061</t>
  </si>
  <si>
    <t>Софинансирование расходов по капитальному ремонту автомобильных дорог общего пользования местного значения МО "Шангальское"</t>
  </si>
  <si>
    <t>06 1 00 83093</t>
  </si>
  <si>
    <t>244</t>
  </si>
  <si>
    <t xml:space="preserve">Капитальный ремонт автомобильных дорог общего пользования местного значения </t>
  </si>
  <si>
    <t xml:space="preserve">Приобретение техники по содержанию улично-дорожной деятельности </t>
  </si>
  <si>
    <t>25 0 R3 76880</t>
  </si>
  <si>
    <t>к  решению сессии шестого созыва Собрания депутатов № 467 от 25 марта 2022 года</t>
  </si>
  <si>
    <t>к  решению сессии шестого созыва Собрания депутатов                                  № 467 от 25 марта 2022 года</t>
  </si>
  <si>
    <t xml:space="preserve">Проведение экспертизы проектно-сметной документации объектов капитального ремонта  
</t>
  </si>
  <si>
    <t xml:space="preserve">Проведение экспертизы проектно-сметной документации объектов капитального ремонта
</t>
  </si>
  <si>
    <t>Капитальный ремонт образовательных учреждений за счет средств местного бюджета</t>
  </si>
  <si>
    <t>08 1 00 86980</t>
  </si>
  <si>
    <t>Обеспечение условий для развития кадрового потенциала муниципальных образовательных организаций в Архангельской области за счет местного бюджета</t>
  </si>
  <si>
    <t>23 0 00 78771</t>
  </si>
  <si>
    <t>Субсидия на осуществление строительного контроля при выполнении капитального ремонта здания музея</t>
  </si>
  <si>
    <t>12 0 00 86020</t>
  </si>
  <si>
    <t>Компенсация морального вреда</t>
  </si>
  <si>
    <t>96 0 00 81114</t>
  </si>
  <si>
    <t>12 0 00 86820</t>
  </si>
  <si>
    <t>Комплектование книжных фондов библиотек муниципальных образований Архангельской области и подписка на периодическую печать за счет средств местного бюджета</t>
  </si>
  <si>
    <t xml:space="preserve">Капитальный ремонт образовательных учреждений  за счет средств местного бюджета  </t>
  </si>
  <si>
    <t>Субвенции на предоставление государственного жилищного сертификата детям-сиротам и детям, оставшимся без попечения родителей, лицам из их числа на приобретение жилого помещения в Архангельской области (областной бюджет)</t>
  </si>
  <si>
    <t>к  решению сессии шестого созыва Собрания депутатов №499   от 20 мая 2022 года</t>
  </si>
  <si>
    <t>к  решению сессии шестого созыва Собрания депутатов № 499 от 20 мая 2022 года</t>
  </si>
  <si>
    <t>08 2 00 76850</t>
  </si>
  <si>
    <t>Реализация мероприятий по антитеррористической защищенности муниципальных образовательных организаций в Архангельской области</t>
  </si>
  <si>
    <t>08 2 00 80211</t>
  </si>
  <si>
    <t>Проведение работ по визуализации объекта капитального ремонта здания МБОУ "Киземская СОШ"</t>
  </si>
  <si>
    <t>23 0 00 87462</t>
  </si>
  <si>
    <t>Организация транспортного обслуживания населения на пассажирских муниципальных маршрутах автомобильного транспорта</t>
  </si>
  <si>
    <t>08 2 00 80202</t>
  </si>
  <si>
    <t>Мероприятия по развитию инфраструктуры муниципальных образовательных организаций (МБОУ "Киземская СОШ")</t>
  </si>
  <si>
    <t>11 0 00 88913</t>
  </si>
  <si>
    <t>Мероприятия по содержанию контейнерных площадок и мест накопления ТКО</t>
  </si>
  <si>
    <t>08 2 00 80203</t>
  </si>
  <si>
    <t>Проведение работ по визуализации объекта капитального ремонта здания МБОУ "Устьянская СОШ"</t>
  </si>
  <si>
    <t>Устройство каркасно-модульной котельной в д. Ульяновская</t>
  </si>
  <si>
    <t>20 0 00 81524</t>
  </si>
  <si>
    <t>22 0 00 83161</t>
  </si>
  <si>
    <t>22 0 00 83155</t>
  </si>
  <si>
    <t>Выполнение работ по вывозке ЖБО</t>
  </si>
  <si>
    <t>Предоставление субсидии муниципальным унитарным предприятиям муниципального образования "Устьянский муниципальный район", в целях предупреждения банкротства и восстановления платежеспособности</t>
  </si>
  <si>
    <t>к  решению сессии шестого созыва Собрания депутатов № 515 от 24 июня 2022 года</t>
  </si>
  <si>
    <t>к решению сессии шестого созыва Собрания депутатов № 515 от 24 июня 2022 года</t>
  </si>
  <si>
    <t>87 0 00 000000</t>
  </si>
  <si>
    <t>08 2 00 78900</t>
  </si>
  <si>
    <t>Реализация мероприятий по развитию инфраструктуры муниципальных образовательных организаций в Архангельской области</t>
  </si>
  <si>
    <t>81 1 00 74790</t>
  </si>
  <si>
    <t>Поощрение муниципальных управленческих команд за достижение показателей деятельности органов исполнительной власти субъектов Российской Федерации за счет дотации (гранта) из федерального бюджета</t>
  </si>
  <si>
    <t>11 0 00 S6740</t>
  </si>
  <si>
    <t>Реализация мероприятий в сфере обращения с отходами производства и потребления, в том числе с твердыми коммунальными отходами</t>
  </si>
  <si>
    <t>08 2 00 80204</t>
  </si>
  <si>
    <t>08 2 00 80205</t>
  </si>
  <si>
    <t>08 2 00 80206</t>
  </si>
  <si>
    <t>08 2 00 80207</t>
  </si>
  <si>
    <t>08 2 00 80208</t>
  </si>
  <si>
    <t>Субсидия на разработку проектно-сметной документации, экспертизу в АРЦЦС на устройство пожарной сигнализации в зданиях МБОУ "Киземская СОШ"</t>
  </si>
  <si>
    <t>Субсидия на приобретение материалов и установку ограждений МБОУ "Дмитриевский СОШ"</t>
  </si>
  <si>
    <t>Субсидия на актуализацию проектно - сметной документации строительства спортивного зала МБОУ "ОСОШ № 1"</t>
  </si>
  <si>
    <t>Субсидия на государственную экспертизу проектно-сметной документации по капитальному ремонту зданий МБОУ "Ульяновская СОШ" и филиал "Ростовская ОШ"</t>
  </si>
  <si>
    <t>12 0  00 85056</t>
  </si>
  <si>
    <t>Субсидия на устройство склада для хранения не являющегося объектом капитального строительства</t>
  </si>
  <si>
    <t>12 0  00 85057</t>
  </si>
  <si>
    <t xml:space="preserve">Субсидия на установку дополнительных радиаторов отопления в здании Малодорского ДК </t>
  </si>
  <si>
    <t>12 0  00 85058</t>
  </si>
  <si>
    <t>12 0  00 85059</t>
  </si>
  <si>
    <t>Капитальный ремонт кровли здания ДК п.Мирный</t>
  </si>
  <si>
    <t>08 2 00 80209</t>
  </si>
  <si>
    <t>Субсидия на приобретение, установку оборудования и подключение мобильного интернета для МБУК "УМЦРБ"</t>
  </si>
  <si>
    <t>12 0  00 85061</t>
  </si>
  <si>
    <t>Субсидия на демонтаж аварийного участка тепломагистрали и подключение к действующей тепломагистрали Дмитриевского ДК</t>
  </si>
  <si>
    <t>Субсидия на устройство склада древесного топлива не являющегося объектом капитального строительства</t>
  </si>
  <si>
    <t xml:space="preserve">Проектные и предпроектные работы в целях капитального ремонта искусственных сооружений (моста) по дороге п.Илеза - д.Митинская </t>
  </si>
  <si>
    <t>06 1 00 83101</t>
  </si>
  <si>
    <t>Субсидия на установку септика в рамках капитального ремонта МБОУ "Киземская СОШ"</t>
  </si>
  <si>
    <t>к  решению сессии шестого созыва Собрания депутатов № 525 от 23 сентября 2022 года</t>
  </si>
  <si>
    <t>к решению сессии шестого созыва Собрания депутатов № 525 от 23 сентября 2022 года</t>
  </si>
  <si>
    <t>Осуществление государственных полномочий по финансовому обеспечению оплаты стоимости питания детей в организациях отдыха детей и их оздоровления с дневным пребыванием детей в каникулярное время</t>
  </si>
  <si>
    <t>Государственная поддержка отрасли культуры (реализация мероприятий по модернизации библиотек в части комплектования книжных фондов муниципальных библиотек)</t>
  </si>
  <si>
    <t>Создание условий для обеспечения поселений и жителей муниципальных и городских округов услугами торговли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</si>
  <si>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– Фонда содействия реформированию жилищно-коммунального хозяйства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</si>
  <si>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 субъектов Российской Федерации</t>
  </si>
  <si>
    <t>Реализация образовательных программ</t>
  </si>
  <si>
    <t>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</si>
  <si>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 на территории Архангельской области</t>
  </si>
  <si>
    <t>81 2 01 78790</t>
  </si>
  <si>
    <t>Осуществление государственных полномочий по созданию комиссий по делам несовершеннолетних и защите их прав</t>
  </si>
  <si>
    <t>Единая субвенция местным бюджетам</t>
  </si>
  <si>
    <t>81 2 02 78790</t>
  </si>
  <si>
    <t>Осуществление государственных полномочий по организации и осуществлению деятельности по опеке и попечительству</t>
  </si>
  <si>
    <t>81 2 03 78790</t>
  </si>
  <si>
    <t xml:space="preserve">Осуществление государственных полномочий в сфере административных правонарушений </t>
  </si>
  <si>
    <t>360</t>
  </si>
  <si>
    <t>Иные выплаты населению</t>
  </si>
  <si>
    <t>Оснащение медицинских кабинетов в образовательных учреждениях</t>
  </si>
  <si>
    <t>08 1 00 80152</t>
  </si>
  <si>
    <t>Реализация мероприятий по социально-экономическому развитию муниципальных округов</t>
  </si>
  <si>
    <t>08 2 00 78160</t>
  </si>
  <si>
    <t>Текущий ремонт учреждений дополнительного образования</t>
  </si>
  <si>
    <t>12 0  00 85018</t>
  </si>
  <si>
    <t>12 0  00 85070</t>
  </si>
  <si>
    <t>12 0  00 85071</t>
  </si>
  <si>
    <t>12 0  00 85072</t>
  </si>
  <si>
    <t>12 0  00 85073</t>
  </si>
  <si>
    <t xml:space="preserve">Субсидия на оплату услуг по установке системы видеонаблюдения </t>
  </si>
  <si>
    <t>12 0  00 85074</t>
  </si>
  <si>
    <t>Услуги по изготовлению технического паспорта и плана помещений для РДБ</t>
  </si>
  <si>
    <t>12 0  00 85075</t>
  </si>
  <si>
    <t>Субсидия на оплату услуг по обработке огнезащитным составом деревянных конструкций</t>
  </si>
  <si>
    <t>Мероприятия по развитию инфраструктуры муниципальных образовательных организаций (МБОУ "Устьянская СОШ")</t>
  </si>
  <si>
    <t>08 2 00 80302</t>
  </si>
  <si>
    <t>12 0 00 78160</t>
  </si>
  <si>
    <t>Ремонт источников центрального водоснабжения в населенных пунктах Устьянского муниципального округа (7 ед.)</t>
  </si>
  <si>
    <t>22 0 01 78160</t>
  </si>
  <si>
    <t>22 0 02 78160</t>
  </si>
  <si>
    <t>Проведение ремонта водоразборных колонок  Дмитриево (5 ед.)</t>
  </si>
  <si>
    <t>Ремонт и установка светильников уличного освещения в населенных пунктах Устьянского муниципального округа</t>
  </si>
  <si>
    <t>22 0 04 78160</t>
  </si>
  <si>
    <t>Реконструкция котельной в д.Левоплосская с переходом оборудования на биотопливо</t>
  </si>
  <si>
    <t>22 0 05 78160</t>
  </si>
  <si>
    <t>Модернизация котельной по ул.Школьная с.Шангалы</t>
  </si>
  <si>
    <t>Ремонт дороги «Лойга-Кизема» круглогодичного действия</t>
  </si>
  <si>
    <t>06 0 06 78160</t>
  </si>
  <si>
    <t>06 0 07 78160</t>
  </si>
  <si>
    <t>Капитальный ремонт моста через реку Сереж на автомобильной дороге п. Илеза — д. Митинская Устьянского района Архангельской области</t>
  </si>
  <si>
    <t>06 0 08 78160</t>
  </si>
  <si>
    <t>Ремонт межпоселенческих дорог и мостовых переходов  Березницкое</t>
  </si>
  <si>
    <t>06 0 09 78160</t>
  </si>
  <si>
    <t>Асфальтирование автомобильной дороги общего пользования местного значения с.Малодоры,  ул Центральная протяженностью  300 метров</t>
  </si>
  <si>
    <t>26 0 03 78160</t>
  </si>
  <si>
    <t xml:space="preserve">Муниципальная программа "Благоустройство территории Устьянского муниципального округа" </t>
  </si>
  <si>
    <t>26 0 10 78160</t>
  </si>
  <si>
    <t>Строительство детской, спортивной площадки в п.Квазеньга</t>
  </si>
  <si>
    <t>11 0 11 78160</t>
  </si>
  <si>
    <t>07 0 12 78160</t>
  </si>
  <si>
    <t>Содержание мест (площадок) накопления (в том числе раздельного накопления) твердых коммунальных отходов</t>
  </si>
  <si>
    <t>20 0 13 78160</t>
  </si>
  <si>
    <t>Обеспечение пожарной безопасности жилых и общественных зданий, находящихся в муниципальной собственности</t>
  </si>
  <si>
    <t>98 0 00 80010</t>
  </si>
  <si>
    <t>Обеспечение деятельности территориального отдела "Октябрьское"</t>
  </si>
  <si>
    <t>98 0 00 00000</t>
  </si>
  <si>
    <t>26 0 00 83200</t>
  </si>
  <si>
    <t>22 0 00 83156</t>
  </si>
  <si>
    <t>Проведение обследования всех МКД</t>
  </si>
  <si>
    <t>22 0 00 83157</t>
  </si>
  <si>
    <t>Актуализация схем теплоснабжения, водоснабжения, водоотведения</t>
  </si>
  <si>
    <t>22 0 00 87158</t>
  </si>
  <si>
    <t>81 2 00 76450</t>
  </si>
  <si>
    <t>Софинансирование выплаты выходных пособий и сохранения среднего месячного заработка на период трудоустройства в связи с ликвидацией органов местного самоуправления вследствие создания муниципального округа Архангельской области</t>
  </si>
  <si>
    <t>81 2 00 78630</t>
  </si>
  <si>
    <t>Мера социальной поддержки отдельным категориям лиц, замещавших муниципальные должности, в случае досрочного прекращения их полномочий в связи с созданием муниципального округа Архангельской области</t>
  </si>
  <si>
    <t>99 0 00 00000</t>
  </si>
  <si>
    <t>99 0 00 51180</t>
  </si>
  <si>
    <t>Непрограммные расходы в сфере национальной обороны</t>
  </si>
  <si>
    <t>2025 год</t>
  </si>
  <si>
    <t>Муниципальная программа "Ремонт и пожарная безопасность недвижимого имущества Устьянского муниципального округа</t>
  </si>
  <si>
    <t>Муниципальная программа "Комплексное развитие Устьянского муниципального округа и государственная  поддержка социально-ориентированных некоммерческих организаций"</t>
  </si>
  <si>
    <t>Муниципальная программа "Обеспечение жильем молодых семей Устьянского муниципального округа"</t>
  </si>
  <si>
    <t>Муниципальная программа "Управление муниципальным имуществом Устьянского муниципального округа"</t>
  </si>
  <si>
    <t>Муниципальная программа "Комплексное развитие сельских территорий Устьянского муниципального округа"</t>
  </si>
  <si>
    <t>Муниципальная программа "Развитие АПК и торговли Устьянского муниципального округа"</t>
  </si>
  <si>
    <t>Муниципальная программа "Развитие транспортной системы Устьянского муниципального округа"</t>
  </si>
  <si>
    <t xml:space="preserve"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муниципального округа" </t>
  </si>
  <si>
    <t>Муниципальная программа "Развитие образования Устьянского муниципального округа"</t>
  </si>
  <si>
    <t xml:space="preserve">Муниципальная программа «Развитие туризма на территории Устьянского муниципального округа" </t>
  </si>
  <si>
    <t>Муниципальная программа "Безопасное обращение с отходами производства и потребления на территории Устьянского муниципального округа"</t>
  </si>
  <si>
    <t>Муниципальная программа "Развитие культуры Устьянского муниципального округа"</t>
  </si>
  <si>
    <t xml:space="preserve">Муниципальная программа «Развитие физкультуры и спорта на территории Устьянского муниципального округа» </t>
  </si>
  <si>
    <t>Муниципальная программа "Развитие малого и среднего предпринимательства на территории Устьянского муниципального округа"</t>
  </si>
  <si>
    <t xml:space="preserve">Муниципальная программа «Молодежь Устьянского муниципального округа"  </t>
  </si>
  <si>
    <t>Муниципальная программа "Профилактика преступлений, терроризма, экстремизма и иных правонарушений на территории Устьянского муниципального округа"</t>
  </si>
  <si>
    <t>Муниципальная программа "Профилактика безнадзорности и правонарушений несовершеннолетних на территории Устьянского муниципального округа"</t>
  </si>
  <si>
    <t>Муниципальная программа "Управление муниципальными финансами и муниципальным долгом Устьянского муниципального округа"</t>
  </si>
  <si>
    <t>Муниципальная программа "Обеспечение мероприятий в области гражданской обороны, защиты населения и территории Устьянского муниципального округа от чрезвычайных ситуаций, обеспечения пожарной безопасности и безопасности на водных объектах"</t>
  </si>
  <si>
    <t xml:space="preserve">Муниципальная программа "Комплексное развитие систем коммунальной инфраструктуры на территории Устьянского муниципального округа" </t>
  </si>
  <si>
    <t>Муниципальная программа "Социальная поддержка граждан Устьянского муниципального округа"</t>
  </si>
  <si>
    <t>Муниципальная программа "Борьба с борщевиком Сосновского на территории Устьянского муниципального округа"</t>
  </si>
  <si>
    <t>Муниципальная программа  "Развитие АПК и торговли Устьянского муниципального округа"</t>
  </si>
  <si>
    <t>Распределение бюджетных ассигнований на реализацию муниципальных программ  и непрограммных направлений деятельности бюджета Устьянского муниципального округа на 2023 год и плановый период 2024 и 2025 годов</t>
  </si>
  <si>
    <t xml:space="preserve">Распределение бюджетных ассигнований по разделам и подразделам классификации расходов бюджета Устьянского муниципального округа на 2023 год и на плановый период 2024 и 2025 годов </t>
  </si>
  <si>
    <t xml:space="preserve">Ведомственная структура расходов бюджета Устьянского муниципального округа на 2023 год и на плановый период 2024 и 2025 годов </t>
  </si>
  <si>
    <t>07 0 00 83156</t>
  </si>
  <si>
    <t>04 0 00 89201</t>
  </si>
  <si>
    <t>04 0 00 89202</t>
  </si>
  <si>
    <t>Благоустройство футбольного поля в п. Октябрьский</t>
  </si>
  <si>
    <t>Условно утвержденные расходы</t>
  </si>
  <si>
    <t>26 0 00 83160</t>
  </si>
  <si>
    <t>26 0 00 83165</t>
  </si>
  <si>
    <t>26 0 00 83166</t>
  </si>
  <si>
    <t>Содержание, капитальный ремонт, ремонт и обустройство автомобильных дорог общего пользования местного значения, включая обеспечение безопасности дорожного движения на них, в границах муниципального округа</t>
  </si>
  <si>
    <t>Подпрограмма "Управление муниципальным долгом Устьянского муниципального округа"</t>
  </si>
  <si>
    <t>Подпрограмма "Организация и обеспечение бюджетного процесса и развитие информационных систем управления финансами в Устьянском муниципальном округе"</t>
  </si>
  <si>
    <t>Плата за ограниченное пользование частями земельного участка (плата за сервитут) по соглашению с ОАО "РЖД"</t>
  </si>
  <si>
    <t>Реализация мероприятий по социально-экономическому развитию муниципальных округов (Снос многоквартирных домов, признанных аварийными и подлежащими сносу, в связи с решением)</t>
  </si>
  <si>
    <t>Реализация мероприятий по социально-экономическому развитию муниципальных округов (Ремонт дороги «Лойга-Кизема» круглогодичного действия)</t>
  </si>
  <si>
    <t>Реализация мероприятий по социально-экономическому развитию муниципальных округов (Реконструкция котельной в д.Левоплосская с переходом оборудования на биотопливо)</t>
  </si>
  <si>
    <t>Реализация мероприятий по социально-экономическому развитию муниципальных округов (Строительство детской, спортивной площадки в п.Квазеньга)</t>
  </si>
  <si>
    <t>Единая субвенция местным бюджетам (Осуществление государственных полномочий по организации и осуществлению деятельности по опеке и попечительству)</t>
  </si>
  <si>
    <t>Единая субвенция местным бюджетам (Осуществление государственных полномочий по созданию комиссий по делам несовершеннолетних и защите их прав)</t>
  </si>
  <si>
    <t>Единая субвенция местным бюджетам (Осуществление государственных полномочий в сфере административных правонарушений)</t>
  </si>
  <si>
    <t>выделить сумму на персонифициров финансирование</t>
  </si>
  <si>
    <t>КБК 08 1 03 78620</t>
  </si>
  <si>
    <t>Подпрограмма "Развитие дошкольного, общего и дополнительного образования Устьянского муниципального округа"</t>
  </si>
  <si>
    <t>Софинансирование технического оснащения муниципальных музеев</t>
  </si>
  <si>
    <t>Создание дизайн-проекта основной экспозиции музея</t>
  </si>
  <si>
    <t>03 0 14 78160</t>
  </si>
  <si>
    <t>06 1 00 84092</t>
  </si>
  <si>
    <t>20 0 00 81541</t>
  </si>
  <si>
    <t>Первичные меры пожарной безопасности</t>
  </si>
  <si>
    <t>20 0 00 81542</t>
  </si>
  <si>
    <t>Организация деятельности добровольных пожарных дружин</t>
  </si>
  <si>
    <t>Уплата взносов на кап.ремонт многоквартирных домов</t>
  </si>
  <si>
    <t>Реализация мероприятий по социально-экономическому развитию муниципальных округов (Снос (демонтаж) здания дома культуры расположенного по адресу: с.Шангалы, ул. Ленина,40)</t>
  </si>
  <si>
    <t>Организация и проведение мероприятий, направленных на развитие туризма в Устьянском муниципальном округе</t>
  </si>
  <si>
    <t>Проведение культурных мероприятий на территории Устьянского муниципального округа</t>
  </si>
  <si>
    <t>Создание безопасной инфраструктуры образовательных организаций Устьянского муниципального округа</t>
  </si>
  <si>
    <t>Реализация мероприятий по социально-экономическому развитию муниципальных округов (Капитальный ремонт моста через реку Сереж на автомобильной дороге п. Илеза - д. Митинская Устьянского муниципального округа Архангельской области)</t>
  </si>
  <si>
    <t>Мероприятия в области переселения граждан из ветхого и аварийного жилья Устьянского муниципального округа Архангельской области</t>
  </si>
  <si>
    <t>Председатель представительного органа муниципального округа</t>
  </si>
  <si>
    <t>Депутаты представительного органа муниципального округа</t>
  </si>
  <si>
    <t>Обеспечение деятельности контрольно-счетной комиссии Устьянского муниципального округа</t>
  </si>
  <si>
    <t>Контрольно-счетная комиссия Устьянского муниципального округа Архангельской области</t>
  </si>
  <si>
    <t>Обеспечение деятельности территориального управления "Октябрьское"</t>
  </si>
  <si>
    <t>Глава муниципального округа</t>
  </si>
  <si>
    <t>Обеспечение функционирования Главы и администрации муниципального округа</t>
  </si>
  <si>
    <t>Администрация муниципального округа</t>
  </si>
  <si>
    <t>Реализация мероприятий по социально-экономическому развитию муниципальных округов (Снос многоквартирных домов, признанных аварийными и подлежащими сносу, в связи с решением, рп.Октябрьский, с. Шангалы, с.Малодоры)</t>
  </si>
  <si>
    <t>Проведение ремонта водоразборных колонок д. Алферовская (5 ед.)</t>
  </si>
  <si>
    <t>Реализация мероприятий по социально-экономическому развитию муниципальных округов (Проведение ремонта водоразборных колонок д. Алферовская (5 ед.))</t>
  </si>
  <si>
    <t>Реализация мероприятий по социально-экономическому развитию муниципальных округов (Модернизация котельной по ул.50 лет Октября, д. 1а, с. Шангалы)</t>
  </si>
  <si>
    <t>21 0 13 78160</t>
  </si>
  <si>
    <t>21 0 14 78160</t>
  </si>
  <si>
    <t>мероприятия - Подготовка землеустроительной документации на земельные участки для проведения разграничения государственной собственности на земельные участки, предоставление земельных участков в аренду, в постоянное пользование, безвозмездное пользование, в собственность, проведение муниципального контроля в отношении земельных участков и муниципального имущества, в том числе почтовые расходы</t>
  </si>
  <si>
    <t>мероприятие - Организация получения услуг по оценке рыночной стоимости и права аренды земельных участков, находящихся в муниципальной собственности и государственная собственность на которые не разграничена, оценке рыночной стоимости и права аренды муниципального имущества, в целях предоставления на аукционах, в том числе почтовые расходы</t>
  </si>
  <si>
    <t>Капитальный ремонт структурных подразделений МБУК "ОЦДК"</t>
  </si>
  <si>
    <t>03 0 12 78160</t>
  </si>
  <si>
    <t>11 0 00 89201</t>
  </si>
  <si>
    <t>08 2 00 80198</t>
  </si>
  <si>
    <t>Капитальный ремонт МБОУ "Устьянская СОШ"</t>
  </si>
  <si>
    <t>УПРАВЛЕНИЕ КУЛЬТУРЫ, СПОРТА, ТУРИЗМА И МОЛОДЕЖИ АДМИНИСТРАЦИИ УСТЬЯНСКОГО МУНИЦИПАЛЬНОГО ОКРУГА АРХАНГЕЛЬСКОЙ ОБЛАСТИ</t>
  </si>
  <si>
    <t>КОМИТЕТ ПО УПРАВЛЕНИЮ МУНИЦИПАЛЬНЫМ ИМУЩЕСТВОМ АДМИНИСТРАЦИИ УСТЬЯНСКОГО МУНИЦИПАЛЬНОГО ОКРУГА АРХАНГЕЛЬСКОЙ ОБЛАСТИ</t>
  </si>
  <si>
    <t>УПРАВЛЕНИЕ ОБРАЗОВАНИЯ АДМИНИСТРАЦИИ УСТЬЯНСКОГО МУНИЦИПАЛЬНОГО ОКРУГА АРХАНГЕЛЬСКОЙ ОБЛАСТИ</t>
  </si>
  <si>
    <t>ФИНАНСОВОЕ УПРАВЛЕНИЕ АДМИНИСТРАЦИИ УСТЬЯНСКОГО МУНИЦИПАЛЬНОГО ОКРУГА АРХАНГЕЛЬСКОЙ ОБЛАСТИ</t>
  </si>
  <si>
    <t>АДМИНИСТРАЦИЯ УСТЬЯНСКОГО МУНИЦИПАЛЬНОГО ОКРУГА АРХАНГЕЛЬСКОЙ ОБЛАСТИ</t>
  </si>
  <si>
    <t>СОБРАНИЕ ДЕПУТАТОВ УСТЬЯНСКОГО МУНИЦИПАЛЬНОГО ОКРУГА АРХАНГЕЛЬСКОЙ ОБЛАСТИ</t>
  </si>
  <si>
    <t>КОНТРОЛЬНО-СЧЕТНАЯ КОМИССИЯ УСТЬЯНСКОГО МУНИЦИПАЛЬНОГО ОКРУГА АРХАНГЕЛЬСКОЙ ОБЛАСТИ</t>
  </si>
  <si>
    <t>ОКТЯБРЬСКОЕ ТЕРРИТОРИАЛЬНОЕ УПРАВЛЕНИЕ АДМИНИСТРАЦИИ УСТЬЯНСКОГО МУНИЦИПАЛЬНОГО ОКРУГА АРХАНГЕЛЬСКОЙ ОБЛАСТИ</t>
  </si>
  <si>
    <t>12 0 17 78160</t>
  </si>
  <si>
    <t xml:space="preserve">Реализация мероприятий по социально-экономическому развитию муниципальных округов (Капитальный ремонт теплового узла и системы отопления в здании муниципального бюджетного учреждения дополнительного образования детская школа искусств «Радуга», расположенного по адресу: дер. Юрятинская, 
д. 45)
</t>
  </si>
  <si>
    <t>12 0 18 78160</t>
  </si>
  <si>
    <t>12 0 19 78160</t>
  </si>
  <si>
    <t>12 0 20 78160</t>
  </si>
  <si>
    <t xml:space="preserve">Реализация мероприятий по социально-экономическому развитию муниципальных округов (Капитальный ремонт помещения структурного подразделения Малодорская библиотека муниципального бюджетного учреждения культуры «Устьянская межпоселенческая центральная районная библиотека», расположенного по адресу: Архангельская область, Устьянский район, с. Малодоры, ул. Школьная, д. 8)
</t>
  </si>
  <si>
    <t>12 0 21 78160</t>
  </si>
  <si>
    <t>12 0 22 78160</t>
  </si>
  <si>
    <t>Реализация мероприятий по социально-экономическому развитию муниципальных округов (Установка системы видеонаблюдения в здании муниципального бюджетного учреждения культуры «Устьянский краеведческий музей»)</t>
  </si>
  <si>
    <t>03 0 16 78160</t>
  </si>
  <si>
    <t>08 2 23 78160</t>
  </si>
  <si>
    <t>08 2 24 78160</t>
  </si>
  <si>
    <t>08 2 25 78160</t>
  </si>
  <si>
    <t>Реализация мероприятий по социально-экономическому развитию муниципальных округов (Создание условий, отвечающих требованиям пожарной безопасности образовательных учреждений. Обработка чердачных помещений в здании муниципального бюджетного общеобразовательного учреждения «Дмитриевская средняя общеобразовательная школа» структурное подразделение детский сад «Колобок», пос. Мирный)</t>
  </si>
  <si>
    <t>08 2 26 78160</t>
  </si>
  <si>
    <t>08 2 27 78160</t>
  </si>
  <si>
    <t xml:space="preserve">Реализация мероприятий по социально-экономическому развитию муниципальных округов (Разработка проектно-сметной документации по строительству школы
на 860 мест в рп. Октябрьский)
</t>
  </si>
  <si>
    <t>08 2 28 78160</t>
  </si>
  <si>
    <t>08 2 29 78160</t>
  </si>
  <si>
    <t>08 2 30 78160</t>
  </si>
  <si>
    <t>08 2 31 78160</t>
  </si>
  <si>
    <t>08 2 32 78160</t>
  </si>
  <si>
    <t>08 2 33 78160</t>
  </si>
  <si>
    <t>Реализация мероприятий по социально-экономическому развитию муниципальных округов (Реализация мер по обеспечению безопасности граждан и антитеррористической защищенности объектов образовательных организаций (муниципальное бюджетное общеобразовательное учреждение «Устьянская средняя общеобразовательная школа»), с. Шангалы)</t>
  </si>
  <si>
    <t>08 2 34 78160</t>
  </si>
  <si>
    <t>08 2 35 78160</t>
  </si>
  <si>
    <t>08 2 36 78160</t>
  </si>
  <si>
    <t>08 2 37 78160</t>
  </si>
  <si>
    <t>Реализация мероприятий по социально-экономическому развитию муниципальных округов (Разработка технико-ценового аудита обоснования инвестиций для строительства детского оздоровительного лагеря, дер. Кононовская)</t>
  </si>
  <si>
    <t>20 0 15 78160</t>
  </si>
  <si>
    <t>08 3 11 78160</t>
  </si>
  <si>
    <t>Проектирование, строительство и реконструкция автомобильных дорог общего пользования местного значения и искусственных сооружений на них в границах Устьянского муниципального округа</t>
  </si>
  <si>
    <t>Проектные и предпроектные работы в целях капитального ремонта искусственных сооружений (моста) по дороге п.Илеза - д.Митинская для оплаты прохождения государственной экспертизы</t>
  </si>
  <si>
    <t>06 3 00 83102</t>
  </si>
  <si>
    <t>06 3 00 83103</t>
  </si>
  <si>
    <t>06 2 00 83104</t>
  </si>
  <si>
    <t>06 0 00 83070</t>
  </si>
  <si>
    <t>22 0 00 83141</t>
  </si>
  <si>
    <t>Строительство участка теплосети, расположенного по адресу: рп.Октябрьский, ул.Магистральная, д.26</t>
  </si>
  <si>
    <t>12 0 00 85019</t>
  </si>
  <si>
    <t>Укрепление МТБ учреждений культуры</t>
  </si>
  <si>
    <t>Реализация программ формирования современной городской среды</t>
  </si>
  <si>
    <t>Муниципальная программа "Формирование современной городской среды на территории Устьянского муниципального округа"</t>
  </si>
  <si>
    <t>08 1 00 74660</t>
  </si>
  <si>
    <t>Обеспечение мероприятий по организации предоставления дополнительных мер социальной поддержки семьям военнослужащих, сотрудников некоторых федеральных органов исполнительной власти и федеральных государственных органов, в которых федеральным законом предусмотрена военная служба, сотрудников органов внутренних дел Российской Федерации, принимающих участие в специальной военной операции, сотрудников уголовно-исполнительной системы Российской Федерации, выполняющих возложенные на них задачи в период проведения специальной военной операции, а также граждан, призванных на военную службу по мобилизации, в том числе погибших (умерших) при исполнении обязанностей военной службы (службы), в виде бесплатного горячего питания обучающихся по образовательным программам основного общего и среднего общего образования в муниципальных общеобразовательных организациях и бесплатного присмотра и ухода за детьми, посещающими муниципальные образовательные организации, реализующие программы дошкольного образования, в виде оплаты расходов образовательной организации, связанных с организацией питания и приобретением расходных материалов, используемых для обеспечения соблюдения воспитанниками режима дня и личной гигиены</t>
  </si>
  <si>
    <t>23 0 00 R0821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</si>
  <si>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(в части субвенций местным бюджетам)</t>
  </si>
  <si>
    <t>12 0 А1 55902</t>
  </si>
  <si>
    <t>Техническое оснащение региональных и муниципальных музеев (в части муниципальных музеев)</t>
  </si>
  <si>
    <t>03 0 00 S8400</t>
  </si>
  <si>
    <t>08 2 00 L7502</t>
  </si>
  <si>
    <t>Реализация мероприятий по модернизации школьных систем образования (для муниципальных общеобразовательных организаций)</t>
  </si>
  <si>
    <t>Реализация мероприятий по модернизации школьных систем образования (областной бюджет)</t>
  </si>
  <si>
    <t>08 2 00 74700</t>
  </si>
  <si>
    <t>Гашение кредиторской задолженности поселений на 01.01.2023 года</t>
  </si>
  <si>
    <t>Единовременная выплата денежной компенсации больным при наличии медицинских показаний</t>
  </si>
  <si>
    <t>02 0 00 S6450</t>
  </si>
  <si>
    <t>96 0 00 81115</t>
  </si>
  <si>
    <t>08 1 00 53032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</si>
  <si>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 (для муниципальных общеобразовательных организаций)</t>
  </si>
  <si>
    <t>Обеспечение пожарной безопасности жилых и общественных зданий, находящихся в муниципальной собственности - строительство пожарного депо на один выезд</t>
  </si>
  <si>
    <t>Резервный фонд администрации муниципального округа</t>
  </si>
  <si>
    <t>96 1 00 00000</t>
  </si>
  <si>
    <t>96 3 00 00000</t>
  </si>
  <si>
    <t>01 0 00 84970</t>
  </si>
  <si>
    <t>08 2 00 74690</t>
  </si>
  <si>
    <t>Реализация мероприятий по модернизации системы дошкольного образования</t>
  </si>
  <si>
    <t>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</si>
  <si>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08 2 E2 00000</t>
  </si>
  <si>
    <t>04 0 00 L5760</t>
  </si>
  <si>
    <t>Предоставление государственных жилищных сертификатов  детям-сиротам и детям, оставшимся без попечения родителей, лицам из их числа на приобретение жилых помещений в Архангельской области</t>
  </si>
  <si>
    <t>12 0 00 S6500</t>
  </si>
  <si>
    <t>Обеспечение учреждений культуры автотранспортом для обслуживания населения</t>
  </si>
  <si>
    <t>04 0 01 L5760</t>
  </si>
  <si>
    <t>Обеспечение комплексного развития сельских территорий (Благоустройство футбольного поля)</t>
  </si>
  <si>
    <t>04 0 02 L5760</t>
  </si>
  <si>
    <t>Обеспечение комплексного развития сельских территорий (Создание мест (площадок) накопления (в том числе раздельного накопления) твердых коммунальных отходов)</t>
  </si>
  <si>
    <t>09 0 00 S6410</t>
  </si>
  <si>
    <t>Разработка проектно-сметной документации по благоустройству общественных и дворовых территорий при реализации муниципальных программ формирования современной городской среды</t>
  </si>
  <si>
    <t>09 0 00 85550</t>
  </si>
  <si>
    <t>Реализация программ формирования современной городской среды на территории Устьянского муниципального округа за счет средств местного бюджета</t>
  </si>
  <si>
    <t>07 0 27 78160</t>
  </si>
  <si>
    <t>07 0 11 78160</t>
  </si>
  <si>
    <t>Молодежная политика</t>
  </si>
  <si>
    <t>22 0 00 88191</t>
  </si>
  <si>
    <t>Ремонт колодцев на территории Устьянского муниципального округа</t>
  </si>
  <si>
    <t>02 0 00 S4830</t>
  </si>
  <si>
    <t>Развитие системы инициативного бюджетирования в муниципальных округах Архангельской области</t>
  </si>
  <si>
    <t>22 0 00 83158</t>
  </si>
  <si>
    <t>Прохождение государственной экспертизы по капитальному ремонту существующих тепловых сетей п. Кизема</t>
  </si>
  <si>
    <t>Приложение  3</t>
  </si>
  <si>
    <t>Приложение №4</t>
  </si>
  <si>
    <t>Приложение № 5</t>
  </si>
  <si>
    <t>Приложение  4</t>
  </si>
  <si>
    <t>Приложение №5</t>
  </si>
  <si>
    <t>96 0 00 81111</t>
  </si>
  <si>
    <t>Оплата пеней, начисленных за не перечисление авансовых платежей</t>
  </si>
  <si>
    <t>20 0 00 81543</t>
  </si>
  <si>
    <t>Приобретение и установка автономных дымовых пожарных извещателей</t>
  </si>
  <si>
    <t>20 0 00 81544</t>
  </si>
  <si>
    <t>Разработка проектной и рабочей документации по строительству и подключению блочно-модульной станции очистки воды, строительство водопроводных сетей п. Кизема</t>
  </si>
  <si>
    <t>к  решению сессии первого созыва Собрания депутатов № 53  от 09 февраля 2023 года</t>
  </si>
  <si>
    <t>к  решению сессии первого созыва Собрания депутатов № 26 от 21 декабря 2022 года</t>
  </si>
  <si>
    <t>к  решению сессии первого созыва Собрания депутатов № 53 от 09 февраля 2023 года</t>
  </si>
  <si>
    <t>к  решению сессии первого созыва Собрания депутатов  № 75 от 24 марта 2023 года</t>
  </si>
  <si>
    <t>к  решению сессии первого созыва Собрания депутатов № 26  от 21 декабря 2022 года</t>
  </si>
  <si>
    <t>к  решению сессии первого созыва Собрания депутатов                                  № 75 от 24 марта 2023 года</t>
  </si>
  <si>
    <t>15 0 00 L2990</t>
  </si>
  <si>
    <t>Федеральный проект "Успех каждого ребенка"</t>
  </si>
  <si>
    <t>08 2 E2 50980</t>
  </si>
  <si>
    <t>13 0 00 S8580</t>
  </si>
  <si>
    <t>Укрепление материально-технической базы и развитие противопожарной инфраструктуры в муниципальных образовательных организациях муниципальных образований Архангельской области</t>
  </si>
  <si>
    <t>08 2 00 S6960</t>
  </si>
  <si>
    <t>06 0 00 S6360</t>
  </si>
  <si>
    <t>22 0 00 S3730</t>
  </si>
  <si>
    <t>Разработка проектно-сметной документации на строительство и реконструкцию (модернизацию) объектов водоотведения</t>
  </si>
  <si>
    <t>Софинансирование на участие в конкурсе на предоставление субсидий бюджетам муниципальных районов, муниципальных округов и гороских округов Архангельской области на оснащение детских школ искусств по видам искусств музыкальными инструментами, оборудованием и учебными материалами для МБУ ДО "Устьтянская детская школа искусств", МБУ ДО ДШИ "Радуга"</t>
  </si>
  <si>
    <t>Расходы на обеспечение деятельности учреждения по спортивной направленности</t>
  </si>
  <si>
    <t>96 0 00 82000</t>
  </si>
  <si>
    <t xml:space="preserve">Услуги по изготовлению печатей </t>
  </si>
  <si>
    <t>04 0 00 88878</t>
  </si>
  <si>
    <t>Обустройство футбольного поля ДЮСШ ОСОШ №2 (дополнительные работы)</t>
  </si>
  <si>
    <t>02 0 01 S4830</t>
  </si>
  <si>
    <t>02 0 01 84830</t>
  </si>
  <si>
    <t>02 0 02 S4830</t>
  </si>
  <si>
    <t>02 0 02 84830</t>
  </si>
  <si>
    <t>Мероприятия по реализации инициативного проекта "Обустройство детской, спортивной площадки п.Квазеньга"</t>
  </si>
  <si>
    <t>Мероприятия по реализации инициативного проекта "Обустройство детской, спортивной площадки п.Квазеньга" за счет средств местного бюджета</t>
  </si>
  <si>
    <r>
      <t>Мероприятия по реализации инициативного проекта "Юнармия-служба родному краю!</t>
    </r>
    <r>
      <rPr>
        <b/>
        <sz val="10"/>
        <rFont val="Arial"/>
        <family val="2"/>
        <charset val="204"/>
      </rPr>
      <t>"</t>
    </r>
    <r>
      <rPr>
        <sz val="10"/>
        <rFont val="Arial"/>
        <family val="2"/>
        <charset val="204"/>
      </rPr>
      <t xml:space="preserve"> за счет средств местного бюджета</t>
    </r>
  </si>
  <si>
    <t>02 0 03 S4830</t>
  </si>
  <si>
    <t>Мероприятия по реализации инициативного проекта "Обустройство территории под площадку ВФСК "ГТО"с.Шангалы" за счет средств местного бюджета</t>
  </si>
  <si>
    <t>Мероприятия по реализации инициативного проекта "Обустройство территории под площадку ВФСК "ГТО"с.Шангалы"</t>
  </si>
  <si>
    <t>02 0 03 84830</t>
  </si>
  <si>
    <t>02 0 04 S4830</t>
  </si>
  <si>
    <t>02 0 04 84830</t>
  </si>
  <si>
    <t>Мероприятия по реализации инициативного проекта "Обустройство территории под площадку ВФСК "ГТО" на лыжном стадионе "Сосенки" п.Октябрьский</t>
  </si>
  <si>
    <t>Мероприятия по реализации инициативного проекта "Обустройство территории под площадку ВФСК "ГТО" на лыжном стадионе "Сосенки" п.Октябрьский за счет средств местного бюджета</t>
  </si>
  <si>
    <t>02 0 05 S4830</t>
  </si>
  <si>
    <t>02 0 05 84830</t>
  </si>
  <si>
    <t>02 0 06 S4830</t>
  </si>
  <si>
    <t>02 0 06 84830</t>
  </si>
  <si>
    <t>Мероприятия по реализации инициативного проекта "Стоп борщевик!" д.Дубровская</t>
  </si>
  <si>
    <t>Мероприятия по реализации инициативного проекта "Стоп борщевик!" д.Дубровская за счет средств местного бюджета</t>
  </si>
  <si>
    <t>02 0 07 S4830</t>
  </si>
  <si>
    <t>02 0 07 84830</t>
  </si>
  <si>
    <t xml:space="preserve">Мероприятия по реализации инициативного проекта "Нет Малодорскому борщевику!" </t>
  </si>
  <si>
    <t>Мероприятия по реализации инициативного проекта "Нет Малодорскому борщевику!"  за счет средств местного бюджета</t>
  </si>
  <si>
    <t>02 0 08 S4830</t>
  </si>
  <si>
    <t>02 0 08 84830</t>
  </si>
  <si>
    <t>Мероприятия по реализации инициативного проекта "Стоп борщевик!" Шангальская сельская территория</t>
  </si>
  <si>
    <t>Мероприятия по реализации инициативного проекта "Стоп борщевик!" Шангальская сельская территория за счет средств местного бюджета</t>
  </si>
  <si>
    <t>02 0 09 S4830</t>
  </si>
  <si>
    <t>02 0 09 84830</t>
  </si>
  <si>
    <t>Мероприятия по реализации инициативного проекта "Осушение прилегающей территории МБОУ Киземская СОШ"</t>
  </si>
  <si>
    <r>
      <t>Мероприятия по реализации инициативного проекта "Осушение прилегающей территории МБОУ Киземская СОШ</t>
    </r>
    <r>
      <rPr>
        <b/>
        <sz val="10"/>
        <rFont val="Arial"/>
        <family val="2"/>
        <charset val="204"/>
      </rPr>
      <t>"</t>
    </r>
    <r>
      <rPr>
        <sz val="10"/>
        <rFont val="Arial"/>
        <family val="2"/>
        <charset val="204"/>
      </rPr>
      <t xml:space="preserve"> за счет средств местного бюджета</t>
    </r>
  </si>
  <si>
    <t>Мероприятия по реализации инициативного проекта "Осушение прилегающей территории МБОУ Киземская СОШ" за счет средств местного бюджета</t>
  </si>
  <si>
    <t>Мероприятия по реализации инициативного проекта "Борьба с борщевиком Сосновского в Ростово"</t>
  </si>
  <si>
    <t>Мероприятия по реализации инициативного проекта "Борьба с борщевиком Сосновского в Ростово" за счет средств местного бюджета</t>
  </si>
  <si>
    <t>22 0 00 83152</t>
  </si>
  <si>
    <t>Проведение текущего ремонта котельных в период прохождения отопительного периода</t>
  </si>
  <si>
    <t>Подготовка проектной документации и проведение достоверности сметной документации по объекту теплоснабжения расположенного в д.Левоплосское</t>
  </si>
  <si>
    <t>22 0 00 83142</t>
  </si>
  <si>
    <t>Проведение проверки достоверности сметной документации в отношении сети теплоснабжения в с,Шангалы</t>
  </si>
  <si>
    <t xml:space="preserve">Мероприятия по реализации инициативного проекта "Юнармия-служба родному краю!" </t>
  </si>
  <si>
    <t>Мероприятия по реализации инициативного проекта "Юнармия-служба родному краю!"</t>
  </si>
  <si>
    <t>Создание спортивных площадок для тестирования населения Архангельской области в соответствии с ВФСК "Готов к труду и обороне"</t>
  </si>
  <si>
    <t>Реализация федеральной целевой программы "Увековечение памяти погибщих при защите Отечества на 2019-2024 годы"</t>
  </si>
  <si>
    <t>67 0 00 81400</t>
  </si>
  <si>
    <t>20 0 00 S6870</t>
  </si>
  <si>
    <t>Выплата пенсии за выслугу лет лицам, замещавшим муниципальные должности и должности муниципальной службы Устьянского муниципального округа Архангельской области</t>
  </si>
  <si>
    <t>08 3 00 86300</t>
  </si>
  <si>
    <t>Проезд детей к месту отдыха в лагерь "Северный Артек"</t>
  </si>
  <si>
    <t>21 0 00 80054</t>
  </si>
  <si>
    <t>Проведение проверки достоверности сметной стоимости объектов капитального ремонта</t>
  </si>
  <si>
    <t xml:space="preserve">Обеспечение комплексного развития сельских территорий (Улучшение жилищных условий граждан, проживающих на сельских территориях) </t>
  </si>
  <si>
    <t>Реализация мероприятий по социально-экономическому развитию муниципальных округов (Создание условий, отвечающих требованиям пожарной безопасности образовательных учреждений. Обработка чердачных помещений и установка противопожарных дверей в здании муниципального бюджетного общеобразовательного учреждения «Дмитриевская средняя общеобразовательная школа», дер. Алферовская)</t>
  </si>
  <si>
    <t>Реализация мероприятий по социально-экономическому развитию муниципальных округов (Ремонт источников децентрализованного водоснабжения в населенных пунктах Устьянского муниципального округа (14 ед.) п. Квазеньга, д. Кондратовская п. Кизема, п. Первомайский, п. Глубокий п. Студенец п. Кидюга, пос. Илеза, сел. Малодоры)</t>
  </si>
  <si>
    <t>04 0 00 88879</t>
  </si>
  <si>
    <t>Благоустройство футбольного поля ДЮСШ ОСОШ № 2</t>
  </si>
  <si>
    <t xml:space="preserve">Благоустройство футбольного поля ДЮСШ ОСОШ №2  </t>
  </si>
  <si>
    <t>26 0 00 83167</t>
  </si>
  <si>
    <t>08 2 38 78160</t>
  </si>
  <si>
    <t>08 2 39 78160</t>
  </si>
  <si>
    <t>22 0 40 78160</t>
  </si>
  <si>
    <t>Реализация мероприятий по социально-экономическому развитию муниципальных округов  (Подготовка проектной документации и проверка достоверности сметной документации по объекту теплоснабжения, расположенного в дер. Левоплосская)</t>
  </si>
  <si>
    <t>11 0 00 89202</t>
  </si>
  <si>
    <t>Прочие мероприятия в сфере обращения с отходами производства и потребления</t>
  </si>
  <si>
    <t>22 0 41 78160</t>
  </si>
  <si>
    <t>к  решению сессии первого созыва Собрания депутатов № 119 от 22 июня 2023 года</t>
  </si>
  <si>
    <t>к  решению сессии первого созыва Собрания депутатов № 109 от 19 мая 2023 года</t>
  </si>
  <si>
    <t>к  решению сессии первого созыва Собрания депутатов № 75 от 24 марта 2023 года</t>
  </si>
  <si>
    <t>к  решению сессии первого созыва Собрания депутатов  № 119 от 22 июня 2023 года</t>
  </si>
  <si>
    <t>к  решению сессии первого созыва Собрания депутатов  № 109 от 19 мая 2023 года</t>
  </si>
  <si>
    <t>к  решению сессии первого созыва Собрания депутатов                                  № 119 от 22 июня  2023 года</t>
  </si>
  <si>
    <t>к  решению сессии первого созыва Собрания депутатов                                  № 109 от 19 мая 2023 года</t>
  </si>
  <si>
    <t>08 1 ЕВ 51792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</si>
  <si>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(для муниципальных общеобразовательных организаций)</t>
  </si>
  <si>
    <t>21 0  00 00000</t>
  </si>
  <si>
    <t>90 0 00 00000</t>
  </si>
  <si>
    <t>Непрограммные расходы в сфере жилищно-коммунального хозяйства</t>
  </si>
  <si>
    <t>90 0 00 81110</t>
  </si>
  <si>
    <t>07 0 00 88293</t>
  </si>
  <si>
    <t>Обустройство пандуса у дома № 6а по ул.Ломоносова в п.Октябрьский</t>
  </si>
  <si>
    <t>13 0 00 85416</t>
  </si>
  <si>
    <t>Установка тренажеров на площадке ВФСК "ГТО" на лыжном стадионе "Сосенки"</t>
  </si>
  <si>
    <t>12 0  00 85076</t>
  </si>
  <si>
    <t>Оплата услуг проверки узла учета тепловой энергии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</si>
  <si>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приобретение оборудования и монтаж узла тепловой энергии)</t>
  </si>
  <si>
    <t>12 0 02 78040</t>
  </si>
  <si>
    <t>12 0 01 78040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</si>
  <si>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приобретение и установка окна в здании МБУ ДО ДШИ "Радуга")</t>
  </si>
  <si>
    <t>08 2 03 78040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</si>
  <si>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демонтаж и установка входной двери центрального входа в здание СП "УДЮЦ" МБОУ "ОСШ №2")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</si>
  <si>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Разработка технико-ценового аудита обоснования инвестиций для строительства школы на 860 мест в п.Октябрьский)</t>
  </si>
  <si>
    <t>07 0 04 78040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</si>
  <si>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Выполнение комплекса работ: "Разработка технико-ценового аудита обоснования инвестиций для строительства детского оздоровительного лагеря круглогодичного действия на 300 мест д.Кононовская")</t>
  </si>
  <si>
    <t>07 0 05 78040</t>
  </si>
  <si>
    <t>96 0 00 78040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</si>
  <si>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</t>
  </si>
  <si>
    <t>12 0 01 85010</t>
  </si>
  <si>
    <t>Обеспечение населения услугами учреждений культуры - субсидия на повышение средней заработной платы работников учреждений культуры за счет средств местного бюджета</t>
  </si>
  <si>
    <t>Разработка проектно-сметной документации мест захоронения д. Анциферовская, д. Чадрома по благоустройству не в рамках бюджетных инвестиций</t>
  </si>
  <si>
    <t>Проведение обследования всех МКД за счет СВМЗ</t>
  </si>
  <si>
    <t>07 0 01 83156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</si>
  <si>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установка и подключение электрокотла в рамках текущего ремонта)</t>
  </si>
  <si>
    <t>21 0 06 78040</t>
  </si>
  <si>
    <t>Ремонт объектов муниципальной собственности муниципальных районов, муниципальных округов и городских округов Архангельской области, используемых для осуществления мероприятий в сфере профилактики правонарушений</t>
  </si>
  <si>
    <t>21 0  00 74650</t>
  </si>
  <si>
    <t>22 0 00 88342</t>
  </si>
  <si>
    <t>Получение эпидеомологического заключения на соответствие воды в колодцах</t>
  </si>
  <si>
    <t>Проведение обследования всех многоквартирных домов по Устьянскому муниципальному округу</t>
  </si>
  <si>
    <t>Проведение обследования всех  многоквартирных домов по Устьянскому муниципальному округу</t>
  </si>
  <si>
    <t>к  решению сессии первого созыва Собрания депутатов № 153 от 22 сентября 2023 года</t>
  </si>
  <si>
    <t>к  решению сессии первого созыва Собрания депутатов  № 153 от 22  сентября 2023 года</t>
  </si>
  <si>
    <t>к  решению сессии первого созыва Собрания депутатов                                  № 153 от 22 сентября  2023 года</t>
  </si>
  <si>
    <t>Реализация мероприятий по социально-экономическому развитию муниципальных округов (Капитальный ремонт образовательных организаций (капитальный ремонт кровли здания муниципального бюджетного образовательного учреждения "Дмитриевская средняя общеобразовательная школа"). дер. Алферовская)</t>
  </si>
  <si>
    <t>Реализация мероприятий по социально-экономическому развитию муниципальных округов (Асфальтирование автомобильной дороги общего пользования местного значения протяженностью  300 метров с.Малодоры, ул Центральная)</t>
  </si>
  <si>
    <t>Реализация мероприятий по социально-экономическому развитию муниципальных округов (Снос многоквартирных домов, признанных аварийными и подлежащими сносу, на территории  Устьянского муниципального округа)</t>
  </si>
  <si>
    <t>Реализация мероприятий по социально-экономическому развитию муниципальных округов (Ремонт и установка светильников уличного освещения, приобретение опор, монтаж линий электроосвещения на территории Устьянского муниципального округа)</t>
  </si>
  <si>
    <t xml:space="preserve">Реализация мероприятий по социально-экономическому развитию муниципальных округов (Капитальный ремонт теплового узла и системы отопления в здании муниципального бюджетного учреждения дополнительного образования детская школа искусств «Радуга», расположенного по адресу: дер. Юрятинская, д. 45)
</t>
  </si>
  <si>
    <t>Ремонт децентрализованных источников водоснабжения на территории Устьянского муниципального округа</t>
  </si>
  <si>
    <t>12 0 00 85022</t>
  </si>
  <si>
    <t>Субсидия на услугу по изготовлению одежды сцены</t>
  </si>
  <si>
    <t>Субсидии на выполнение средней заработной платы работников муниципальных учреждений культуры</t>
  </si>
  <si>
    <t>88 0 00 00000</t>
  </si>
  <si>
    <t>Непрограммные расходы в сфере образования</t>
  </si>
  <si>
    <t>88 0 00 81110</t>
  </si>
  <si>
    <t>96 0 46 78160</t>
  </si>
  <si>
    <t>07 0 44 78160</t>
  </si>
  <si>
    <t>Реализация мероприятий по социально-экономическому развитию муниципальных округов (Проведение обследования всех многоквартирных домов Устьянского муниципального округа)</t>
  </si>
  <si>
    <t>22 0 42 78160</t>
  </si>
  <si>
    <t>22 0 43 78160</t>
  </si>
  <si>
    <t>Реализация мероприятий по социально-экономическому развитию муниципальных округов (Прокладка канализационной сети в дер.Нагорская)</t>
  </si>
  <si>
    <t>Мероприятия по реализации инициативного проекта "Юнармия-наша гордость и сила" за счет средств местного бюджета</t>
  </si>
  <si>
    <t>02 0 10 84830</t>
  </si>
  <si>
    <t>02 0 10 S4830</t>
  </si>
  <si>
    <t>Мероприятия по реализации инициативного проекта "Юнармия-наша гордость и сила"</t>
  </si>
  <si>
    <t>Мероприятия по реализации инициативного проекта "Юнармия-служба родному краю!" за счет средств местного бюджета</t>
  </si>
  <si>
    <t>Реализация мероприятий по социально-экономическому развитию муниципальных округов (Приобретение легковых автомобилей для муниципальных нужд)</t>
  </si>
  <si>
    <t>21 0 45 78160</t>
  </si>
  <si>
    <t>Реализация мероприятий по социально-экономическому развитию муниципальных округов (Капитальный ремонт кровли филиала Плосская основная школа муниципального бюджетного образовательного учреждения «Строевская средняя общеобразовательная школа», дер. Левоплосская)</t>
  </si>
  <si>
    <t>Реализация мероприятий по социально-экономическому развитию муниципальных округов (Капитальный ремонт 
здания муниципального бюджетного общеобразовательного учреждения «Бестужевская средняя общеобразовательная школа», с.Бестужево)</t>
  </si>
  <si>
    <t>08 2 00 80225</t>
  </si>
  <si>
    <t>Устранение нарушений по акту проверки МБОУ "Илезская СОШ"</t>
  </si>
  <si>
    <t>12 0 07 78040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</si>
  <si>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приобретение и установка отопительного электрокотла в СП "Синицкое" п.Кидюга)</t>
  </si>
  <si>
    <t>без усл</t>
  </si>
  <si>
    <t>Приложение  6</t>
  </si>
  <si>
    <t>08 2 08 78040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</si>
  <si>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установка счетчика тепловой энергии в д/с "Чебурашка" СП МБОУ "Березницкая ОГ")</t>
  </si>
  <si>
    <t>08 2 10 78040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</si>
  <si>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ремонт вентиляционной системы в здании МБОУ Березницкая ОГ )</t>
  </si>
  <si>
    <t>08 2 09 78040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</si>
  <si>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ремонт вытяжки пищеблока д/с Ручеек СП МБОУ "ОСШ №1")</t>
  </si>
  <si>
    <t>к  решению сессии первого созыва Собрания депутатов № 186 от 24 ноября 2023 года</t>
  </si>
  <si>
    <t>22 0 00 97040</t>
  </si>
  <si>
    <t>Расходы на модернизацию (строительство) котельных на твердом биотопливе, источником финансового обеспечения которых является специальный казначейский кредит</t>
  </si>
  <si>
    <t>Реализация мероприятий по социально-экономическому развитию муниципальных округов (Капитальный ремонт кровли, чердачного перекрытия здания муниципального бюджетного учреждения дополнительного образования детская школа искусств «Радуга», расположенного по адресу: дер. Юрятинская, д. 45)</t>
  </si>
  <si>
    <t>Реализация мероприятий по социально-экономическому развитию муниципальных округов (Капитальный ремонт здания Мирновского дома культуры структурного подразделения «Мирновское» муниципального бюджетного учреждения культуры «Устьяны», п.Мирный)</t>
  </si>
  <si>
    <t>Реализация мероприятий по социально-экономическому развитию муниципальных округов (Капитальный ремонт здания Синицкого дома культуры структурного подразделения «Синицкое» муниципального бюджетного учреждения культуры «Устьяны», п.Кидюга)</t>
  </si>
  <si>
    <t>Реализация мероприятий по социально-экономическому развитию муниципальных округов (Реализация мер по обеспечению безопасности граждан и антитеррористической защищенности объектов образовательных организаций (муниципальное бюджетное дошкольное образовательное учреждение «Центр развития ребенка» – детский сад «Аленушка»), п.Октябрьский)</t>
  </si>
  <si>
    <t>Реализация мероприятий по социально-экономическому развитию муниципальных округов (Приобретение и установка приборов учета тепловой энергии в здании структурного подразделения «Центр психолого-педагогической реабилитации и коррекции» муниципального бюджетного общеобразовательного учреждения «Октябрьская средняя общеобразовательная школа № 2», п. Октябрьский)</t>
  </si>
  <si>
    <t>Реализация мероприятий по социально-экономическому развитию муниципальных округов (Создание условий, отвечающих требованиям пожарной безопасности образовательных учреждений. Обработка чердачных помещений в здании структурного подразделения Детский сад «Солнышко» муниципального бюджетного общеобразовательного учреждения «Киземская средняя общеобразовательная школа», п. Кизема)</t>
  </si>
  <si>
    <t>Реализация мероприятий по социально-экономическому развитию муниципальных округов (Капитальный ремонт кровли муниципального бюджетного общеобразовательного учреждения «Лойгинская средняя общеобразовательная школа», п. Лойга)</t>
  </si>
  <si>
    <t>Реализация мероприятий по социально-экономическому развитию муниципальных округов (Капитальный ремонт муниципального бюджетного общеобразовательного учреждения «Малодорская средняя общеобразовательная школа», с. Малодоры)</t>
  </si>
  <si>
    <t>Реализация мероприятий по социально-экономическому развитию муниципальных округов (Ремонт помещения в муниципальном бюджетном общеобразовательном учреждении «Березницкая общеобразовательная гимназия» для создания центра образования естественно-научной и технологической направленностей в рамках национального проекта «Образование – точка роста», с. Березник)</t>
  </si>
  <si>
    <t>Реализация мероприятий по социально-экономическому развитию муниципальных округов (Приобретение и установка приборов учета тепловой энергии в здании муниципального бюджетного общеобразовательного учреждения «Бестужевская средняя общеобразовательная школа», с. Бестужево)</t>
  </si>
  <si>
    <t>Реализация мероприятий по социально-экономическому развитию муниципальных округов (Создание условий, отвечающих требованиям пожарной безопасности образовательных учреждений. Обработка чердачных помещений в здании муниципального бюджетного общеобразовательного учреждения «Киземская средняя общеобразовательная школа», п. Кизема)</t>
  </si>
  <si>
    <t>Реализация мероприятий по социально-экономическому развитию муниципальных округов (Выполнение работ по капитальному ремонту помещений здания муниципального бюджетного общеобразовательного учреждения «Лойгинская средняя общеобразовательная школа», п.Лойга)</t>
  </si>
  <si>
    <t>Реализация мероприятий по социально-экономическому развитию муниципальных округов (Разработка проектной документации и определение достоверности сметной стоимости по капитальному ремонту помещений здания муниципального бюджетного общеобразовательного учреждения «Лойгинская средняя общеобразовательная школа», п.Лойга)</t>
  </si>
  <si>
    <t>Реализация мероприятий по социально-экономическому развитию муниципальных округов (Ремонт дорог общего пользования местного значения и мостовых переходов, с.Березник)</t>
  </si>
  <si>
    <t>Реализация мероприятий по социально-экономическому развитию муниципальных округов (Комплекс инженерных изысканий и составление технических отчетов об инженерных изысканиях для выполнения комплекса работ «Разработка технико-ценового аудита обоснования инвестиций для строительства детского оздоровительного лагеря круглогодичного действия на 300 мест», дер. Кононовская)</t>
  </si>
  <si>
    <t>Реализация мероприятий по социально-экономическому развитию муниципальных округов (Обеспечение пожарной безопасности жилых и общественных зданий, находящихся в муниципальной собственности (строительство пожарного депо на один выезд), п.Октябрьский)</t>
  </si>
  <si>
    <t>Реализация мероприятий по социально-экономическому развитию муниципальных округов (Капитальный ремонт кровли административного здания, расположенного по адресу: п.Октябрьский, ул. Ленина, д. 38)</t>
  </si>
  <si>
    <t>Реализация мероприятий по социально-экономическому развитию муниципальных округов (Капитальный ремонт кровли над помещением малого зала и над помещением отдела опеки и попечительства здания администрации, расположенного по адресу: п.Октябрьский, ул. Комсомольская, д. 7)</t>
  </si>
  <si>
    <t>Реализация мероприятий по социально-экономическому развитию муниципальных округов (Текущий ремонт административных помещений в здании администрации, расположенном по адресу: п.Октябрьский, ул. Комсомольская, д. 7)</t>
  </si>
  <si>
    <t>Реализация мероприятий по социально-экономическому развитию муниципальных округов (Ремонт источников децентрализованного водоснабжения в населенных пунктах Устьянского муниципального округа (14 ед.), п. Квазеньга, дер. Кондратовская, п. Кизема, п. Первомайский, п. Глубокий, п. Студенец, п. Кидюга, п. Илеза, с. Малодоры)</t>
  </si>
  <si>
    <t>Реализация мероприятий по социально-экономическому развитию муниципальных округов (Капитальный ремонт систем центрального водоснабжения на территории дер. Алферовская, п. Мирный, п. Глубокий, дер. Ларютинская)</t>
  </si>
  <si>
    <t>Реализация мероприятий по социально-экономическому развитию муниципальных округов (Прокладка водопроводной сети к зданию новой котельной протяженностью 60 м, дер. Ульяновская)</t>
  </si>
  <si>
    <t>Реализация мероприятий по социально-экономическому развитию муниципальных округов (Строительство детской спортивной площадки, п.Квазеньга)</t>
  </si>
  <si>
    <t>08 2 00 80330</t>
  </si>
  <si>
    <t>Благоустройство территорий муниципальных образовательных организаций</t>
  </si>
  <si>
    <t>22 0 00 87159</t>
  </si>
  <si>
    <t>Подготовка проекта замены котла в котельной д. Едьма</t>
  </si>
  <si>
    <t>22 0 00 88160</t>
  </si>
  <si>
    <t>Прокладка канализационной сети в дер.Нагорская за счет средств местного бюджета</t>
  </si>
  <si>
    <t>12 0 00 85023</t>
  </si>
  <si>
    <t>Приобретение кресел в зрительный зал МБУК "УРКЦ" СП "Малодорское"</t>
  </si>
  <si>
    <t>04 0 00  85760</t>
  </si>
  <si>
    <t>Улучшение жилищных условий граждан, проживающих в сельской местности, в том числе молодых семей и молодых специалистов за счет средств местного бюджета</t>
  </si>
  <si>
    <t>19 1 00 78040</t>
  </si>
  <si>
    <t>81 2 00 78040</t>
  </si>
  <si>
    <t>03 0 00 78040</t>
  </si>
  <si>
    <t>12 0 00 78040</t>
  </si>
  <si>
    <t>08 5 00 78040</t>
  </si>
  <si>
    <t>82 3 00 78040</t>
  </si>
  <si>
    <t>83 0 00 78040</t>
  </si>
  <si>
    <t>Приложение  5</t>
  </si>
  <si>
    <t>Реализация мероприятий по социально-экономическому развитию муниципальных округов (Реализация мер по обеспечению безопасности граждан и антитеррористической защищенности объектов образовательных организаций (муниципальное бюджетное дошкольное образовательное учреждение «Центр развития ребенка» – детский сад «Аленушка»),раб.пос.Октябрьский</t>
  </si>
  <si>
    <t>Реализация мероприятий по социально-экономическому развитию муниципальных округов (Приобретение и установка приборов учета тепловой энергии в здании структурного подразделения «Центр психолого-педагогической реабилитации и коррекции» муниципального бюджетного общеобразовательного учреждения «Октябрьская средняя общеобразовательная школа № 2»,раб. пос. Октябрьский)</t>
  </si>
  <si>
    <t>Реализация мероприятий по социально-экономическому развитию муниципальных округов (Создание условий, отвечающих требованиям пожарной безопасности образовательных учреждений. Обработка чердачных помещений в здании структурного подразделения Детский сад «Солнышко» муниципального бюджетного общеобразовательного учреждения «Киземская средняя общеобразовательная школа», пос. Кизема)</t>
  </si>
  <si>
    <t>Реализация мероприятий по социально-экономическому развитию муниципальных округов (Создание условий, отвечающих требованиям пожарной безопасности образовательных учреждений. Обработка чердачных помещений в здании муниципального бюджетного общеобразовательного учреждения «Киземская средняя общеобразовательная школа», пос. Кизема)</t>
  </si>
  <si>
    <t>Реализация мероприятий по социально-экономическому развитию муниципальных округов (Выполнение работ по капитальному ремонту помещений здания муниципального бюджетного общеобразовательного учреждения «Лойгинская средняя общеобразовательная школа», пос.Лойга)</t>
  </si>
  <si>
    <t>Реализация мероприятий по социально-экономическому развитию муниципальных округов (Разработка проектной документации и определение достоверности сметной стоимости по капитальному ремонту помещений здания муниципального бюджетного общеобразовательного учреждения «Лойгинская средняя общеобразовательная школа», пос.Лойга)</t>
  </si>
  <si>
    <t>Реализация мероприятий по социально-экономическому развитию муниципальных округов (Приобретение легковых автомобилей для нужд Устьянского муниципального округа)</t>
  </si>
  <si>
    <t>Реализация мероприятий по социально-экономическому развитию муниципальных округов (Обеспечение пожарной безопасности жилых и общественных зданий, находящихся в муниципальной собственности (строительство пожарного депо на один выезд), раб.пос.Октябрьский)</t>
  </si>
  <si>
    <t>Реализация мероприятий по социально-экономическому развитию муниципальных округов (Капитальный ремонт систем центрального водоснабжения на территории дер. Алферовская, пос. Мирный, пос. Глубокий, дер. Ларютинская)</t>
  </si>
  <si>
    <t>Реализация мероприятий по социально-экономическому развитию муниципальных округов (Ремонт источников децентрализованного водоснабжения в населенных пунктах Устьянского муниципального округа (14 ед.), пос. Квазеньга, дер. Кондратовская, пос. Кизема, пос. Первомайский, пос. Глубокий, пос. Студенец, пос. Кидюга, пос. Илеза, с. Малодоры)</t>
  </si>
  <si>
    <t>Реализация мероприятий по социально-экономическому развитию муниципальных округов (Строительство детской спортивной площадки, пос.Квазеньга)</t>
  </si>
  <si>
    <t>Реализация мероприятий по социально-экономическому развитию муниципальных округов (Капитальный ремонт здания Мирновского дома культуры структурного подразделения «Мирновское» муниципального бюджетного учреждения культуры «Устьяны», пос.Мирный)</t>
  </si>
  <si>
    <t>Реализация мероприятий по социально-экономическому развитию муниципальных округов (Капитальный ремонт здания Синицкого дома культуры структурного подразделения «Синицкое» муниципального бюджетного учреждения культуры «Устьяны», пос.Кидюга)</t>
  </si>
  <si>
    <t>Реализация мероприятий по социально-экономическому развитию муниципальных округов (Капитальный ремонт кровли муниципального бюджетного общеобразовательного учреждения «Лойгинская средняя общеобразовательная школа», пос. Лойга)</t>
  </si>
  <si>
    <t>Реализация мероприятий по социально-экономическому развитию муниципальных округов (Капитальный ремонт кровли над помещением малого зала и над помещением отдела опеки и попечительства здания администрации, расположенного по адресу:раб. пос. Октябрьский, ул. Комсомольская, д. 7)</t>
  </si>
  <si>
    <t>Реализация мероприятий по социально-экономическому развитию муниципальных округов (Текущий ремонт административных помещений в здании администрации, расположенном по адресу: раб.пос.Октябрьский, ул. Комсомольская, д. 7)</t>
  </si>
  <si>
    <t>к  решению сессии первого созыва Собрания депутатов № 198 от 22 декабря 2023 года</t>
  </si>
  <si>
    <t xml:space="preserve"> </t>
  </si>
</sst>
</file>

<file path=xl/styles.xml><?xml version="1.0" encoding="utf-8"?>
<styleSheet xmlns="http://schemas.openxmlformats.org/spreadsheetml/2006/main">
  <numFmts count="1">
    <numFmt numFmtId="164" formatCode="#,##0_р_."/>
  </numFmts>
  <fonts count="38">
    <font>
      <sz val="10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13"/>
      <name val="Arial Cyr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0"/>
      <name val="Arial Cyr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i/>
      <sz val="10"/>
      <name val="Arial Cyr"/>
      <family val="2"/>
      <charset val="204"/>
    </font>
    <font>
      <b/>
      <i/>
      <sz val="13"/>
      <name val="Arial Cyr"/>
      <family val="2"/>
      <charset val="204"/>
    </font>
    <font>
      <i/>
      <sz val="10"/>
      <name val="Arial Cyr"/>
      <family val="2"/>
      <charset val="204"/>
    </font>
    <font>
      <sz val="13"/>
      <name val="Arial Cyr"/>
      <family val="2"/>
      <charset val="204"/>
    </font>
    <font>
      <b/>
      <i/>
      <sz val="10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0"/>
      <name val="Arial Cyr"/>
      <family val="2"/>
      <charset val="204"/>
    </font>
    <font>
      <sz val="8"/>
      <name val="Arial Cyr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3"/>
      <name val="Arial Cyr"/>
      <charset val="204"/>
    </font>
    <font>
      <b/>
      <i/>
      <sz val="10"/>
      <name val="Arial"/>
      <family val="2"/>
      <charset val="204"/>
    </font>
    <font>
      <b/>
      <sz val="10"/>
      <color rgb="FF002060"/>
      <name val="Arial Cyr"/>
      <family val="2"/>
      <charset val="204"/>
    </font>
    <font>
      <i/>
      <sz val="10"/>
      <name val="Arial"/>
      <family val="2"/>
      <charset val="204"/>
    </font>
    <font>
      <i/>
      <sz val="10"/>
      <name val="Arial Cyr"/>
      <charset val="204"/>
    </font>
    <font>
      <sz val="10"/>
      <color rgb="FFFF0000"/>
      <name val="Arial Cyr"/>
      <charset val="204"/>
    </font>
    <font>
      <b/>
      <sz val="10"/>
      <color rgb="FFFF0000"/>
      <name val="Arial Cyr"/>
      <charset val="204"/>
    </font>
    <font>
      <u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430">
    <xf numFmtId="0" fontId="0" fillId="0" borderId="0" xfId="0"/>
    <xf numFmtId="0" fontId="0" fillId="0" borderId="0" xfId="0" applyFill="1"/>
    <xf numFmtId="4" fontId="0" fillId="0" borderId="0" xfId="0" applyNumberFormat="1" applyFill="1"/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4" fontId="3" fillId="0" borderId="0" xfId="0" applyNumberFormat="1" applyFont="1" applyFill="1"/>
    <xf numFmtId="0" fontId="3" fillId="0" borderId="0" xfId="0" applyFont="1" applyFill="1"/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Fill="1"/>
    <xf numFmtId="0" fontId="7" fillId="0" borderId="0" xfId="0" applyFont="1" applyFill="1"/>
    <xf numFmtId="0" fontId="8" fillId="0" borderId="1" xfId="0" applyFont="1" applyFill="1" applyBorder="1" applyAlignment="1">
      <alignment horizontal="justify" vertical="top" wrapText="1"/>
    </xf>
    <xf numFmtId="0" fontId="8" fillId="0" borderId="1" xfId="1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/>
    <xf numFmtId="4" fontId="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wrapText="1"/>
    </xf>
    <xf numFmtId="4" fontId="12" fillId="0" borderId="0" xfId="0" applyNumberFormat="1" applyFont="1" applyFill="1"/>
    <xf numFmtId="0" fontId="12" fillId="0" borderId="0" xfId="0" applyFont="1" applyFill="1"/>
    <xf numFmtId="0" fontId="13" fillId="0" borderId="0" xfId="0" applyFont="1" applyFill="1"/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wrapText="1"/>
    </xf>
    <xf numFmtId="49" fontId="10" fillId="0" borderId="0" xfId="0" applyNumberFormat="1" applyFont="1" applyFill="1"/>
    <xf numFmtId="49" fontId="0" fillId="0" borderId="0" xfId="0" applyNumberFormat="1" applyFill="1"/>
    <xf numFmtId="0" fontId="1" fillId="0" borderId="1" xfId="0" applyFont="1" applyFill="1" applyBorder="1" applyAlignment="1">
      <alignment horizontal="center" vertical="center"/>
    </xf>
    <xf numFmtId="0" fontId="0" fillId="0" borderId="0" xfId="0" applyFont="1" applyFill="1"/>
    <xf numFmtId="49" fontId="7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/>
    </xf>
    <xf numFmtId="0" fontId="0" fillId="0" borderId="0" xfId="0" applyFont="1" applyFill="1" applyBorder="1"/>
    <xf numFmtId="0" fontId="0" fillId="0" borderId="0" xfId="0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/>
    <xf numFmtId="0" fontId="1" fillId="0" borderId="0" xfId="0" applyFont="1" applyFill="1" applyBorder="1"/>
    <xf numFmtId="4" fontId="1" fillId="0" borderId="0" xfId="0" applyNumberFormat="1" applyFont="1" applyFill="1" applyBorder="1"/>
    <xf numFmtId="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4" fontId="8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textRotation="90" wrapText="1"/>
    </xf>
    <xf numFmtId="0" fontId="20" fillId="0" borderId="0" xfId="0" applyFont="1" applyFill="1"/>
    <xf numFmtId="49" fontId="22" fillId="0" borderId="1" xfId="0" applyNumberFormat="1" applyFont="1" applyFill="1" applyBorder="1" applyAlignment="1">
      <alignment horizontal="center" vertical="center"/>
    </xf>
    <xf numFmtId="0" fontId="24" fillId="0" borderId="0" xfId="0" applyFont="1" applyFill="1"/>
    <xf numFmtId="0" fontId="12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27" fillId="0" borderId="0" xfId="0" applyFont="1" applyFill="1" applyAlignment="1">
      <alignment wrapText="1"/>
    </xf>
    <xf numFmtId="0" fontId="26" fillId="0" borderId="0" xfId="0" applyFont="1" applyFill="1"/>
    <xf numFmtId="0" fontId="8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4" fontId="1" fillId="2" borderId="0" xfId="0" applyNumberFormat="1" applyFont="1" applyFill="1" applyAlignment="1">
      <alignment horizontal="center" vertical="center"/>
    </xf>
    <xf numFmtId="0" fontId="0" fillId="2" borderId="0" xfId="0" applyFill="1"/>
    <xf numFmtId="3" fontId="4" fillId="2" borderId="1" xfId="0" applyNumberFormat="1" applyFont="1" applyFill="1" applyBorder="1" applyAlignment="1">
      <alignment horizontal="center" vertical="center"/>
    </xf>
    <xf numFmtId="4" fontId="19" fillId="2" borderId="1" xfId="0" applyNumberFormat="1" applyFon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28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3" xfId="0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/>
    </xf>
    <xf numFmtId="0" fontId="26" fillId="0" borderId="0" xfId="0" applyFont="1" applyAlignment="1">
      <alignment wrapText="1"/>
    </xf>
    <xf numFmtId="49" fontId="12" fillId="3" borderId="1" xfId="0" applyNumberFormat="1" applyFont="1" applyFill="1" applyBorder="1" applyAlignment="1">
      <alignment horizontal="center" vertical="center"/>
    </xf>
    <xf numFmtId="4" fontId="12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 wrapText="1"/>
    </xf>
    <xf numFmtId="0" fontId="5" fillId="3" borderId="0" xfId="0" applyFont="1" applyFill="1"/>
    <xf numFmtId="4" fontId="10" fillId="0" borderId="0" xfId="0" applyNumberFormat="1" applyFont="1" applyFill="1"/>
    <xf numFmtId="4" fontId="0" fillId="0" borderId="0" xfId="0" applyNumberFormat="1" applyFont="1" applyFill="1"/>
    <xf numFmtId="4" fontId="1" fillId="0" borderId="0" xfId="0" applyNumberFormat="1" applyFont="1" applyFill="1"/>
    <xf numFmtId="4" fontId="20" fillId="0" borderId="0" xfId="0" applyNumberFormat="1" applyFont="1" applyFill="1"/>
    <xf numFmtId="4" fontId="13" fillId="0" borderId="0" xfId="0" applyNumberFormat="1" applyFont="1" applyFill="1"/>
    <xf numFmtId="4" fontId="5" fillId="3" borderId="0" xfId="0" applyNumberFormat="1" applyFont="1" applyFill="1"/>
    <xf numFmtId="0" fontId="0" fillId="0" borderId="1" xfId="0" applyFill="1" applyBorder="1" applyAlignment="1">
      <alignment horizontal="left" vertical="center"/>
    </xf>
    <xf numFmtId="4" fontId="3" fillId="0" borderId="0" xfId="0" applyNumberFormat="1" applyFont="1" applyFill="1" applyAlignment="1">
      <alignment wrapText="1"/>
    </xf>
    <xf numFmtId="4" fontId="1" fillId="0" borderId="1" xfId="0" applyNumberFormat="1" applyFont="1" applyFill="1" applyBorder="1"/>
    <xf numFmtId="0" fontId="1" fillId="0" borderId="1" xfId="0" applyFont="1" applyFill="1" applyBorder="1"/>
    <xf numFmtId="4" fontId="3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wrapText="1"/>
    </xf>
    <xf numFmtId="4" fontId="7" fillId="2" borderId="0" xfId="0" applyNumberFormat="1" applyFont="1" applyFill="1"/>
    <xf numFmtId="0" fontId="7" fillId="2" borderId="0" xfId="0" applyFont="1" applyFill="1"/>
    <xf numFmtId="4" fontId="0" fillId="2" borderId="0" xfId="0" applyNumberFormat="1" applyFill="1"/>
    <xf numFmtId="4" fontId="0" fillId="2" borderId="1" xfId="0" applyNumberForma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center" vertical="center" wrapText="1"/>
    </xf>
    <xf numFmtId="4" fontId="12" fillId="5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vertical="center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wrapText="1"/>
    </xf>
    <xf numFmtId="0" fontId="8" fillId="2" borderId="1" xfId="1" applyFont="1" applyFill="1" applyBorder="1" applyAlignment="1">
      <alignment wrapText="1"/>
    </xf>
    <xf numFmtId="0" fontId="8" fillId="2" borderId="1" xfId="1" applyFont="1" applyFill="1" applyBorder="1" applyAlignment="1">
      <alignment horizontal="left" vertical="top" wrapText="1"/>
    </xf>
    <xf numFmtId="0" fontId="27" fillId="2" borderId="0" xfId="0" applyFont="1" applyFill="1" applyAlignment="1">
      <alignment wrapText="1"/>
    </xf>
    <xf numFmtId="0" fontId="8" fillId="2" borderId="1" xfId="0" applyFont="1" applyFill="1" applyBorder="1" applyAlignment="1">
      <alignment horizontal="justify" vertical="top" wrapText="1"/>
    </xf>
    <xf numFmtId="0" fontId="8" fillId="6" borderId="1" xfId="0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left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2" borderId="0" xfId="0" applyFont="1" applyFill="1"/>
    <xf numFmtId="0" fontId="1" fillId="2" borderId="0" xfId="0" applyFont="1" applyFill="1"/>
    <xf numFmtId="4" fontId="0" fillId="2" borderId="0" xfId="0" applyNumberFormat="1" applyFont="1" applyFill="1"/>
    <xf numFmtId="49" fontId="3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wrapText="1"/>
    </xf>
    <xf numFmtId="49" fontId="22" fillId="2" borderId="1" xfId="0" applyNumberFormat="1" applyFont="1" applyFill="1" applyBorder="1" applyAlignment="1">
      <alignment horizontal="center" vertical="center"/>
    </xf>
    <xf numFmtId="4" fontId="24" fillId="2" borderId="0" xfId="0" applyNumberFormat="1" applyFont="1" applyFill="1"/>
    <xf numFmtId="0" fontId="24" fillId="2" borderId="0" xfId="0" applyFont="1" applyFill="1"/>
    <xf numFmtId="49" fontId="7" fillId="2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8" fillId="4" borderId="1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0" fillId="0" borderId="1" xfId="0" applyFont="1" applyFill="1" applyBorder="1" applyAlignment="1">
      <alignment horizontal="left" vertical="center" wrapText="1"/>
    </xf>
    <xf numFmtId="4" fontId="0" fillId="0" borderId="0" xfId="0" applyNumberFormat="1" applyFont="1" applyFill="1" applyBorder="1"/>
    <xf numFmtId="49" fontId="9" fillId="2" borderId="1" xfId="0" applyNumberFormat="1" applyFont="1" applyFill="1" applyBorder="1" applyAlignment="1">
      <alignment horizontal="center" vertical="center"/>
    </xf>
    <xf numFmtId="0" fontId="10" fillId="2" borderId="0" xfId="0" applyFont="1" applyFill="1"/>
    <xf numFmtId="0" fontId="1" fillId="0" borderId="0" xfId="0" applyFont="1" applyFill="1" applyBorder="1" applyAlignment="1">
      <alignment vertical="center" wrapText="1"/>
    </xf>
    <xf numFmtId="4" fontId="0" fillId="4" borderId="1" xfId="0" applyNumberFormat="1" applyFill="1" applyBorder="1" applyAlignment="1">
      <alignment horizontal="center" vertical="center"/>
    </xf>
    <xf numFmtId="0" fontId="0" fillId="4" borderId="0" xfId="0" applyFill="1"/>
    <xf numFmtId="4" fontId="0" fillId="0" borderId="0" xfId="0" applyNumberFormat="1" applyFill="1" applyAlignment="1">
      <alignment wrapText="1"/>
    </xf>
    <xf numFmtId="4" fontId="1" fillId="2" borderId="0" xfId="0" applyNumberFormat="1" applyFont="1" applyFill="1"/>
    <xf numFmtId="4" fontId="30" fillId="0" borderId="0" xfId="0" applyNumberFormat="1" applyFont="1" applyFill="1"/>
    <xf numFmtId="4" fontId="8" fillId="0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wrapText="1"/>
    </xf>
    <xf numFmtId="0" fontId="27" fillId="0" borderId="1" xfId="0" applyFont="1" applyFill="1" applyBorder="1" applyAlignment="1">
      <alignment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/>
    <xf numFmtId="0" fontId="0" fillId="2" borderId="0" xfId="0" applyFill="1" applyBorder="1"/>
    <xf numFmtId="0" fontId="0" fillId="2" borderId="0" xfId="0" applyFill="1" applyBorder="1" applyAlignment="1">
      <alignment wrapText="1"/>
    </xf>
    <xf numFmtId="0" fontId="0" fillId="2" borderId="0" xfId="0" applyFont="1" applyFill="1" applyBorder="1" applyAlignment="1">
      <alignment horizontal="center" vertical="center" wrapText="1"/>
    </xf>
    <xf numFmtId="4" fontId="3" fillId="2" borderId="0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Border="1" applyAlignment="1">
      <alignment horizontal="center" vertical="center"/>
    </xf>
    <xf numFmtId="4" fontId="5" fillId="2" borderId="0" xfId="0" applyNumberFormat="1" applyFont="1" applyFill="1" applyBorder="1" applyAlignment="1">
      <alignment horizontal="center" vertical="center"/>
    </xf>
    <xf numFmtId="4" fontId="7" fillId="2" borderId="0" xfId="0" applyNumberFormat="1" applyFont="1" applyFill="1" applyBorder="1" applyAlignment="1">
      <alignment horizontal="center" vertical="center"/>
    </xf>
    <xf numFmtId="4" fontId="31" fillId="2" borderId="0" xfId="0" applyNumberFormat="1" applyFont="1" applyFill="1" applyBorder="1" applyAlignment="1">
      <alignment horizontal="center" vertical="center"/>
    </xf>
    <xf numFmtId="4" fontId="3" fillId="2" borderId="0" xfId="0" applyNumberFormat="1" applyFont="1" applyFill="1" applyBorder="1" applyAlignment="1">
      <alignment horizontal="center" vertical="center"/>
    </xf>
    <xf numFmtId="4" fontId="0" fillId="2" borderId="0" xfId="0" applyNumberFormat="1" applyFont="1" applyFill="1" applyBorder="1" applyAlignment="1">
      <alignment horizontal="center" vertical="center"/>
    </xf>
    <xf numFmtId="4" fontId="12" fillId="2" borderId="0" xfId="0" applyNumberFormat="1" applyFont="1" applyFill="1" applyBorder="1" applyAlignment="1">
      <alignment horizontal="center" vertical="center"/>
    </xf>
    <xf numFmtId="4" fontId="14" fillId="2" borderId="0" xfId="0" applyNumberFormat="1" applyFont="1" applyFill="1" applyBorder="1" applyAlignment="1">
      <alignment horizontal="center" vertical="center" wrapText="1"/>
    </xf>
    <xf numFmtId="4" fontId="0" fillId="2" borderId="0" xfId="0" applyNumberFormat="1" applyFill="1" applyBorder="1" applyAlignment="1">
      <alignment horizontal="center"/>
    </xf>
    <xf numFmtId="0" fontId="1" fillId="2" borderId="0" xfId="0" applyFont="1" applyFill="1" applyBorder="1"/>
    <xf numFmtId="0" fontId="3" fillId="2" borderId="0" xfId="0" applyFont="1" applyFill="1" applyBorder="1"/>
    <xf numFmtId="4" fontId="3" fillId="2" borderId="0" xfId="0" applyNumberFormat="1" applyFont="1" applyFill="1" applyBorder="1" applyAlignment="1">
      <alignment horizontal="center"/>
    </xf>
    <xf numFmtId="0" fontId="5" fillId="2" borderId="0" xfId="0" applyFont="1" applyFill="1" applyBorder="1"/>
    <xf numFmtId="0" fontId="12" fillId="2" borderId="0" xfId="0" applyFont="1" applyFill="1" applyBorder="1"/>
    <xf numFmtId="0" fontId="10" fillId="2" borderId="0" xfId="0" applyFont="1" applyFill="1" applyBorder="1"/>
    <xf numFmtId="4" fontId="12" fillId="2" borderId="0" xfId="0" applyNumberFormat="1" applyFont="1" applyFill="1" applyBorder="1"/>
    <xf numFmtId="0" fontId="32" fillId="2" borderId="0" xfId="0" applyFont="1" applyFill="1" applyBorder="1"/>
    <xf numFmtId="0" fontId="7" fillId="2" borderId="0" xfId="0" applyFont="1" applyFill="1" applyBorder="1"/>
    <xf numFmtId="4" fontId="7" fillId="2" borderId="0" xfId="0" applyNumberFormat="1" applyFont="1" applyFill="1" applyBorder="1"/>
    <xf numFmtId="4" fontId="0" fillId="2" borderId="0" xfId="0" applyNumberFormat="1" applyFill="1" applyBorder="1"/>
    <xf numFmtId="4" fontId="10" fillId="2" borderId="0" xfId="0" applyNumberFormat="1" applyFont="1" applyFill="1" applyBorder="1"/>
    <xf numFmtId="0" fontId="13" fillId="2" borderId="0" xfId="0" applyFont="1" applyFill="1" applyBorder="1"/>
    <xf numFmtId="4" fontId="0" fillId="2" borderId="0" xfId="0" applyNumberFormat="1" applyFont="1" applyFill="1" applyBorder="1"/>
    <xf numFmtId="4" fontId="3" fillId="2" borderId="0" xfId="0" applyNumberFormat="1" applyFont="1" applyFill="1" applyBorder="1"/>
    <xf numFmtId="4" fontId="24" fillId="2" borderId="0" xfId="0" applyNumberFormat="1" applyFont="1" applyFill="1" applyBorder="1"/>
    <xf numFmtId="0" fontId="24" fillId="2" borderId="0" xfId="0" applyFont="1" applyFill="1" applyBorder="1"/>
    <xf numFmtId="49" fontId="10" fillId="2" borderId="0" xfId="0" applyNumberFormat="1" applyFont="1" applyFill="1" applyBorder="1"/>
    <xf numFmtId="49" fontId="0" fillId="2" borderId="0" xfId="0" applyNumberFormat="1" applyFill="1" applyBorder="1"/>
    <xf numFmtId="4" fontId="1" fillId="2" borderId="0" xfId="0" applyNumberFormat="1" applyFont="1" applyFill="1" applyBorder="1"/>
    <xf numFmtId="4" fontId="13" fillId="2" borderId="0" xfId="0" applyNumberFormat="1" applyFont="1" applyFill="1" applyBorder="1"/>
    <xf numFmtId="0" fontId="0" fillId="2" borderId="0" xfId="0" applyFont="1" applyFill="1" applyBorder="1"/>
    <xf numFmtId="4" fontId="5" fillId="2" borderId="0" xfId="0" applyNumberFormat="1" applyFont="1" applyFill="1" applyBorder="1" applyAlignment="1">
      <alignment wrapText="1"/>
    </xf>
    <xf numFmtId="0" fontId="33" fillId="2" borderId="0" xfId="0" applyFont="1" applyFill="1" applyBorder="1"/>
    <xf numFmtId="2" fontId="3" fillId="2" borderId="0" xfId="0" applyNumberFormat="1" applyFont="1" applyFill="1" applyBorder="1"/>
    <xf numFmtId="2" fontId="0" fillId="2" borderId="0" xfId="0" applyNumberFormat="1" applyFill="1" applyBorder="1"/>
    <xf numFmtId="0" fontId="12" fillId="2" borderId="0" xfId="0" applyFont="1" applyFill="1"/>
    <xf numFmtId="0" fontId="7" fillId="0" borderId="1" xfId="0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4" fontId="21" fillId="0" borderId="0" xfId="0" applyNumberFormat="1" applyFont="1" applyFill="1"/>
    <xf numFmtId="0" fontId="21" fillId="0" borderId="0" xfId="0" applyFont="1" applyFill="1"/>
    <xf numFmtId="0" fontId="12" fillId="0" borderId="1" xfId="0" applyFont="1" applyFill="1" applyBorder="1" applyAlignment="1">
      <alignment wrapText="1"/>
    </xf>
    <xf numFmtId="4" fontId="5" fillId="0" borderId="0" xfId="0" applyNumberFormat="1" applyFont="1" applyFill="1"/>
    <xf numFmtId="0" fontId="5" fillId="0" borderId="0" xfId="0" applyFont="1" applyFill="1"/>
    <xf numFmtId="4" fontId="5" fillId="0" borderId="1" xfId="0" applyNumberFormat="1" applyFont="1" applyFill="1" applyBorder="1"/>
    <xf numFmtId="4" fontId="7" fillId="0" borderId="0" xfId="0" applyNumberFormat="1" applyFont="1" applyFill="1" applyAlignment="1">
      <alignment wrapText="1"/>
    </xf>
    <xf numFmtId="4" fontId="24" fillId="0" borderId="0" xfId="0" applyNumberFormat="1" applyFont="1" applyFill="1"/>
    <xf numFmtId="49" fontId="12" fillId="0" borderId="1" xfId="0" applyNumberFormat="1" applyFont="1" applyFill="1" applyBorder="1" applyAlignment="1">
      <alignment horizontal="left" vertical="center" wrapText="1"/>
    </xf>
    <xf numFmtId="4" fontId="24" fillId="0" borderId="1" xfId="0" applyNumberFormat="1" applyFont="1" applyFill="1" applyBorder="1"/>
    <xf numFmtId="49" fontId="24" fillId="0" borderId="0" xfId="0" applyNumberFormat="1" applyFont="1" applyFill="1"/>
    <xf numFmtId="4" fontId="19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/>
    </xf>
    <xf numFmtId="4" fontId="29" fillId="0" borderId="1" xfId="0" applyNumberFormat="1" applyFont="1" applyFill="1" applyBorder="1" applyAlignment="1">
      <alignment horizontal="center" vertical="center"/>
    </xf>
    <xf numFmtId="0" fontId="18" fillId="0" borderId="0" xfId="0" applyFont="1" applyFill="1"/>
    <xf numFmtId="4" fontId="18" fillId="0" borderId="0" xfId="0" applyNumberFormat="1" applyFont="1" applyFill="1"/>
    <xf numFmtId="4" fontId="3" fillId="0" borderId="0" xfId="0" applyNumberFormat="1" applyFont="1" applyFill="1" applyBorder="1"/>
    <xf numFmtId="4" fontId="0" fillId="0" borderId="0" xfId="0" applyNumberFormat="1" applyFill="1" applyBorder="1"/>
    <xf numFmtId="4" fontId="3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/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7" fillId="2" borderId="1" xfId="0" applyFont="1" applyFill="1" applyBorder="1"/>
    <xf numFmtId="4" fontId="7" fillId="2" borderId="1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4" fontId="31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49" fontId="7" fillId="2" borderId="1" xfId="0" applyNumberFormat="1" applyFont="1" applyFill="1" applyBorder="1" applyAlignment="1">
      <alignment vertical="center" wrapText="1"/>
    </xf>
    <xf numFmtId="4" fontId="34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28" fillId="2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left" vertical="center" wrapText="1"/>
    </xf>
    <xf numFmtId="4" fontId="32" fillId="2" borderId="1" xfId="0" applyNumberFormat="1" applyFont="1" applyFill="1" applyBorder="1" applyAlignment="1">
      <alignment horizontal="center" vertical="center" wrapText="1"/>
    </xf>
    <xf numFmtId="4" fontId="32" fillId="2" borderId="0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18" fillId="2" borderId="1" xfId="0" applyNumberFormat="1" applyFont="1" applyFill="1" applyBorder="1" applyAlignment="1">
      <alignment horizontal="center" vertical="center" wrapText="1"/>
    </xf>
    <xf numFmtId="4" fontId="18" fillId="2" borderId="0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3" fillId="2" borderId="0" xfId="0" applyFont="1" applyFill="1"/>
    <xf numFmtId="0" fontId="26" fillId="0" borderId="4" xfId="0" applyFont="1" applyBorder="1" applyAlignment="1">
      <alignment wrapText="1"/>
    </xf>
    <xf numFmtId="49" fontId="8" fillId="4" borderId="1" xfId="0" applyNumberFormat="1" applyFont="1" applyFill="1" applyBorder="1" applyAlignment="1">
      <alignment horizontal="center" vertical="center"/>
    </xf>
    <xf numFmtId="0" fontId="26" fillId="0" borderId="0" xfId="0" applyFont="1"/>
    <xf numFmtId="0" fontId="26" fillId="4" borderId="1" xfId="0" applyFont="1" applyFill="1" applyBorder="1"/>
    <xf numFmtId="0" fontId="8" fillId="4" borderId="1" xfId="0" applyFont="1" applyFill="1" applyBorder="1" applyAlignment="1">
      <alignment horizontal="center" vertical="center"/>
    </xf>
    <xf numFmtId="4" fontId="8" fillId="4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 wrapText="1"/>
    </xf>
    <xf numFmtId="0" fontId="37" fillId="2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4" fontId="14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vertical="center" wrapText="1"/>
    </xf>
    <xf numFmtId="0" fontId="3" fillId="4" borderId="0" xfId="0" applyFont="1" applyFill="1" applyBorder="1"/>
    <xf numFmtId="0" fontId="3" fillId="4" borderId="0" xfId="0" applyFont="1" applyFill="1"/>
    <xf numFmtId="0" fontId="8" fillId="4" borderId="1" xfId="0" applyNumberFormat="1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4" fontId="12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 applyBorder="1"/>
    <xf numFmtId="0" fontId="26" fillId="0" borderId="1" xfId="0" applyFont="1" applyFill="1" applyBorder="1"/>
    <xf numFmtId="0" fontId="26" fillId="0" borderId="0" xfId="0" applyFont="1" applyFill="1" applyAlignment="1">
      <alignment wrapText="1"/>
    </xf>
    <xf numFmtId="0" fontId="26" fillId="0" borderId="1" xfId="0" applyFont="1" applyFill="1" applyBorder="1" applyAlignment="1">
      <alignment wrapText="1"/>
    </xf>
    <xf numFmtId="4" fontId="5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/>
    <xf numFmtId="49" fontId="0" fillId="0" borderId="0" xfId="0" applyNumberFormat="1" applyFill="1" applyBorder="1"/>
    <xf numFmtId="4" fontId="10" fillId="0" borderId="0" xfId="0" applyNumberFormat="1" applyFont="1" applyFill="1" applyBorder="1"/>
    <xf numFmtId="4" fontId="0" fillId="0" borderId="0" xfId="0" applyNumberForma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/>
    </xf>
    <xf numFmtId="4" fontId="36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0" fillId="0" borderId="1" xfId="0" applyFill="1" applyBorder="1" applyAlignment="1">
      <alignment horizontal="left" vertical="center" wrapText="1"/>
    </xf>
    <xf numFmtId="4" fontId="12" fillId="0" borderId="0" xfId="0" applyNumberFormat="1" applyFont="1" applyFill="1" applyBorder="1"/>
    <xf numFmtId="0" fontId="26" fillId="2" borderId="0" xfId="0" applyFont="1" applyFill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wrapText="1"/>
    </xf>
    <xf numFmtId="0" fontId="23" fillId="3" borderId="1" xfId="0" applyFont="1" applyFill="1" applyBorder="1" applyAlignment="1">
      <alignment wrapText="1"/>
    </xf>
    <xf numFmtId="49" fontId="12" fillId="3" borderId="1" xfId="0" applyNumberFormat="1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4" fontId="7" fillId="4" borderId="0" xfId="0" applyNumberFormat="1" applyFont="1" applyFill="1"/>
    <xf numFmtId="0" fontId="8" fillId="0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wrapText="1"/>
    </xf>
    <xf numFmtId="4" fontId="8" fillId="7" borderId="1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4" fontId="8" fillId="0" borderId="6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4" fontId="8" fillId="0" borderId="3" xfId="0" applyNumberFormat="1" applyFont="1" applyFill="1" applyBorder="1" applyAlignment="1">
      <alignment horizontal="center" vertical="center"/>
    </xf>
    <xf numFmtId="0" fontId="0" fillId="0" borderId="1" xfId="0" applyFont="1" applyFill="1" applyBorder="1"/>
    <xf numFmtId="0" fontId="8" fillId="7" borderId="1" xfId="0" applyFont="1" applyFill="1" applyBorder="1" applyAlignment="1">
      <alignment horizontal="center" vertical="center"/>
    </xf>
    <xf numFmtId="49" fontId="3" fillId="7" borderId="1" xfId="0" applyNumberFormat="1" applyFont="1" applyFill="1" applyBorder="1" applyAlignment="1">
      <alignment horizontal="center" vertical="center"/>
    </xf>
    <xf numFmtId="49" fontId="8" fillId="7" borderId="1" xfId="0" applyNumberFormat="1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left" vertical="center" wrapText="1"/>
    </xf>
    <xf numFmtId="0" fontId="0" fillId="7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4" fontId="7" fillId="2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5" fillId="0" borderId="0" xfId="0" applyFont="1" applyFill="1" applyBorder="1"/>
    <xf numFmtId="0" fontId="14" fillId="0" borderId="0" xfId="0" applyFont="1" applyFill="1" applyBorder="1"/>
    <xf numFmtId="0" fontId="14" fillId="0" borderId="0" xfId="0" applyFont="1" applyFill="1"/>
    <xf numFmtId="0" fontId="16" fillId="0" borderId="0" xfId="0" applyFont="1" applyFill="1" applyBorder="1"/>
    <xf numFmtId="0" fontId="16" fillId="0" borderId="0" xfId="0" applyFont="1" applyFill="1"/>
    <xf numFmtId="49" fontId="7" fillId="4" borderId="1" xfId="0" applyNumberFormat="1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4" fontId="3" fillId="0" borderId="0" xfId="0" applyNumberFormat="1" applyFont="1" applyFill="1" applyAlignment="1">
      <alignment horizontal="right"/>
    </xf>
    <xf numFmtId="0" fontId="18" fillId="8" borderId="1" xfId="0" applyFont="1" applyFill="1" applyBorder="1" applyAlignment="1">
      <alignment horizontal="left" vertical="center" wrapText="1"/>
    </xf>
    <xf numFmtId="0" fontId="5" fillId="8" borderId="1" xfId="0" applyFont="1" applyFill="1" applyBorder="1" applyAlignment="1">
      <alignment horizontal="center" vertical="center" wrapText="1"/>
    </xf>
    <xf numFmtId="4" fontId="5" fillId="8" borderId="1" xfId="0" applyNumberFormat="1" applyFont="1" applyFill="1" applyBorder="1" applyAlignment="1">
      <alignment horizontal="center" vertical="center" wrapText="1"/>
    </xf>
    <xf numFmtId="4" fontId="5" fillId="8" borderId="1" xfId="0" applyNumberFormat="1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left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4" fontId="14" fillId="8" borderId="1" xfId="0" applyNumberFormat="1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7" fillId="4" borderId="1" xfId="0" applyFont="1" applyFill="1" applyBorder="1"/>
    <xf numFmtId="49" fontId="7" fillId="4" borderId="1" xfId="0" applyNumberFormat="1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7" fillId="0" borderId="0" xfId="0" applyFont="1" applyAlignment="1">
      <alignment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1" xfId="0" applyFont="1" applyFill="1" applyBorder="1" applyAlignment="1">
      <alignment horizontal="center" vertical="center" textRotation="90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4" fontId="8" fillId="7" borderId="7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0" fillId="0" borderId="0" xfId="0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4" fontId="0" fillId="2" borderId="1" xfId="0" applyNumberForma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L123"/>
  <sheetViews>
    <sheetView tabSelected="1" view="pageBreakPreview" topLeftCell="A50" zoomScaleSheetLayoutView="100" workbookViewId="0">
      <selection activeCell="B20" sqref="B20"/>
    </sheetView>
  </sheetViews>
  <sheetFormatPr defaultColWidth="9.109375" defaultRowHeight="13.2"/>
  <cols>
    <col min="1" max="1" width="1.88671875" style="62" customWidth="1"/>
    <col min="2" max="2" width="61.33203125" style="62" customWidth="1"/>
    <col min="3" max="3" width="6.88671875" style="65" hidden="1" customWidth="1"/>
    <col min="4" max="4" width="6.5546875" style="65" customWidth="1"/>
    <col min="5" max="5" width="8" style="65" customWidth="1"/>
    <col min="6" max="8" width="22.109375" style="64" customWidth="1"/>
    <col min="9" max="9" width="13.88671875" style="62" hidden="1" customWidth="1"/>
    <col min="10" max="10" width="2" style="62" customWidth="1"/>
    <col min="11" max="11" width="13.88671875" style="62" hidden="1" customWidth="1"/>
    <col min="12" max="16384" width="9.109375" style="62"/>
  </cols>
  <sheetData>
    <row r="1" spans="2:11" customFormat="1" ht="19.5" hidden="1" customHeight="1">
      <c r="B1" s="62"/>
      <c r="C1" s="65"/>
      <c r="D1" s="65"/>
      <c r="E1" s="65"/>
      <c r="F1" s="405" t="s">
        <v>922</v>
      </c>
      <c r="G1" s="405"/>
      <c r="H1" s="405"/>
      <c r="I1" s="405"/>
      <c r="J1" s="405"/>
      <c r="K1" s="405"/>
    </row>
    <row r="2" spans="2:11" customFormat="1" ht="33" hidden="1" customHeight="1">
      <c r="B2" s="62"/>
      <c r="C2" s="281"/>
      <c r="D2" s="65"/>
      <c r="E2" s="65"/>
      <c r="F2" s="405" t="s">
        <v>1045</v>
      </c>
      <c r="G2" s="405"/>
      <c r="H2" s="97"/>
      <c r="I2" s="97"/>
      <c r="J2" s="99"/>
    </row>
    <row r="3" spans="2:11" customFormat="1" ht="19.5" hidden="1" customHeight="1">
      <c r="B3" s="62"/>
      <c r="C3" s="65"/>
      <c r="D3" s="65"/>
      <c r="E3" s="65"/>
      <c r="F3" s="405" t="s">
        <v>922</v>
      </c>
      <c r="G3" s="405"/>
      <c r="H3" s="405"/>
      <c r="I3" s="405"/>
      <c r="J3" s="405"/>
      <c r="K3" s="405"/>
    </row>
    <row r="4" spans="2:11" customFormat="1" ht="33" hidden="1" customHeight="1">
      <c r="B4" s="62"/>
      <c r="C4" s="248"/>
      <c r="D4" s="65"/>
      <c r="E4" s="65"/>
      <c r="F4" s="405" t="s">
        <v>1012</v>
      </c>
      <c r="G4" s="405"/>
      <c r="H4" s="97"/>
      <c r="I4" s="97"/>
      <c r="J4" s="99"/>
    </row>
    <row r="5" spans="2:11" customFormat="1" ht="19.5" hidden="1" customHeight="1">
      <c r="B5" s="62"/>
      <c r="C5" s="65"/>
      <c r="D5" s="65"/>
      <c r="E5" s="65"/>
      <c r="F5" s="405" t="s">
        <v>922</v>
      </c>
      <c r="G5" s="405"/>
      <c r="H5" s="405"/>
      <c r="I5" s="405"/>
      <c r="J5" s="405"/>
      <c r="K5" s="405"/>
    </row>
    <row r="6" spans="2:11" customFormat="1" ht="33" hidden="1" customHeight="1">
      <c r="B6" s="62"/>
      <c r="C6" s="246"/>
      <c r="D6" s="65"/>
      <c r="E6" s="65"/>
      <c r="F6" s="405" t="s">
        <v>993</v>
      </c>
      <c r="G6" s="405"/>
      <c r="H6" s="97"/>
      <c r="I6" s="97"/>
      <c r="J6" s="99"/>
    </row>
    <row r="7" spans="2:11" customFormat="1" ht="19.5" hidden="1" customHeight="1">
      <c r="B7" s="62"/>
      <c r="C7" s="65"/>
      <c r="D7" s="65"/>
      <c r="E7" s="65"/>
      <c r="F7" s="405" t="s">
        <v>922</v>
      </c>
      <c r="G7" s="405"/>
      <c r="H7" s="405"/>
      <c r="I7" s="405"/>
      <c r="J7" s="405"/>
      <c r="K7" s="405"/>
    </row>
    <row r="8" spans="2:11" customFormat="1" ht="33" hidden="1" customHeight="1">
      <c r="B8" s="62"/>
      <c r="C8" s="244"/>
      <c r="D8" s="65"/>
      <c r="E8" s="65"/>
      <c r="F8" s="405" t="s">
        <v>976</v>
      </c>
      <c r="G8" s="405"/>
      <c r="H8" s="97"/>
      <c r="I8" s="97"/>
      <c r="J8" s="99"/>
    </row>
    <row r="9" spans="2:11" customFormat="1" ht="19.5" hidden="1" customHeight="1">
      <c r="B9" s="62"/>
      <c r="C9" s="65"/>
      <c r="D9" s="65"/>
      <c r="E9" s="65"/>
      <c r="F9" s="405" t="s">
        <v>922</v>
      </c>
      <c r="G9" s="405"/>
      <c r="H9" s="405"/>
      <c r="I9" s="405"/>
      <c r="J9" s="405"/>
      <c r="K9" s="405"/>
    </row>
    <row r="10" spans="2:11" customFormat="1" ht="17.25" customHeight="1">
      <c r="B10" s="62"/>
      <c r="C10" s="65"/>
      <c r="D10" s="65"/>
      <c r="E10" s="65"/>
      <c r="F10" s="405" t="s">
        <v>1307</v>
      </c>
      <c r="G10" s="405"/>
      <c r="H10" s="405"/>
      <c r="I10" s="405"/>
      <c r="J10" s="405"/>
      <c r="K10" s="405"/>
    </row>
    <row r="11" spans="2:11" customFormat="1" ht="32.25" customHeight="1">
      <c r="B11" s="62"/>
      <c r="C11" s="403"/>
      <c r="D11" s="65"/>
      <c r="E11" s="65"/>
      <c r="F11" s="405" t="s">
        <v>1551</v>
      </c>
      <c r="G11" s="405"/>
      <c r="H11" s="97"/>
      <c r="I11" s="97"/>
      <c r="J11" s="99"/>
    </row>
    <row r="12" spans="2:11" customFormat="1" ht="33" hidden="1" customHeight="1">
      <c r="B12" s="62"/>
      <c r="C12" s="179"/>
      <c r="D12" s="65"/>
      <c r="E12" s="65"/>
      <c r="F12" s="405" t="s">
        <v>942</v>
      </c>
      <c r="G12" s="405"/>
      <c r="H12" s="97"/>
      <c r="I12" s="97"/>
      <c r="J12" s="99"/>
    </row>
    <row r="13" spans="2:11" customFormat="1" ht="17.25" customHeight="1">
      <c r="B13" s="62"/>
      <c r="C13" s="65"/>
      <c r="D13" s="65"/>
      <c r="E13" s="65"/>
      <c r="F13" s="405" t="s">
        <v>1310</v>
      </c>
      <c r="G13" s="405"/>
      <c r="H13" s="405"/>
      <c r="I13" s="405"/>
      <c r="J13" s="405"/>
      <c r="K13" s="405"/>
    </row>
    <row r="14" spans="2:11" customFormat="1" ht="32.25" customHeight="1">
      <c r="B14" s="62"/>
      <c r="C14" s="400"/>
      <c r="D14" s="65"/>
      <c r="E14" s="65"/>
      <c r="F14" s="405" t="s">
        <v>1491</v>
      </c>
      <c r="G14" s="405"/>
      <c r="H14" s="97"/>
      <c r="I14" s="97"/>
      <c r="J14" s="99"/>
    </row>
    <row r="15" spans="2:11" customFormat="1" ht="17.25" customHeight="1">
      <c r="B15" s="62"/>
      <c r="C15" s="65"/>
      <c r="D15" s="65"/>
      <c r="E15" s="65"/>
      <c r="F15" s="405" t="s">
        <v>1310</v>
      </c>
      <c r="G15" s="405"/>
      <c r="H15" s="405"/>
      <c r="I15" s="405"/>
      <c r="J15" s="405"/>
      <c r="K15" s="405"/>
    </row>
    <row r="16" spans="2:11" customFormat="1" ht="32.25" customHeight="1">
      <c r="B16" s="62"/>
      <c r="C16" s="384"/>
      <c r="D16" s="65"/>
      <c r="E16" s="65"/>
      <c r="F16" s="405" t="s">
        <v>1449</v>
      </c>
      <c r="G16" s="405"/>
      <c r="H16" s="97"/>
      <c r="I16" s="97"/>
      <c r="J16" s="99"/>
    </row>
    <row r="17" spans="2:11" customFormat="1" ht="17.25" customHeight="1">
      <c r="B17" s="62"/>
      <c r="C17" s="65"/>
      <c r="D17" s="65"/>
      <c r="E17" s="65"/>
      <c r="F17" s="405" t="s">
        <v>1310</v>
      </c>
      <c r="G17" s="405"/>
      <c r="H17" s="405"/>
      <c r="I17" s="405"/>
      <c r="J17" s="405"/>
      <c r="K17" s="405"/>
    </row>
    <row r="18" spans="2:11" customFormat="1" ht="32.25" customHeight="1">
      <c r="B18" s="62"/>
      <c r="C18" s="382"/>
      <c r="D18" s="65"/>
      <c r="E18" s="65"/>
      <c r="F18" s="405" t="s">
        <v>1405</v>
      </c>
      <c r="G18" s="405"/>
      <c r="H18" s="97"/>
      <c r="I18" s="97"/>
      <c r="J18" s="99"/>
    </row>
    <row r="19" spans="2:11" customFormat="1" ht="17.25" customHeight="1">
      <c r="B19" s="62"/>
      <c r="C19" s="65"/>
      <c r="D19" s="65"/>
      <c r="E19" s="65"/>
      <c r="F19" s="405" t="s">
        <v>1310</v>
      </c>
      <c r="G19" s="405"/>
      <c r="H19" s="405"/>
      <c r="I19" s="405"/>
      <c r="J19" s="405"/>
      <c r="K19" s="405"/>
    </row>
    <row r="20" spans="2:11" customFormat="1" ht="32.25" customHeight="1">
      <c r="B20" s="62"/>
      <c r="C20" s="371"/>
      <c r="D20" s="65"/>
      <c r="E20" s="65"/>
      <c r="F20" s="405" t="s">
        <v>1406</v>
      </c>
      <c r="G20" s="405"/>
      <c r="H20" s="97"/>
      <c r="I20" s="97"/>
      <c r="J20" s="99"/>
    </row>
    <row r="21" spans="2:11" customFormat="1" ht="17.25" customHeight="1">
      <c r="B21" s="62"/>
      <c r="C21" s="65"/>
      <c r="D21" s="65"/>
      <c r="E21" s="65"/>
      <c r="F21" s="405" t="s">
        <v>1307</v>
      </c>
      <c r="G21" s="405"/>
      <c r="H21" s="405"/>
      <c r="I21" s="405"/>
      <c r="J21" s="405"/>
      <c r="K21" s="405"/>
    </row>
    <row r="22" spans="2:11" customFormat="1" ht="32.25" customHeight="1">
      <c r="B22" s="62"/>
      <c r="C22" s="166"/>
      <c r="D22" s="65"/>
      <c r="E22" s="65"/>
      <c r="F22" s="405" t="s">
        <v>1407</v>
      </c>
      <c r="G22" s="405"/>
      <c r="H22" s="97"/>
      <c r="I22" s="97"/>
      <c r="J22" s="99"/>
    </row>
    <row r="23" spans="2:11" customFormat="1" ht="17.25" customHeight="1">
      <c r="B23" s="62"/>
      <c r="C23" s="65"/>
      <c r="D23" s="65"/>
      <c r="E23" s="65"/>
      <c r="F23" s="405" t="s">
        <v>1310</v>
      </c>
      <c r="G23" s="405"/>
      <c r="H23" s="405"/>
      <c r="I23" s="405"/>
      <c r="J23" s="405"/>
      <c r="K23" s="405"/>
    </row>
    <row r="24" spans="2:11" customFormat="1" ht="32.25" customHeight="1">
      <c r="B24" s="62"/>
      <c r="C24" s="366"/>
      <c r="D24" s="65"/>
      <c r="E24" s="65"/>
      <c r="F24" s="405" t="s">
        <v>1320</v>
      </c>
      <c r="G24" s="405"/>
      <c r="H24" s="97"/>
      <c r="I24" s="97"/>
      <c r="J24" s="99"/>
    </row>
    <row r="25" spans="2:11" customFormat="1" ht="20.25" customHeight="1">
      <c r="B25" s="62"/>
      <c r="C25" s="368"/>
      <c r="D25" s="65"/>
      <c r="E25" s="65"/>
      <c r="F25" s="405" t="s">
        <v>1310</v>
      </c>
      <c r="G25" s="405"/>
      <c r="H25" s="97"/>
      <c r="I25" s="97"/>
      <c r="J25" s="99"/>
    </row>
    <row r="26" spans="2:11" customFormat="1" ht="32.25" customHeight="1">
      <c r="B26" s="62"/>
      <c r="C26" s="368"/>
      <c r="D26" s="65"/>
      <c r="E26" s="65"/>
      <c r="F26" s="405" t="s">
        <v>1319</v>
      </c>
      <c r="G26" s="413"/>
      <c r="H26" s="413"/>
      <c r="I26" s="97"/>
      <c r="J26" s="99"/>
    </row>
    <row r="27" spans="2:11" s="61" customFormat="1" ht="51" customHeight="1">
      <c r="B27" s="408" t="s">
        <v>1149</v>
      </c>
      <c r="C27" s="408"/>
      <c r="D27" s="408"/>
      <c r="E27" s="408"/>
      <c r="F27" s="408"/>
      <c r="G27" s="409"/>
      <c r="H27" s="409"/>
    </row>
    <row r="28" spans="2:11" s="61" customFormat="1" ht="16.5" customHeight="1">
      <c r="B28" s="406" t="s">
        <v>11</v>
      </c>
      <c r="C28" s="98"/>
      <c r="D28" s="410" t="s">
        <v>13</v>
      </c>
      <c r="E28" s="410" t="s">
        <v>14</v>
      </c>
      <c r="F28" s="412" t="s">
        <v>359</v>
      </c>
      <c r="G28" s="406"/>
      <c r="H28" s="406"/>
    </row>
    <row r="29" spans="2:11" s="3" customFormat="1" ht="12.75" customHeight="1">
      <c r="B29" s="407"/>
      <c r="C29" s="410" t="s">
        <v>12</v>
      </c>
      <c r="D29" s="407"/>
      <c r="E29" s="407"/>
      <c r="F29" s="411" t="s">
        <v>631</v>
      </c>
      <c r="G29" s="411" t="s">
        <v>865</v>
      </c>
      <c r="H29" s="411" t="s">
        <v>1124</v>
      </c>
      <c r="I29" s="62"/>
      <c r="J29" s="62"/>
    </row>
    <row r="30" spans="2:11" s="3" customFormat="1" ht="35.25" customHeight="1">
      <c r="B30" s="407"/>
      <c r="C30" s="410"/>
      <c r="D30" s="407"/>
      <c r="E30" s="407"/>
      <c r="F30" s="411"/>
      <c r="G30" s="411"/>
      <c r="H30" s="411"/>
      <c r="I30" s="62"/>
      <c r="J30" s="62"/>
    </row>
    <row r="31" spans="2:11" s="3" customFormat="1">
      <c r="B31" s="100">
        <v>1</v>
      </c>
      <c r="C31" s="100">
        <v>2</v>
      </c>
      <c r="D31" s="100">
        <v>2</v>
      </c>
      <c r="E31" s="100">
        <v>3</v>
      </c>
      <c r="F31" s="101">
        <v>4</v>
      </c>
      <c r="G31" s="101">
        <v>5</v>
      </c>
      <c r="H31" s="101">
        <v>6</v>
      </c>
      <c r="I31" s="62"/>
      <c r="J31" s="62"/>
    </row>
    <row r="32" spans="2:11" ht="16.8">
      <c r="B32" s="68"/>
      <c r="C32" s="68"/>
      <c r="D32" s="68"/>
      <c r="E32" s="68"/>
      <c r="F32" s="68"/>
      <c r="G32" s="68"/>
      <c r="H32" s="68"/>
    </row>
    <row r="33" spans="2:10" s="3" customFormat="1">
      <c r="B33" s="5" t="s">
        <v>17</v>
      </c>
      <c r="C33" s="45">
        <v>793</v>
      </c>
      <c r="D33" s="7" t="s">
        <v>18</v>
      </c>
      <c r="E33" s="7"/>
      <c r="F33" s="38">
        <f>F34+F35+F36+F38+F40+F41+F37+F39</f>
        <v>201405957.66</v>
      </c>
      <c r="G33" s="38">
        <f t="shared" ref="G33:H33" si="0">G34+G35+G36+G38+G40+G41+G37+G39</f>
        <v>176813148.58999997</v>
      </c>
      <c r="H33" s="38">
        <f t="shared" si="0"/>
        <v>176286066.93000001</v>
      </c>
      <c r="I33" s="63">
        <f>прил4!G546+прил4!G1415+прил4!G1489+прил4!G2863</f>
        <v>191758074.44</v>
      </c>
      <c r="J33" s="62"/>
    </row>
    <row r="34" spans="2:10" s="3" customFormat="1" ht="26.4">
      <c r="B34" s="53" t="s">
        <v>310</v>
      </c>
      <c r="C34" s="79">
        <v>793</v>
      </c>
      <c r="D34" s="10" t="s">
        <v>18</v>
      </c>
      <c r="E34" s="10" t="s">
        <v>27</v>
      </c>
      <c r="F34" s="27">
        <f>прил4!G1490</f>
        <v>3428902.38</v>
      </c>
      <c r="G34" s="27">
        <f>прил4!H1490</f>
        <v>2569071.31</v>
      </c>
      <c r="H34" s="27">
        <f>прил4!I1490</f>
        <v>2604396.04</v>
      </c>
      <c r="I34" s="62"/>
      <c r="J34" s="62"/>
    </row>
    <row r="35" spans="2:10" s="3" customFormat="1" ht="39.6">
      <c r="B35" s="51" t="s">
        <v>351</v>
      </c>
      <c r="C35" s="79">
        <v>794</v>
      </c>
      <c r="D35" s="52" t="s">
        <v>18</v>
      </c>
      <c r="E35" s="52" t="s">
        <v>69</v>
      </c>
      <c r="F35" s="27">
        <f>прил4!G2864</f>
        <v>4569876.1099999994</v>
      </c>
      <c r="G35" s="27">
        <f>прил4!H2864</f>
        <v>4744411</v>
      </c>
      <c r="H35" s="27">
        <f>прил4!I2864</f>
        <v>4744411</v>
      </c>
      <c r="I35" s="62"/>
      <c r="J35" s="62"/>
    </row>
    <row r="36" spans="2:10" s="3" customFormat="1" ht="39.6">
      <c r="B36" s="53" t="s">
        <v>74</v>
      </c>
      <c r="C36" s="79">
        <v>793</v>
      </c>
      <c r="D36" s="10" t="s">
        <v>18</v>
      </c>
      <c r="E36" s="10" t="s">
        <v>53</v>
      </c>
      <c r="F36" s="27">
        <f>прил4!G547+прил4!G1416+прил4!G1505+прил4!G3320</f>
        <v>121032133.42999999</v>
      </c>
      <c r="G36" s="27">
        <f>прил4!H547+прил4!H1416+прил4!H1505+прил4!H3320</f>
        <v>118843337.70999999</v>
      </c>
      <c r="H36" s="27">
        <f>прил4!I547+прил4!I1416+прил4!I1505+прил4!I3320</f>
        <v>120454183.03999999</v>
      </c>
      <c r="I36" s="62"/>
      <c r="J36" s="62"/>
    </row>
    <row r="37" spans="2:10" s="3" customFormat="1">
      <c r="B37" s="16" t="s">
        <v>271</v>
      </c>
      <c r="C37" s="79"/>
      <c r="D37" s="10" t="s">
        <v>18</v>
      </c>
      <c r="E37" s="10" t="s">
        <v>167</v>
      </c>
      <c r="F37" s="25">
        <f>прил4!G1572</f>
        <v>7990.18</v>
      </c>
      <c r="G37" s="25">
        <f>прил4!H1572</f>
        <v>1483.42</v>
      </c>
      <c r="H37" s="25">
        <f>прил4!I1572</f>
        <v>1323.3000000000002</v>
      </c>
      <c r="I37" s="62"/>
      <c r="J37" s="62"/>
    </row>
    <row r="38" spans="2:10" s="3" customFormat="1" ht="26.4">
      <c r="B38" s="53" t="s">
        <v>156</v>
      </c>
      <c r="C38" s="45">
        <v>792</v>
      </c>
      <c r="D38" s="10" t="s">
        <v>18</v>
      </c>
      <c r="E38" s="10" t="s">
        <v>157</v>
      </c>
      <c r="F38" s="25">
        <f>прил4!G1423+прил4!G3301</f>
        <v>18556939.149999999</v>
      </c>
      <c r="G38" s="25">
        <f>прил4!H1423+прил4!H3301</f>
        <v>18586250</v>
      </c>
      <c r="H38" s="25">
        <f>прил4!I1423+прил4!I3301</f>
        <v>18753829</v>
      </c>
      <c r="I38" s="62"/>
      <c r="J38" s="62"/>
    </row>
    <row r="39" spans="2:10" s="3" customFormat="1" hidden="1">
      <c r="B39" s="53" t="s">
        <v>772</v>
      </c>
      <c r="C39" s="45"/>
      <c r="D39" s="10" t="s">
        <v>18</v>
      </c>
      <c r="E39" s="10" t="s">
        <v>25</v>
      </c>
      <c r="F39" s="25">
        <f>прил4!G1577</f>
        <v>0</v>
      </c>
      <c r="G39" s="25">
        <f>прил4!H1577</f>
        <v>0</v>
      </c>
      <c r="H39" s="25">
        <f>прил4!I1577</f>
        <v>0</v>
      </c>
      <c r="I39" s="62"/>
      <c r="J39" s="62"/>
    </row>
    <row r="40" spans="2:10" s="3" customFormat="1">
      <c r="B40" s="51" t="s">
        <v>324</v>
      </c>
      <c r="C40" s="79">
        <v>793</v>
      </c>
      <c r="D40" s="52" t="s">
        <v>18</v>
      </c>
      <c r="E40" s="52" t="s">
        <v>71</v>
      </c>
      <c r="F40" s="27">
        <f>прил4!G1582</f>
        <v>19477.559999999998</v>
      </c>
      <c r="G40" s="27">
        <f>прил4!H1582</f>
        <v>1000000</v>
      </c>
      <c r="H40" s="27">
        <f>прил4!I1582</f>
        <v>1000000</v>
      </c>
      <c r="I40" s="62"/>
      <c r="J40" s="62"/>
    </row>
    <row r="41" spans="2:10" s="3" customFormat="1">
      <c r="B41" s="9" t="s">
        <v>21</v>
      </c>
      <c r="C41" s="79">
        <v>793</v>
      </c>
      <c r="D41" s="10" t="s">
        <v>18</v>
      </c>
      <c r="E41" s="10" t="s">
        <v>22</v>
      </c>
      <c r="F41" s="27">
        <f>прил4!G1587+прил4!G559+прил4!G1436+прил4!G652+прил4!G2896+прил4!G3203+прил4!G24</f>
        <v>53790638.850000001</v>
      </c>
      <c r="G41" s="27">
        <f>прил4!H1587+прил4!H559+прил4!H1436</f>
        <v>31068595.149999999</v>
      </c>
      <c r="H41" s="27">
        <f>прил4!I1587+прил4!I559+прил4!I1436</f>
        <v>28727924.550000001</v>
      </c>
      <c r="I41" s="62"/>
      <c r="J41" s="62"/>
    </row>
    <row r="42" spans="2:10" s="3" customFormat="1">
      <c r="B42" s="47" t="s">
        <v>159</v>
      </c>
      <c r="C42" s="45">
        <v>792</v>
      </c>
      <c r="D42" s="20" t="s">
        <v>27</v>
      </c>
      <c r="E42" s="20"/>
      <c r="F42" s="12">
        <f>F43</f>
        <v>2532476.0500000003</v>
      </c>
      <c r="G42" s="12">
        <f t="shared" ref="G42:H42" si="1">G43</f>
        <v>2638640.5499999998</v>
      </c>
      <c r="H42" s="12">
        <f t="shared" si="1"/>
        <v>2732975.8</v>
      </c>
      <c r="I42" s="62"/>
      <c r="J42" s="62"/>
    </row>
    <row r="43" spans="2:10" s="3" customFormat="1">
      <c r="B43" s="9" t="s">
        <v>160</v>
      </c>
      <c r="C43" s="45">
        <v>792</v>
      </c>
      <c r="D43" s="10" t="s">
        <v>27</v>
      </c>
      <c r="E43" s="10" t="s">
        <v>69</v>
      </c>
      <c r="F43" s="25">
        <f>прил4!G1445+прил4!G3339+прил4!G1753</f>
        <v>2532476.0500000003</v>
      </c>
      <c r="G43" s="25">
        <f>прил4!H1445+прил4!H3339+прил4!H1753</f>
        <v>2638640.5499999998</v>
      </c>
      <c r="H43" s="25">
        <f>прил4!I1445+прил4!I3339+прил4!I1753</f>
        <v>2732975.8</v>
      </c>
      <c r="I43" s="62"/>
      <c r="J43" s="62"/>
    </row>
    <row r="44" spans="2:10" s="3" customFormat="1" ht="26.4">
      <c r="B44" s="11" t="s">
        <v>162</v>
      </c>
      <c r="C44" s="6">
        <v>793</v>
      </c>
      <c r="D44" s="7" t="s">
        <v>69</v>
      </c>
      <c r="E44" s="7"/>
      <c r="F44" s="38">
        <f>F45+F47+F46</f>
        <v>18368503.240000002</v>
      </c>
      <c r="G44" s="38">
        <f t="shared" ref="G44:H44" si="2">G45+G47+G46</f>
        <v>2680000</v>
      </c>
      <c r="H44" s="38">
        <f t="shared" si="2"/>
        <v>2680000</v>
      </c>
      <c r="I44" s="63">
        <f>прил4!G658+прил4!G1779</f>
        <v>18368503.240000002</v>
      </c>
      <c r="J44" s="62"/>
    </row>
    <row r="45" spans="2:10" s="3" customFormat="1">
      <c r="B45" s="48" t="s">
        <v>757</v>
      </c>
      <c r="C45" s="45">
        <v>793</v>
      </c>
      <c r="D45" s="52" t="s">
        <v>69</v>
      </c>
      <c r="E45" s="52" t="s">
        <v>120</v>
      </c>
      <c r="F45" s="27">
        <f>прил4!G1780</f>
        <v>323000</v>
      </c>
      <c r="G45" s="27">
        <f>прил4!H1780</f>
        <v>365000</v>
      </c>
      <c r="H45" s="27">
        <f>прил4!I1780</f>
        <v>365000</v>
      </c>
      <c r="I45" s="62"/>
      <c r="J45" s="62"/>
    </row>
    <row r="46" spans="2:10" s="3" customFormat="1" ht="45.75" customHeight="1">
      <c r="B46" s="48" t="s">
        <v>758</v>
      </c>
      <c r="C46" s="45"/>
      <c r="D46" s="52" t="s">
        <v>69</v>
      </c>
      <c r="E46" s="52" t="s">
        <v>68</v>
      </c>
      <c r="F46" s="27">
        <f>прил4!G1816</f>
        <v>17667951.530000001</v>
      </c>
      <c r="G46" s="27">
        <f>прил4!H1816</f>
        <v>1885000</v>
      </c>
      <c r="H46" s="27">
        <f>прил4!I1816</f>
        <v>1885000</v>
      </c>
      <c r="I46" s="62"/>
      <c r="J46" s="62"/>
    </row>
    <row r="47" spans="2:10" s="3" customFormat="1" ht="26.4">
      <c r="B47" s="16" t="s">
        <v>328</v>
      </c>
      <c r="C47" s="45"/>
      <c r="D47" s="41" t="s">
        <v>69</v>
      </c>
      <c r="E47" s="41" t="s">
        <v>303</v>
      </c>
      <c r="F47" s="27">
        <f>прил4!G1887+прил4!G659</f>
        <v>377551.70999999996</v>
      </c>
      <c r="G47" s="27">
        <f>прил4!H1887+прил4!H663+прил4!H665</f>
        <v>430000</v>
      </c>
      <c r="H47" s="27">
        <f>прил4!I1887+прил4!I663+прил4!I665</f>
        <v>430000</v>
      </c>
      <c r="I47" s="62"/>
      <c r="J47" s="62"/>
    </row>
    <row r="48" spans="2:10" s="3" customFormat="1">
      <c r="B48" s="11" t="s">
        <v>85</v>
      </c>
      <c r="C48" s="6">
        <v>793</v>
      </c>
      <c r="D48" s="7" t="s">
        <v>53</v>
      </c>
      <c r="E48" s="7"/>
      <c r="F48" s="38">
        <f>F50+F51+F52+F49</f>
        <v>90461346.640000001</v>
      </c>
      <c r="G48" s="38">
        <f t="shared" ref="G48:H48" si="3">G50+G51+G52+G49</f>
        <v>63457688</v>
      </c>
      <c r="H48" s="38">
        <f t="shared" si="3"/>
        <v>64212155</v>
      </c>
      <c r="I48" s="63">
        <f>прил4!G29+прил4!G589+прил4!G1902+прил4!G2897</f>
        <v>80636346.640000001</v>
      </c>
      <c r="J48" s="62"/>
    </row>
    <row r="49" spans="2:11" s="46" customFormat="1" hidden="1">
      <c r="B49" s="162" t="s">
        <v>753</v>
      </c>
      <c r="C49" s="49"/>
      <c r="D49" s="66" t="s">
        <v>53</v>
      </c>
      <c r="E49" s="66" t="s">
        <v>167</v>
      </c>
      <c r="F49" s="29">
        <f>прил4!G1903+прил4!G590</f>
        <v>0</v>
      </c>
      <c r="G49" s="29">
        <f>прил4!H1903</f>
        <v>0</v>
      </c>
      <c r="H49" s="29">
        <f>прил4!I1903</f>
        <v>0</v>
      </c>
      <c r="I49" s="163"/>
      <c r="J49" s="58"/>
    </row>
    <row r="50" spans="2:11" s="3" customFormat="1">
      <c r="B50" s="53" t="s">
        <v>334</v>
      </c>
      <c r="C50" s="79"/>
      <c r="D50" s="41" t="s">
        <v>53</v>
      </c>
      <c r="E50" s="41" t="s">
        <v>43</v>
      </c>
      <c r="F50" s="25">
        <f>прил4!G1908</f>
        <v>9528304.129999999</v>
      </c>
      <c r="G50" s="25">
        <f>прил4!H1908</f>
        <v>3300000</v>
      </c>
      <c r="H50" s="25">
        <f>прил4!I1908</f>
        <v>2200000</v>
      </c>
      <c r="I50" s="62"/>
      <c r="J50" s="62"/>
      <c r="K50" s="111"/>
    </row>
    <row r="51" spans="2:11" s="3" customFormat="1">
      <c r="B51" s="88" t="s">
        <v>166</v>
      </c>
      <c r="C51" s="45">
        <v>792</v>
      </c>
      <c r="D51" s="52" t="s">
        <v>53</v>
      </c>
      <c r="E51" s="52" t="s">
        <v>120</v>
      </c>
      <c r="F51" s="25">
        <f>прил4!G2898+прил4!G1932+прил4!G666+прил4!G3209+прил4!G3332</f>
        <v>75206480.840000004</v>
      </c>
      <c r="G51" s="25">
        <f>прил4!H2898+прил4!H1932+прил4!H666+прил4!H3209+прил4!H3332</f>
        <v>57310873</v>
      </c>
      <c r="H51" s="25">
        <f>прил4!I2898+прил4!I1932+прил4!I666+прил4!I3209+прил4!I3332</f>
        <v>59165340</v>
      </c>
      <c r="I51" s="63"/>
      <c r="J51" s="62"/>
      <c r="K51" s="111"/>
    </row>
    <row r="52" spans="2:11" s="3" customFormat="1">
      <c r="B52" s="51" t="s">
        <v>86</v>
      </c>
      <c r="C52" s="79">
        <v>793</v>
      </c>
      <c r="D52" s="52" t="s">
        <v>53</v>
      </c>
      <c r="E52" s="52" t="s">
        <v>87</v>
      </c>
      <c r="F52" s="27">
        <f>прил4!G2983+прил4!G2016+прил4!G595+прил4!G30+прил4!G3236</f>
        <v>5726561.6699999999</v>
      </c>
      <c r="G52" s="27">
        <f>прил4!H2983+прил4!H2016+прил4!H595+прил4!H30</f>
        <v>2846815</v>
      </c>
      <c r="H52" s="27">
        <f>прил4!I2983+прил4!I2016+прил4!I595+прил4!I30</f>
        <v>2846815</v>
      </c>
      <c r="I52" s="62"/>
      <c r="J52" s="62"/>
    </row>
    <row r="53" spans="2:11" s="3" customFormat="1">
      <c r="B53" s="54" t="s">
        <v>336</v>
      </c>
      <c r="C53" s="45">
        <v>792</v>
      </c>
      <c r="D53" s="7" t="s">
        <v>167</v>
      </c>
      <c r="E53" s="7"/>
      <c r="F53" s="38">
        <f>F55+F54+F56+F57</f>
        <v>1116910589.013</v>
      </c>
      <c r="G53" s="38">
        <f t="shared" ref="G53:H53" si="4">G55+G54+G56+G57</f>
        <v>66696972.909999996</v>
      </c>
      <c r="H53" s="38">
        <f t="shared" si="4"/>
        <v>27846887</v>
      </c>
      <c r="I53" s="63">
        <f>прил4!G2067+прил4!G2992</f>
        <v>0</v>
      </c>
      <c r="J53" s="62"/>
      <c r="K53" s="111"/>
    </row>
    <row r="54" spans="2:11" s="46" customFormat="1">
      <c r="B54" s="67" t="s">
        <v>168</v>
      </c>
      <c r="C54" s="49"/>
      <c r="D54" s="66" t="s">
        <v>167</v>
      </c>
      <c r="E54" s="66" t="s">
        <v>18</v>
      </c>
      <c r="F54" s="29">
        <f>прил4!G2993+прил4!G2092+прил4!G628+прил4!G3244</f>
        <v>66969917.579999998</v>
      </c>
      <c r="G54" s="29">
        <f>прил4!H2993+прил4!H2092+прил4!H628</f>
        <v>23579105.800000001</v>
      </c>
      <c r="H54" s="29">
        <f>прил4!I2993+прил4!I2092+прил4!I628</f>
        <v>7100900</v>
      </c>
      <c r="I54" s="58"/>
      <c r="J54" s="58"/>
    </row>
    <row r="55" spans="2:11" s="1" customFormat="1">
      <c r="B55" s="55" t="s">
        <v>169</v>
      </c>
      <c r="C55" s="45"/>
      <c r="D55" s="10" t="s">
        <v>167</v>
      </c>
      <c r="E55" s="10" t="s">
        <v>27</v>
      </c>
      <c r="F55" s="25">
        <f>прил4!G3022+прил4!G1451+прил4!G2190+прил4!G3269</f>
        <v>987286288.66000009</v>
      </c>
      <c r="G55" s="25">
        <f>прил4!H3022+прил4!H1451+прил4!H2190</f>
        <v>5822000</v>
      </c>
      <c r="H55" s="25">
        <f>прил4!I3022+прил4!I1451+прил4!I2190</f>
        <v>1500000</v>
      </c>
      <c r="I55" s="69"/>
      <c r="J55" s="69"/>
    </row>
    <row r="56" spans="2:11" s="3" customFormat="1">
      <c r="B56" s="55" t="s">
        <v>176</v>
      </c>
      <c r="C56" s="45"/>
      <c r="D56" s="10" t="s">
        <v>167</v>
      </c>
      <c r="E56" s="10" t="s">
        <v>69</v>
      </c>
      <c r="F56" s="25">
        <f>прил4!G2068+прил4!G3099+прил4!G2368+прил4!G3286+прил4!G3348</f>
        <v>56681789.752999999</v>
      </c>
      <c r="G56" s="25">
        <f>прил4!H2068+прил4!H3099+прил4!H2368+прил4!H3286+прил4!H3348</f>
        <v>37194867.109999999</v>
      </c>
      <c r="H56" s="25">
        <f>прил4!I2068+прил4!I3099+прил4!I2368+прил4!I3286+прил4!I3348</f>
        <v>19144987</v>
      </c>
      <c r="I56" s="25">
        <f>прил4!J2068+прил4!J3099+прил4!J2368+прил4!J3286+прил4!J3348</f>
        <v>0</v>
      </c>
      <c r="J56" s="62"/>
    </row>
    <row r="57" spans="2:11" s="3" customFormat="1">
      <c r="B57" s="55" t="s">
        <v>560</v>
      </c>
      <c r="C57" s="45"/>
      <c r="D57" s="10" t="s">
        <v>167</v>
      </c>
      <c r="E57" s="10" t="s">
        <v>167</v>
      </c>
      <c r="F57" s="25">
        <f>прил4!G3122+прил4!G2505+прил4!G3358</f>
        <v>5972593.0199999996</v>
      </c>
      <c r="G57" s="25">
        <f>прил4!H3122+прил4!H2505</f>
        <v>101000</v>
      </c>
      <c r="H57" s="25">
        <f>прил4!I3122+прил4!I2505</f>
        <v>101000</v>
      </c>
      <c r="I57" s="62"/>
      <c r="J57" s="62"/>
    </row>
    <row r="58" spans="2:11" s="3" customFormat="1">
      <c r="B58" s="54" t="s">
        <v>2</v>
      </c>
      <c r="C58" s="45">
        <v>792</v>
      </c>
      <c r="D58" s="7" t="s">
        <v>157</v>
      </c>
      <c r="E58" s="7"/>
      <c r="F58" s="38">
        <f>F59</f>
        <v>5207859.6000000006</v>
      </c>
      <c r="G58" s="38">
        <f t="shared" ref="G58:H58" si="5">G59</f>
        <v>321582.24</v>
      </c>
      <c r="H58" s="38">
        <f t="shared" si="5"/>
        <v>25000</v>
      </c>
      <c r="I58" s="63">
        <f>прил4!G3150</f>
        <v>0</v>
      </c>
      <c r="J58" s="62"/>
    </row>
    <row r="59" spans="2:11" s="3" customFormat="1" ht="21" customHeight="1">
      <c r="B59" s="16" t="s">
        <v>342</v>
      </c>
      <c r="C59" s="45"/>
      <c r="D59" s="10" t="s">
        <v>157</v>
      </c>
      <c r="E59" s="10" t="s">
        <v>167</v>
      </c>
      <c r="F59" s="25">
        <f>прил4!G3151+прил4!G2609+прил4!G3294</f>
        <v>5207859.6000000006</v>
      </c>
      <c r="G59" s="25">
        <f>прил4!H3151+прил4!H2609</f>
        <v>321582.24</v>
      </c>
      <c r="H59" s="25">
        <f>прил4!I3151+прил4!I2609</f>
        <v>25000</v>
      </c>
      <c r="I59" s="62"/>
      <c r="J59" s="62"/>
    </row>
    <row r="60" spans="2:11" s="3" customFormat="1">
      <c r="B60" s="11" t="s">
        <v>24</v>
      </c>
      <c r="C60" s="6">
        <v>774</v>
      </c>
      <c r="D60" s="7" t="s">
        <v>25</v>
      </c>
      <c r="E60" s="7"/>
      <c r="F60" s="38">
        <f>F61+F62+F64+F65+F63</f>
        <v>1269387117.9299998</v>
      </c>
      <c r="G60" s="38">
        <f t="shared" ref="G60:H60" si="6">G61+G62+G64+G65+G63</f>
        <v>1168303221.76</v>
      </c>
      <c r="H60" s="38">
        <f t="shared" si="6"/>
        <v>1178341173.04</v>
      </c>
      <c r="I60" s="63">
        <f>прил4!G40+прил4!G671</f>
        <v>1266341245.7900002</v>
      </c>
      <c r="J60" s="62"/>
    </row>
    <row r="61" spans="2:11" s="3" customFormat="1">
      <c r="B61" s="53" t="s">
        <v>88</v>
      </c>
      <c r="C61" s="79">
        <v>774</v>
      </c>
      <c r="D61" s="10" t="s">
        <v>25</v>
      </c>
      <c r="E61" s="10" t="s">
        <v>18</v>
      </c>
      <c r="F61" s="27">
        <f>прил4!G672</f>
        <v>355621153.22000003</v>
      </c>
      <c r="G61" s="27">
        <f>прил4!H672</f>
        <v>353711459.42999995</v>
      </c>
      <c r="H61" s="27">
        <f>прил4!I672</f>
        <v>355893617.69</v>
      </c>
      <c r="I61" s="62"/>
      <c r="J61" s="62"/>
    </row>
    <row r="62" spans="2:11" s="3" customFormat="1">
      <c r="B62" s="55" t="s">
        <v>26</v>
      </c>
      <c r="C62" s="79">
        <v>774</v>
      </c>
      <c r="D62" s="10" t="s">
        <v>25</v>
      </c>
      <c r="E62" s="10" t="s">
        <v>27</v>
      </c>
      <c r="F62" s="27">
        <f>прил4!G788+прил4!G2684</f>
        <v>731609109.25999999</v>
      </c>
      <c r="G62" s="27">
        <f>прил4!H788+прил4!H3187</f>
        <v>641676388.32000005</v>
      </c>
      <c r="H62" s="27">
        <f>прил4!I788+прил4!I3187</f>
        <v>645667622.29000008</v>
      </c>
      <c r="I62" s="62"/>
      <c r="J62" s="62"/>
    </row>
    <row r="63" spans="2:11" s="3" customFormat="1">
      <c r="B63" s="53" t="s">
        <v>93</v>
      </c>
      <c r="C63" s="79"/>
      <c r="D63" s="10" t="s">
        <v>25</v>
      </c>
      <c r="E63" s="10" t="s">
        <v>69</v>
      </c>
      <c r="F63" s="25">
        <f>прил4!G41+прил4!G1126+прил4!G2701</f>
        <v>155057055.12</v>
      </c>
      <c r="G63" s="25">
        <f>прил4!H41+прил4!H1126</f>
        <v>147157313.85000002</v>
      </c>
      <c r="H63" s="25">
        <f>прил4!I41+прил4!I1126</f>
        <v>150052683.05000001</v>
      </c>
      <c r="I63" s="62"/>
      <c r="J63" s="62"/>
    </row>
    <row r="64" spans="2:11" s="3" customFormat="1">
      <c r="B64" s="53" t="s">
        <v>275</v>
      </c>
      <c r="C64" s="79">
        <v>774</v>
      </c>
      <c r="D64" s="10" t="s">
        <v>25</v>
      </c>
      <c r="E64" s="10" t="s">
        <v>25</v>
      </c>
      <c r="F64" s="27">
        <f>прил4!G1255+прил4!G145+прил4!G2650+прил4!G163+прил4!G2709</f>
        <v>7491093.0200000005</v>
      </c>
      <c r="G64" s="27">
        <f>прил4!H1255+прил4!H145+прил4!H2650+прил4!H163</f>
        <v>5870525.4000000004</v>
      </c>
      <c r="H64" s="27">
        <f>прил4!I1255+прил4!I145+прил4!I2650+прил4!I163</f>
        <v>6077353.2400000002</v>
      </c>
      <c r="I64" s="62"/>
      <c r="J64" s="62"/>
    </row>
    <row r="65" spans="2:12" s="3" customFormat="1">
      <c r="B65" s="53" t="s">
        <v>119</v>
      </c>
      <c r="C65" s="79">
        <v>774</v>
      </c>
      <c r="D65" s="10" t="s">
        <v>25</v>
      </c>
      <c r="E65" s="10" t="s">
        <v>120</v>
      </c>
      <c r="F65" s="27">
        <f>прил4!G1313</f>
        <v>19608707.310000006</v>
      </c>
      <c r="G65" s="27">
        <f>прил4!H1313</f>
        <v>19887534.759999998</v>
      </c>
      <c r="H65" s="27">
        <f>прил4!I1313</f>
        <v>20649896.77</v>
      </c>
      <c r="I65" s="62"/>
      <c r="J65" s="62"/>
    </row>
    <row r="66" spans="2:12" s="3" customFormat="1">
      <c r="B66" s="11" t="s">
        <v>42</v>
      </c>
      <c r="C66" s="79">
        <v>757</v>
      </c>
      <c r="D66" s="7" t="s">
        <v>43</v>
      </c>
      <c r="E66" s="7"/>
      <c r="F66" s="38">
        <f>F67+F68</f>
        <v>208923149.91999996</v>
      </c>
      <c r="G66" s="38">
        <f t="shared" ref="G66:H66" si="7">G67+G68</f>
        <v>181219117.66999996</v>
      </c>
      <c r="H66" s="38">
        <f t="shared" si="7"/>
        <v>182192657.83000001</v>
      </c>
      <c r="I66" s="63">
        <f>прил4!G179</f>
        <v>208923149.91999996</v>
      </c>
      <c r="J66" s="62"/>
    </row>
    <row r="67" spans="2:12" s="3" customFormat="1">
      <c r="B67" s="53" t="s">
        <v>44</v>
      </c>
      <c r="C67" s="79">
        <v>757</v>
      </c>
      <c r="D67" s="10" t="s">
        <v>43</v>
      </c>
      <c r="E67" s="10" t="s">
        <v>18</v>
      </c>
      <c r="F67" s="25">
        <f>прил4!G180+прил4!G2671+прил4!G643+прил4!G2718</f>
        <v>197260051.80999997</v>
      </c>
      <c r="G67" s="25">
        <f>прил4!H180</f>
        <v>169237210.71999997</v>
      </c>
      <c r="H67" s="25">
        <f>прил4!I180</f>
        <v>169745317.84</v>
      </c>
      <c r="I67" s="62"/>
      <c r="J67" s="62"/>
    </row>
    <row r="68" spans="2:12" s="3" customFormat="1" ht="13.5" customHeight="1">
      <c r="B68" s="55" t="s">
        <v>52</v>
      </c>
      <c r="C68" s="79">
        <v>757</v>
      </c>
      <c r="D68" s="10" t="s">
        <v>43</v>
      </c>
      <c r="E68" s="10" t="s">
        <v>53</v>
      </c>
      <c r="F68" s="25">
        <f>прил4!G471</f>
        <v>11663098.109999999</v>
      </c>
      <c r="G68" s="25">
        <f>прил4!H471</f>
        <v>11981906.949999999</v>
      </c>
      <c r="H68" s="25">
        <f>прил4!I471</f>
        <v>12447339.989999998</v>
      </c>
      <c r="I68" s="62"/>
      <c r="J68" s="62"/>
    </row>
    <row r="69" spans="2:12" s="3" customFormat="1">
      <c r="B69" s="11" t="s">
        <v>141</v>
      </c>
      <c r="C69" s="79">
        <v>757</v>
      </c>
      <c r="D69" s="7" t="s">
        <v>68</v>
      </c>
      <c r="E69" s="7"/>
      <c r="F69" s="38">
        <f>F70+F71+F72</f>
        <v>142317340.52000001</v>
      </c>
      <c r="G69" s="38">
        <f>G70+G71+G72</f>
        <v>56987001.009999998</v>
      </c>
      <c r="H69" s="38">
        <f>H70+H71+H72</f>
        <v>57645730.740000002</v>
      </c>
      <c r="I69" s="63">
        <f>прил4!G2781+прил4!G1358+прил4!G2725</f>
        <v>119358300.29000001</v>
      </c>
      <c r="J69" s="62"/>
    </row>
    <row r="70" spans="2:12" s="3" customFormat="1">
      <c r="B70" s="53" t="s">
        <v>142</v>
      </c>
      <c r="C70" s="79">
        <v>774</v>
      </c>
      <c r="D70" s="10" t="s">
        <v>68</v>
      </c>
      <c r="E70" s="10" t="s">
        <v>18</v>
      </c>
      <c r="F70" s="25">
        <f>прил4!G1359+прил4!G2726+прил4!G1457+прил4!G3364+прил4!G2884</f>
        <v>1701805.23</v>
      </c>
      <c r="G70" s="25">
        <f>прил4!H1359+прил4!H2726+прил4!H1457+прил4!H3364</f>
        <v>732355.32</v>
      </c>
      <c r="H70" s="25">
        <f>прил4!I1359+прил4!I2726+прил4!I1457+прил4!I3364</f>
        <v>732355.32</v>
      </c>
      <c r="I70" s="62"/>
      <c r="J70" s="62"/>
    </row>
    <row r="71" spans="2:12" s="3" customFormat="1">
      <c r="B71" s="53" t="s">
        <v>67</v>
      </c>
      <c r="C71" s="79">
        <v>757</v>
      </c>
      <c r="D71" s="10" t="s">
        <v>68</v>
      </c>
      <c r="E71" s="10" t="s">
        <v>69</v>
      </c>
      <c r="F71" s="25">
        <f>прил4!G2731</f>
        <v>73002776.650000006</v>
      </c>
      <c r="G71" s="25">
        <f>прил4!H2731</f>
        <v>1912025.76</v>
      </c>
      <c r="H71" s="25">
        <f>прил4!I2731</f>
        <v>1912025.76</v>
      </c>
      <c r="I71" s="63"/>
      <c r="J71" s="62"/>
    </row>
    <row r="72" spans="2:12" s="3" customFormat="1">
      <c r="B72" s="55" t="s">
        <v>149</v>
      </c>
      <c r="C72" s="79">
        <v>774</v>
      </c>
      <c r="D72" s="10" t="s">
        <v>68</v>
      </c>
      <c r="E72" s="10" t="s">
        <v>53</v>
      </c>
      <c r="F72" s="8">
        <f>прил4!G1364+прил4!G2780+прил4!G511</f>
        <v>67612758.640000001</v>
      </c>
      <c r="G72" s="8">
        <f>прил4!H1364+прил4!H2780+прил4!H511</f>
        <v>54342619.93</v>
      </c>
      <c r="H72" s="8">
        <f>прил4!I1364+прил4!I2780+прил4!I511</f>
        <v>55001349.660000004</v>
      </c>
      <c r="I72" s="62"/>
      <c r="J72" s="62"/>
    </row>
    <row r="73" spans="2:12" s="3" customFormat="1">
      <c r="B73" s="11" t="s">
        <v>350</v>
      </c>
      <c r="C73" s="6">
        <v>757</v>
      </c>
      <c r="D73" s="7" t="s">
        <v>71</v>
      </c>
      <c r="E73" s="7"/>
      <c r="F73" s="38">
        <f>F75+F74</f>
        <v>5514464.75</v>
      </c>
      <c r="G73" s="38">
        <f t="shared" ref="G73:H73" si="8">G75+G74</f>
        <v>550000</v>
      </c>
      <c r="H73" s="38">
        <f t="shared" si="8"/>
        <v>550000</v>
      </c>
      <c r="I73" s="63">
        <f>прил4!G486</f>
        <v>0</v>
      </c>
      <c r="J73" s="62"/>
    </row>
    <row r="74" spans="2:12" s="3" customFormat="1">
      <c r="B74" s="115" t="s">
        <v>468</v>
      </c>
      <c r="C74" s="6"/>
      <c r="D74" s="66" t="s">
        <v>71</v>
      </c>
      <c r="E74" s="66" t="s">
        <v>18</v>
      </c>
      <c r="F74" s="29">
        <f>прил4!G526</f>
        <v>0</v>
      </c>
      <c r="G74" s="29">
        <f>прил4!H487</f>
        <v>0</v>
      </c>
      <c r="H74" s="29">
        <f>прил4!I487</f>
        <v>0</v>
      </c>
      <c r="I74" s="63"/>
      <c r="J74" s="62"/>
    </row>
    <row r="75" spans="2:12" s="3" customFormat="1">
      <c r="B75" s="51" t="s">
        <v>70</v>
      </c>
      <c r="C75" s="79">
        <v>757</v>
      </c>
      <c r="D75" s="10" t="s">
        <v>71</v>
      </c>
      <c r="E75" s="10" t="s">
        <v>27</v>
      </c>
      <c r="F75" s="25">
        <f>прил4!G502+прил4!G2821+прил4!G1390+прил4!G536</f>
        <v>5514464.75</v>
      </c>
      <c r="G75" s="25">
        <f>прил4!H502+прил4!H2821+прил4!H1390+прил4!H536</f>
        <v>550000</v>
      </c>
      <c r="H75" s="25">
        <f>прил4!I502+прил4!I2821+прил4!I1390+прил4!I536</f>
        <v>550000</v>
      </c>
      <c r="I75" s="62"/>
      <c r="J75" s="62"/>
    </row>
    <row r="76" spans="2:12" s="3" customFormat="1" ht="26.4">
      <c r="B76" s="54" t="s">
        <v>294</v>
      </c>
      <c r="C76" s="45">
        <v>792</v>
      </c>
      <c r="D76" s="7" t="s">
        <v>22</v>
      </c>
      <c r="E76" s="7"/>
      <c r="F76" s="38">
        <f>F77</f>
        <v>86000</v>
      </c>
      <c r="G76" s="38">
        <f t="shared" ref="G76:H76" si="9">G77</f>
        <v>86000</v>
      </c>
      <c r="H76" s="38">
        <f t="shared" si="9"/>
        <v>86000</v>
      </c>
      <c r="I76" s="63">
        <f>прил4!G1462+прил4!G2845</f>
        <v>86000</v>
      </c>
      <c r="J76" s="62"/>
    </row>
    <row r="77" spans="2:12" s="3" customFormat="1" ht="26.4">
      <c r="B77" s="55" t="s">
        <v>295</v>
      </c>
      <c r="C77" s="45">
        <v>792</v>
      </c>
      <c r="D77" s="10" t="s">
        <v>22</v>
      </c>
      <c r="E77" s="10" t="s">
        <v>18</v>
      </c>
      <c r="F77" s="25">
        <f>прил4!G1463+прил4!G2851</f>
        <v>86000</v>
      </c>
      <c r="G77" s="25">
        <f>прил4!H1463+прил4!H2851</f>
        <v>86000</v>
      </c>
      <c r="H77" s="25">
        <f>прил4!I1463+прил4!I2851</f>
        <v>86000</v>
      </c>
      <c r="I77" s="62"/>
      <c r="J77" s="62"/>
    </row>
    <row r="78" spans="2:12" s="3" customFormat="1" ht="39.6" hidden="1">
      <c r="B78" s="54" t="s">
        <v>302</v>
      </c>
      <c r="C78" s="45">
        <v>792</v>
      </c>
      <c r="D78" s="7" t="s">
        <v>303</v>
      </c>
      <c r="E78" s="7"/>
      <c r="F78" s="38">
        <f>F79+F80</f>
        <v>0</v>
      </c>
      <c r="G78" s="38">
        <f t="shared" ref="G78:H78" si="10">G79+G80</f>
        <v>0</v>
      </c>
      <c r="H78" s="38">
        <f t="shared" si="10"/>
        <v>0</v>
      </c>
      <c r="I78" s="63">
        <f>прил4!G1469</f>
        <v>0</v>
      </c>
      <c r="J78" s="62"/>
    </row>
    <row r="79" spans="2:12" s="3" customFormat="1" ht="26.4" hidden="1">
      <c r="B79" s="129" t="s">
        <v>304</v>
      </c>
      <c r="C79" s="249">
        <v>792</v>
      </c>
      <c r="D79" s="149" t="s">
        <v>303</v>
      </c>
      <c r="E79" s="149" t="s">
        <v>18</v>
      </c>
      <c r="F79" s="95">
        <f>прил4!G1470</f>
        <v>0</v>
      </c>
      <c r="G79" s="95">
        <f>прил4!H1470</f>
        <v>0</v>
      </c>
      <c r="H79" s="95">
        <f>прил4!I1470</f>
        <v>0</v>
      </c>
      <c r="I79" s="194"/>
      <c r="J79" s="194"/>
      <c r="K79" s="147"/>
      <c r="L79" s="147"/>
    </row>
    <row r="80" spans="2:12" s="3" customFormat="1" hidden="1">
      <c r="B80" s="129" t="s">
        <v>309</v>
      </c>
      <c r="C80" s="249">
        <v>792</v>
      </c>
      <c r="D80" s="149" t="s">
        <v>303</v>
      </c>
      <c r="E80" s="149" t="s">
        <v>69</v>
      </c>
      <c r="F80" s="95">
        <f>прил4!G1479</f>
        <v>0</v>
      </c>
      <c r="G80" s="95">
        <f>прил4!H1479</f>
        <v>0</v>
      </c>
      <c r="H80" s="95">
        <f>прил4!I1479</f>
        <v>0</v>
      </c>
      <c r="I80" s="194"/>
      <c r="J80" s="194"/>
      <c r="K80" s="147"/>
      <c r="L80" s="147"/>
    </row>
    <row r="81" spans="2:12" s="3" customFormat="1">
      <c r="B81" s="317" t="s">
        <v>1155</v>
      </c>
      <c r="C81" s="249"/>
      <c r="D81" s="149"/>
      <c r="E81" s="149"/>
      <c r="F81" s="95"/>
      <c r="G81" s="95">
        <f>прил4!H3378</f>
        <v>20573079.07</v>
      </c>
      <c r="H81" s="95">
        <f>прил4!I3378</f>
        <v>42736073.420000002</v>
      </c>
      <c r="I81" s="194"/>
      <c r="J81" s="194"/>
      <c r="K81" s="147"/>
      <c r="L81" s="147"/>
    </row>
    <row r="82" spans="2:12" s="22" customFormat="1" ht="24" customHeight="1">
      <c r="B82" s="250" t="s">
        <v>356</v>
      </c>
      <c r="C82" s="250"/>
      <c r="D82" s="250"/>
      <c r="E82" s="250"/>
      <c r="F82" s="251">
        <f>F33+F48+F66+F69+F78+F42+F76+F60+F53+F58+F73+F44+F81</f>
        <v>3061114805.3229995</v>
      </c>
      <c r="G82" s="251">
        <f>G33+G48+G66+G69+G78+G42+G76+G60+G53+G58+G73+G44+G81</f>
        <v>1740326451.8</v>
      </c>
      <c r="H82" s="251">
        <f t="shared" ref="H82" si="11">H33+H48+H66+H69+H78+H42+H76+H60+H53+H58+H73+H44+H81</f>
        <v>1735334719.76</v>
      </c>
      <c r="I82" s="202"/>
      <c r="J82" s="202"/>
      <c r="K82" s="122"/>
      <c r="L82" s="122"/>
    </row>
    <row r="83" spans="2:12" hidden="1">
      <c r="B83" s="252"/>
      <c r="C83" s="253"/>
      <c r="D83" s="254"/>
      <c r="E83" s="254"/>
      <c r="F83" s="175">
        <v>875721795.65999997</v>
      </c>
      <c r="G83" s="175">
        <v>875721795.65999997</v>
      </c>
      <c r="H83" s="175">
        <v>875721795.65999997</v>
      </c>
      <c r="I83" s="194"/>
      <c r="J83" s="194"/>
      <c r="K83" s="194"/>
      <c r="L83" s="194"/>
    </row>
    <row r="84" spans="2:12" hidden="1">
      <c r="B84" s="194"/>
      <c r="C84" s="255"/>
      <c r="D84" s="255"/>
      <c r="E84" s="255"/>
      <c r="F84" s="175">
        <f>F82-F83</f>
        <v>2185393009.6629996</v>
      </c>
      <c r="G84" s="175">
        <f>G82-G83</f>
        <v>864604656.13999999</v>
      </c>
      <c r="H84" s="175">
        <f>H82-H83</f>
        <v>859612924.10000002</v>
      </c>
      <c r="I84" s="194"/>
      <c r="J84" s="194"/>
      <c r="K84" s="194"/>
      <c r="L84" s="194"/>
    </row>
    <row r="85" spans="2:12">
      <c r="B85" s="317"/>
      <c r="C85" s="255"/>
      <c r="D85" s="255"/>
      <c r="E85" s="255"/>
      <c r="F85" s="175"/>
      <c r="G85" s="175"/>
      <c r="H85" s="175"/>
      <c r="I85" s="194"/>
      <c r="J85" s="194"/>
      <c r="K85" s="194"/>
      <c r="L85" s="194"/>
    </row>
    <row r="86" spans="2:12">
      <c r="B86" s="194"/>
      <c r="C86" s="255"/>
      <c r="D86" s="255"/>
      <c r="E86" s="255"/>
      <c r="F86" s="175">
        <f>F82-прил4!G3379</f>
        <v>0</v>
      </c>
      <c r="G86" s="175">
        <f>G82-прил4!H3379</f>
        <v>0</v>
      </c>
      <c r="H86" s="175">
        <f>H82-прил4!I3379</f>
        <v>0</v>
      </c>
      <c r="I86" s="175">
        <f>прил4!J3379-прил5!J2317</f>
        <v>0</v>
      </c>
      <c r="J86" s="194"/>
      <c r="K86" s="194"/>
      <c r="L86" s="194"/>
    </row>
    <row r="87" spans="2:12">
      <c r="B87" s="194"/>
      <c r="C87" s="255"/>
      <c r="D87" s="255"/>
      <c r="E87" s="255"/>
      <c r="F87" s="175"/>
      <c r="G87" s="175"/>
      <c r="H87" s="175"/>
      <c r="I87" s="194"/>
      <c r="J87" s="194"/>
      <c r="K87" s="194"/>
      <c r="L87" s="194"/>
    </row>
    <row r="88" spans="2:12" hidden="1"/>
    <row r="89" spans="2:12" hidden="1"/>
    <row r="90" spans="2:12" hidden="1"/>
    <row r="91" spans="2:12" hidden="1"/>
    <row r="92" spans="2:12" hidden="1"/>
    <row r="93" spans="2:12" hidden="1"/>
    <row r="94" spans="2:12" hidden="1"/>
    <row r="95" spans="2:12" hidden="1"/>
    <row r="96" spans="2:12" hidden="1"/>
    <row r="97" spans="6:10" hidden="1"/>
    <row r="98" spans="6:10" hidden="1"/>
    <row r="99" spans="6:10" hidden="1"/>
    <row r="100" spans="6:10" hidden="1"/>
    <row r="101" spans="6:10" hidden="1"/>
    <row r="102" spans="6:10" hidden="1"/>
    <row r="103" spans="6:10">
      <c r="F103" s="64">
        <f>F82-прил5!G2317</f>
        <v>0</v>
      </c>
      <c r="G103" s="64">
        <f>G82-прил5!H2317</f>
        <v>0</v>
      </c>
      <c r="H103" s="64">
        <f>H82-прил5!I2317</f>
        <v>0</v>
      </c>
    </row>
    <row r="104" spans="6:10">
      <c r="I104" s="64"/>
    </row>
    <row r="105" spans="6:10">
      <c r="F105" s="64">
        <v>3057768641.79</v>
      </c>
      <c r="G105" s="64">
        <v>1719753372.73</v>
      </c>
      <c r="H105" s="64">
        <v>1692598646.3399999</v>
      </c>
    </row>
    <row r="106" spans="6:10">
      <c r="I106" s="64"/>
      <c r="J106" s="64"/>
    </row>
    <row r="107" spans="6:10">
      <c r="F107" s="64">
        <f>F82-F105</f>
        <v>3346163.5329995155</v>
      </c>
      <c r="G107" s="64">
        <f>G105-прил4!H3381</f>
        <v>0</v>
      </c>
      <c r="H107" s="64">
        <f>H105-прил4!I3381</f>
        <v>0</v>
      </c>
    </row>
    <row r="108" spans="6:10">
      <c r="F108" s="369"/>
      <c r="G108" s="369"/>
      <c r="H108" s="369"/>
    </row>
    <row r="109" spans="6:10">
      <c r="G109" s="64">
        <f>G82-прил4!H3379</f>
        <v>0</v>
      </c>
      <c r="H109" s="64">
        <f>H82-прил4!I3379</f>
        <v>0</v>
      </c>
    </row>
    <row r="110" spans="6:10">
      <c r="F110" s="369"/>
      <c r="G110" s="369">
        <f>G82-прил5!H2317</f>
        <v>0</v>
      </c>
      <c r="H110" s="369">
        <f>H82-прил5!I2317</f>
        <v>0</v>
      </c>
    </row>
    <row r="113" spans="6:6">
      <c r="F113" s="64">
        <v>3056838482.1100001</v>
      </c>
    </row>
    <row r="115" spans="6:6">
      <c r="F115" s="64">
        <f>F82-F113</f>
        <v>4276323.2129993439</v>
      </c>
    </row>
    <row r="119" spans="6:6">
      <c r="F119" s="64">
        <f>3061114805.32</f>
        <v>3061114805.3200002</v>
      </c>
    </row>
    <row r="120" spans="6:6">
      <c r="F120" s="64">
        <f>F119-F82</f>
        <v>-2.9993057250976563E-3</v>
      </c>
    </row>
    <row r="122" spans="6:6">
      <c r="F122" s="64">
        <v>1207309.92</v>
      </c>
    </row>
    <row r="123" spans="6:6">
      <c r="F123" s="64">
        <f>F120-F122</f>
        <v>-1207309.9229993057</v>
      </c>
    </row>
  </sheetData>
  <mergeCells count="35">
    <mergeCell ref="F23:K23"/>
    <mergeCell ref="F24:G24"/>
    <mergeCell ref="F25:G25"/>
    <mergeCell ref="B28:B30"/>
    <mergeCell ref="B27:H27"/>
    <mergeCell ref="C29:C30"/>
    <mergeCell ref="F29:F30"/>
    <mergeCell ref="G29:G30"/>
    <mergeCell ref="H29:H30"/>
    <mergeCell ref="F28:H28"/>
    <mergeCell ref="E28:E30"/>
    <mergeCell ref="D28:D30"/>
    <mergeCell ref="F26:H26"/>
    <mergeCell ref="F15:K15"/>
    <mergeCell ref="F13:K13"/>
    <mergeCell ref="F14:G14"/>
    <mergeCell ref="F21:K21"/>
    <mergeCell ref="F22:G22"/>
    <mergeCell ref="F16:G16"/>
    <mergeCell ref="F19:K19"/>
    <mergeCell ref="F20:G20"/>
    <mergeCell ref="F17:K17"/>
    <mergeCell ref="F18:G18"/>
    <mergeCell ref="F1:K1"/>
    <mergeCell ref="F2:G2"/>
    <mergeCell ref="F3:K3"/>
    <mergeCell ref="F4:G4"/>
    <mergeCell ref="F5:K5"/>
    <mergeCell ref="F6:G6"/>
    <mergeCell ref="F7:K7"/>
    <mergeCell ref="F8:G8"/>
    <mergeCell ref="F9:K9"/>
    <mergeCell ref="F12:G12"/>
    <mergeCell ref="F10:K10"/>
    <mergeCell ref="F11:G11"/>
  </mergeCells>
  <phoneticPr fontId="0" type="noConversion"/>
  <pageMargins left="0.61" right="0.2" top="0.35433070866141736" bottom="0.35433070866141736" header="0.23622047244094491" footer="0.19685039370078741"/>
  <pageSetup paperSize="9" scale="6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411"/>
  <sheetViews>
    <sheetView topLeftCell="A551" zoomScaleSheetLayoutView="75" workbookViewId="0">
      <selection activeCell="G553" sqref="G553"/>
    </sheetView>
  </sheetViews>
  <sheetFormatPr defaultColWidth="9.109375" defaultRowHeight="13.2"/>
  <cols>
    <col min="1" max="1" width="52" style="1" customWidth="1"/>
    <col min="2" max="2" width="6.88671875" style="59" customWidth="1"/>
    <col min="3" max="3" width="4.5546875" style="59" customWidth="1"/>
    <col min="4" max="4" width="4.6640625" style="59" customWidth="1"/>
    <col min="5" max="5" width="13.5546875" style="59" customWidth="1"/>
    <col min="6" max="6" width="7.88671875" style="59" customWidth="1"/>
    <col min="7" max="7" width="19.33203125" style="60" customWidth="1"/>
    <col min="8" max="9" width="17.5546875" style="60" customWidth="1"/>
    <col min="10" max="10" width="20.33203125" style="175" hidden="1" customWidth="1"/>
    <col min="11" max="11" width="28.109375" style="181" hidden="1" customWidth="1"/>
    <col min="12" max="12" width="17" style="181" hidden="1" customWidth="1"/>
    <col min="13" max="13" width="15" style="181" hidden="1" customWidth="1"/>
    <col min="14" max="14" width="20.88671875" style="181" customWidth="1"/>
    <col min="15" max="15" width="14.88671875" style="181" customWidth="1"/>
    <col min="16" max="16" width="13.88671875" style="181" bestFit="1" customWidth="1"/>
    <col min="17" max="17" width="14.44140625" style="181" bestFit="1" customWidth="1"/>
    <col min="18" max="18" width="15.33203125" style="181" customWidth="1"/>
    <col min="19" max="19" width="16.88671875" style="1" customWidth="1"/>
    <col min="20" max="16384" width="9.109375" style="1"/>
  </cols>
  <sheetData>
    <row r="1" spans="2:11" customFormat="1" ht="17.25" customHeight="1">
      <c r="B1" s="62"/>
      <c r="C1" s="65"/>
      <c r="D1" s="65"/>
      <c r="E1" s="65"/>
      <c r="F1" s="405" t="s">
        <v>922</v>
      </c>
      <c r="G1" s="405"/>
      <c r="H1" s="405"/>
      <c r="I1" s="405"/>
      <c r="J1" s="405"/>
      <c r="K1" s="405"/>
    </row>
    <row r="2" spans="2:11" customFormat="1" ht="32.25" customHeight="1">
      <c r="B2" s="62"/>
      <c r="C2" s="403"/>
      <c r="D2" s="65"/>
      <c r="E2" s="65"/>
      <c r="F2" s="414" t="s">
        <v>1551</v>
      </c>
      <c r="G2" s="414"/>
      <c r="H2" s="414"/>
      <c r="I2" s="97"/>
      <c r="J2" s="99"/>
    </row>
    <row r="3" spans="2:11" customFormat="1" ht="17.25" customHeight="1">
      <c r="B3" s="62"/>
      <c r="C3" s="65"/>
      <c r="D3" s="65"/>
      <c r="E3" s="65"/>
      <c r="F3" s="405" t="s">
        <v>1309</v>
      </c>
      <c r="G3" s="405"/>
      <c r="H3" s="405"/>
      <c r="I3" s="405"/>
      <c r="J3" s="405"/>
      <c r="K3" s="405"/>
    </row>
    <row r="4" spans="2:11" customFormat="1" ht="32.25" customHeight="1">
      <c r="B4" s="62"/>
      <c r="C4" s="400"/>
      <c r="D4" s="65"/>
      <c r="E4" s="65"/>
      <c r="F4" s="414" t="s">
        <v>1491</v>
      </c>
      <c r="G4" s="414"/>
      <c r="H4" s="414"/>
      <c r="I4" s="97"/>
      <c r="J4" s="99"/>
    </row>
    <row r="5" spans="2:11" ht="18.75" customHeight="1">
      <c r="B5" s="383"/>
      <c r="C5" s="383"/>
      <c r="D5" s="383"/>
      <c r="E5" s="383"/>
      <c r="F5" s="414" t="s">
        <v>1309</v>
      </c>
      <c r="G5" s="414"/>
      <c r="H5" s="414"/>
      <c r="I5" s="414"/>
      <c r="J5" s="181"/>
    </row>
    <row r="6" spans="2:11" ht="43.5" customHeight="1">
      <c r="B6" s="383"/>
      <c r="C6" s="383"/>
      <c r="D6" s="383"/>
      <c r="E6" s="383"/>
      <c r="F6" s="414" t="s">
        <v>1450</v>
      </c>
      <c r="G6" s="414"/>
      <c r="H6" s="414"/>
      <c r="I6" s="383"/>
      <c r="J6" s="181"/>
    </row>
    <row r="7" spans="2:11" ht="18.75" customHeight="1">
      <c r="B7" s="381"/>
      <c r="C7" s="381"/>
      <c r="D7" s="381"/>
      <c r="E7" s="381"/>
      <c r="F7" s="414" t="s">
        <v>1309</v>
      </c>
      <c r="G7" s="414"/>
      <c r="H7" s="414"/>
      <c r="I7" s="414"/>
      <c r="J7" s="181"/>
    </row>
    <row r="8" spans="2:11" ht="43.5" customHeight="1">
      <c r="B8" s="381"/>
      <c r="C8" s="381"/>
      <c r="D8" s="381"/>
      <c r="E8" s="381"/>
      <c r="F8" s="414" t="s">
        <v>1408</v>
      </c>
      <c r="G8" s="414"/>
      <c r="H8" s="414"/>
      <c r="I8" s="381"/>
      <c r="J8" s="181"/>
    </row>
    <row r="9" spans="2:11" ht="18.75" customHeight="1">
      <c r="B9" s="370"/>
      <c r="C9" s="370"/>
      <c r="D9" s="370"/>
      <c r="E9" s="370"/>
      <c r="F9" s="414" t="s">
        <v>1309</v>
      </c>
      <c r="G9" s="414"/>
      <c r="H9" s="414"/>
      <c r="I9" s="414"/>
      <c r="J9" s="181"/>
    </row>
    <row r="10" spans="2:11" ht="43.5" customHeight="1">
      <c r="B10" s="370"/>
      <c r="C10" s="370"/>
      <c r="D10" s="370"/>
      <c r="E10" s="370"/>
      <c r="F10" s="414" t="s">
        <v>1409</v>
      </c>
      <c r="G10" s="414"/>
      <c r="H10" s="414"/>
      <c r="I10" s="370"/>
      <c r="J10" s="181"/>
    </row>
    <row r="11" spans="2:11" ht="18.75" customHeight="1">
      <c r="B11" s="178"/>
      <c r="C11" s="178"/>
      <c r="D11" s="178"/>
      <c r="E11" s="178"/>
      <c r="F11" s="414" t="s">
        <v>1308</v>
      </c>
      <c r="G11" s="414"/>
      <c r="H11" s="414"/>
      <c r="I11" s="414"/>
      <c r="J11" s="181"/>
    </row>
    <row r="12" spans="2:11" ht="43.5" customHeight="1">
      <c r="B12" s="178"/>
      <c r="C12" s="178"/>
      <c r="D12" s="178"/>
      <c r="E12" s="178"/>
      <c r="F12" s="414" t="s">
        <v>1321</v>
      </c>
      <c r="G12" s="414"/>
      <c r="H12" s="414"/>
      <c r="I12" s="178"/>
      <c r="J12" s="181"/>
    </row>
    <row r="13" spans="2:11" ht="18.75" customHeight="1">
      <c r="B13" s="365"/>
      <c r="C13" s="365"/>
      <c r="D13" s="365"/>
      <c r="E13" s="365"/>
      <c r="F13" s="414" t="s">
        <v>1311</v>
      </c>
      <c r="G13" s="414"/>
      <c r="H13" s="414"/>
      <c r="I13" s="414"/>
      <c r="J13" s="181"/>
    </row>
    <row r="14" spans="2:11" ht="43.5" customHeight="1">
      <c r="B14" s="365"/>
      <c r="C14" s="365"/>
      <c r="D14" s="365"/>
      <c r="E14" s="365"/>
      <c r="F14" s="414" t="s">
        <v>1320</v>
      </c>
      <c r="G14" s="414"/>
      <c r="H14" s="414"/>
      <c r="I14" s="365"/>
      <c r="J14" s="181"/>
    </row>
    <row r="15" spans="2:11" ht="24" customHeight="1">
      <c r="B15" s="367"/>
      <c r="C15" s="367"/>
      <c r="D15" s="367"/>
      <c r="E15" s="367"/>
      <c r="F15" s="414" t="s">
        <v>1311</v>
      </c>
      <c r="G15" s="414"/>
      <c r="H15" s="414"/>
      <c r="I15" s="367"/>
      <c r="J15" s="181"/>
    </row>
    <row r="16" spans="2:11" ht="43.5" customHeight="1">
      <c r="B16" s="367"/>
      <c r="C16" s="367"/>
      <c r="D16" s="367"/>
      <c r="E16" s="367"/>
      <c r="F16" s="405" t="s">
        <v>1319</v>
      </c>
      <c r="G16" s="413"/>
      <c r="H16" s="413"/>
      <c r="I16" s="367"/>
      <c r="J16" s="181"/>
    </row>
    <row r="17" spans="1:18" ht="37.5" customHeight="1">
      <c r="A17" s="408" t="s">
        <v>1150</v>
      </c>
      <c r="B17" s="408"/>
      <c r="C17" s="408"/>
      <c r="D17" s="408"/>
      <c r="E17" s="408"/>
      <c r="F17" s="408"/>
      <c r="G17" s="408"/>
      <c r="H17" s="409"/>
      <c r="I17" s="409"/>
      <c r="J17" s="182"/>
    </row>
    <row r="18" spans="1:18" ht="33.75" customHeight="1">
      <c r="A18" s="417" t="s">
        <v>11</v>
      </c>
      <c r="B18" s="419" t="s">
        <v>12</v>
      </c>
      <c r="C18" s="419" t="s">
        <v>13</v>
      </c>
      <c r="D18" s="419" t="s">
        <v>14</v>
      </c>
      <c r="E18" s="419" t="s">
        <v>15</v>
      </c>
      <c r="F18" s="419" t="s">
        <v>16</v>
      </c>
      <c r="G18" s="412" t="s">
        <v>359</v>
      </c>
      <c r="H18" s="406"/>
      <c r="I18" s="406"/>
      <c r="J18" s="183"/>
    </row>
    <row r="19" spans="1:18" s="3" customFormat="1" ht="23.25" customHeight="1">
      <c r="A19" s="418"/>
      <c r="B19" s="418"/>
      <c r="C19" s="418"/>
      <c r="D19" s="418"/>
      <c r="E19" s="418"/>
      <c r="F19" s="418"/>
      <c r="G19" s="411" t="s">
        <v>631</v>
      </c>
      <c r="H19" s="411" t="s">
        <v>865</v>
      </c>
      <c r="I19" s="411" t="s">
        <v>1124</v>
      </c>
      <c r="J19" s="184"/>
      <c r="K19" s="194"/>
      <c r="L19" s="194"/>
      <c r="M19" s="194"/>
      <c r="N19" s="194"/>
      <c r="O19" s="194"/>
      <c r="P19" s="194"/>
      <c r="Q19" s="194"/>
      <c r="R19" s="194"/>
    </row>
    <row r="20" spans="1:18" s="3" customFormat="1" ht="49.5" customHeight="1">
      <c r="A20" s="418"/>
      <c r="B20" s="418"/>
      <c r="C20" s="418"/>
      <c r="D20" s="418"/>
      <c r="E20" s="418"/>
      <c r="F20" s="418"/>
      <c r="G20" s="411"/>
      <c r="H20" s="411"/>
      <c r="I20" s="411"/>
      <c r="J20" s="184"/>
      <c r="K20" s="194"/>
      <c r="L20" s="194"/>
      <c r="M20" s="194"/>
      <c r="N20" s="194"/>
      <c r="O20" s="194"/>
      <c r="P20" s="194"/>
      <c r="Q20" s="194"/>
      <c r="R20" s="194"/>
    </row>
    <row r="21" spans="1:18" s="3" customFormat="1">
      <c r="A21" s="4">
        <v>1</v>
      </c>
      <c r="B21" s="4">
        <v>2</v>
      </c>
      <c r="C21" s="4">
        <v>3</v>
      </c>
      <c r="D21" s="4">
        <v>4</v>
      </c>
      <c r="E21" s="4">
        <v>5</v>
      </c>
      <c r="F21" s="4">
        <v>6</v>
      </c>
      <c r="G21" s="72">
        <v>7</v>
      </c>
      <c r="H21" s="72">
        <v>8</v>
      </c>
      <c r="I21" s="72">
        <v>9</v>
      </c>
      <c r="J21" s="185"/>
      <c r="K21" s="194"/>
      <c r="L21" s="194"/>
      <c r="M21" s="194"/>
      <c r="N21" s="194"/>
      <c r="O21" s="194"/>
      <c r="P21" s="194"/>
      <c r="Q21" s="194"/>
      <c r="R21" s="194"/>
    </row>
    <row r="22" spans="1:18" s="227" customFormat="1" ht="63" customHeight="1">
      <c r="A22" s="386" t="s">
        <v>1209</v>
      </c>
      <c r="B22" s="387">
        <v>757</v>
      </c>
      <c r="C22" s="387"/>
      <c r="D22" s="387"/>
      <c r="E22" s="388"/>
      <c r="F22" s="387"/>
      <c r="G22" s="389"/>
      <c r="H22" s="389"/>
      <c r="I22" s="389"/>
      <c r="J22" s="328"/>
      <c r="K22" s="372"/>
      <c r="L22" s="372"/>
      <c r="M22" s="372"/>
      <c r="N22" s="372"/>
      <c r="O22" s="372"/>
      <c r="P22" s="372"/>
      <c r="Q22" s="372"/>
      <c r="R22" s="372"/>
    </row>
    <row r="23" spans="1:18">
      <c r="A23" s="266" t="s">
        <v>17</v>
      </c>
      <c r="B23" s="260">
        <v>757</v>
      </c>
      <c r="C23" s="261" t="s">
        <v>18</v>
      </c>
      <c r="D23" s="261"/>
      <c r="E23" s="261"/>
      <c r="F23" s="261"/>
      <c r="G23" s="258">
        <f>G24</f>
        <v>1500</v>
      </c>
      <c r="H23" s="258">
        <f t="shared" ref="H23:I23" si="0">H24</f>
        <v>0</v>
      </c>
      <c r="I23" s="258">
        <f t="shared" si="0"/>
        <v>0</v>
      </c>
      <c r="J23" s="186"/>
    </row>
    <row r="24" spans="1:18" ht="18.75" customHeight="1">
      <c r="A24" s="40" t="s">
        <v>21</v>
      </c>
      <c r="B24" s="145">
        <v>757</v>
      </c>
      <c r="C24" s="84" t="s">
        <v>18</v>
      </c>
      <c r="D24" s="84" t="s">
        <v>22</v>
      </c>
      <c r="E24" s="84"/>
      <c r="F24" s="84"/>
      <c r="G24" s="87">
        <f>G25</f>
        <v>1500</v>
      </c>
      <c r="H24" s="87">
        <f>H25</f>
        <v>0</v>
      </c>
      <c r="I24" s="87">
        <f>I25</f>
        <v>0</v>
      </c>
      <c r="J24" s="173"/>
    </row>
    <row r="25" spans="1:18" ht="32.25" customHeight="1">
      <c r="A25" s="16" t="s">
        <v>158</v>
      </c>
      <c r="B25" s="145">
        <v>757</v>
      </c>
      <c r="C25" s="84" t="s">
        <v>18</v>
      </c>
      <c r="D25" s="84" t="s">
        <v>22</v>
      </c>
      <c r="E25" s="84" t="s">
        <v>204</v>
      </c>
      <c r="F25" s="84"/>
      <c r="G25" s="87">
        <f>G26</f>
        <v>1500</v>
      </c>
      <c r="H25" s="87">
        <f t="shared" ref="H25:I25" si="1">H26</f>
        <v>0</v>
      </c>
      <c r="I25" s="87">
        <f t="shared" si="1"/>
        <v>0</v>
      </c>
      <c r="J25" s="173"/>
      <c r="N25" s="204"/>
    </row>
    <row r="26" spans="1:18" ht="22.5" customHeight="1">
      <c r="A26" s="82" t="s">
        <v>1336</v>
      </c>
      <c r="B26" s="145">
        <v>757</v>
      </c>
      <c r="C26" s="84" t="s">
        <v>18</v>
      </c>
      <c r="D26" s="84" t="s">
        <v>22</v>
      </c>
      <c r="E26" s="84" t="s">
        <v>1335</v>
      </c>
      <c r="F26" s="84"/>
      <c r="G26" s="87">
        <f>G27</f>
        <v>1500</v>
      </c>
      <c r="H26" s="87">
        <v>0</v>
      </c>
      <c r="I26" s="87">
        <v>0</v>
      </c>
      <c r="J26" s="173"/>
      <c r="P26" s="217"/>
    </row>
    <row r="27" spans="1:18" ht="27.75" customHeight="1">
      <c r="A27" s="82" t="s">
        <v>35</v>
      </c>
      <c r="B27" s="145">
        <v>757</v>
      </c>
      <c r="C27" s="84" t="s">
        <v>18</v>
      </c>
      <c r="D27" s="84" t="s">
        <v>22</v>
      </c>
      <c r="E27" s="84" t="s">
        <v>1335</v>
      </c>
      <c r="F27" s="84" t="s">
        <v>36</v>
      </c>
      <c r="G27" s="87">
        <f t="shared" ref="G27" si="2">G28</f>
        <v>1500</v>
      </c>
      <c r="H27" s="87">
        <v>0</v>
      </c>
      <c r="I27" s="87">
        <v>0</v>
      </c>
      <c r="J27" s="173"/>
    </row>
    <row r="28" spans="1:18" ht="28.5" customHeight="1">
      <c r="A28" s="82" t="s">
        <v>37</v>
      </c>
      <c r="B28" s="145">
        <v>757</v>
      </c>
      <c r="C28" s="84" t="s">
        <v>18</v>
      </c>
      <c r="D28" s="84" t="s">
        <v>22</v>
      </c>
      <c r="E28" s="84" t="s">
        <v>1335</v>
      </c>
      <c r="F28" s="84" t="s">
        <v>38</v>
      </c>
      <c r="G28" s="87">
        <v>1500</v>
      </c>
      <c r="H28" s="87">
        <v>0</v>
      </c>
      <c r="I28" s="87">
        <v>0</v>
      </c>
      <c r="J28" s="173"/>
    </row>
    <row r="29" spans="1:18">
      <c r="A29" s="259" t="s">
        <v>85</v>
      </c>
      <c r="B29" s="260">
        <v>757</v>
      </c>
      <c r="C29" s="261" t="s">
        <v>53</v>
      </c>
      <c r="D29" s="261"/>
      <c r="E29" s="261"/>
      <c r="F29" s="261"/>
      <c r="G29" s="258">
        <f>SUM(G30)</f>
        <v>122966.67</v>
      </c>
      <c r="H29" s="258">
        <f>SUM(H30)</f>
        <v>161100</v>
      </c>
      <c r="I29" s="258">
        <f>SUM(I30)</f>
        <v>161100</v>
      </c>
      <c r="J29" s="186"/>
    </row>
    <row r="30" spans="1:18">
      <c r="A30" s="82" t="s">
        <v>86</v>
      </c>
      <c r="B30" s="145">
        <v>757</v>
      </c>
      <c r="C30" s="84" t="s">
        <v>53</v>
      </c>
      <c r="D30" s="84" t="s">
        <v>87</v>
      </c>
      <c r="E30" s="84"/>
      <c r="F30" s="84"/>
      <c r="G30" s="87">
        <f>G31</f>
        <v>122966.67</v>
      </c>
      <c r="H30" s="87">
        <f>H31</f>
        <v>161100</v>
      </c>
      <c r="I30" s="87">
        <f>I31</f>
        <v>161100</v>
      </c>
      <c r="J30" s="173"/>
    </row>
    <row r="31" spans="1:18" s="32" customFormat="1" ht="29.25" customHeight="1">
      <c r="A31" s="30" t="s">
        <v>1134</v>
      </c>
      <c r="B31" s="145">
        <v>757</v>
      </c>
      <c r="C31" s="84" t="s">
        <v>53</v>
      </c>
      <c r="D31" s="84" t="s">
        <v>87</v>
      </c>
      <c r="E31" s="84" t="s">
        <v>196</v>
      </c>
      <c r="F31" s="84"/>
      <c r="G31" s="87">
        <f>G32+G37</f>
        <v>122966.67</v>
      </c>
      <c r="H31" s="87">
        <f>H32+H37</f>
        <v>161100</v>
      </c>
      <c r="I31" s="87">
        <f>I32+I37</f>
        <v>161100</v>
      </c>
      <c r="J31" s="173"/>
      <c r="K31" s="198"/>
      <c r="L31" s="198"/>
      <c r="M31" s="198"/>
      <c r="N31" s="198"/>
      <c r="O31" s="198"/>
      <c r="P31" s="198"/>
      <c r="Q31" s="198"/>
      <c r="R31" s="198"/>
    </row>
    <row r="32" spans="1:18" s="32" customFormat="1" ht="27.75" customHeight="1">
      <c r="A32" s="30" t="s">
        <v>1183</v>
      </c>
      <c r="B32" s="145">
        <v>757</v>
      </c>
      <c r="C32" s="84" t="s">
        <v>53</v>
      </c>
      <c r="D32" s="84" t="s">
        <v>87</v>
      </c>
      <c r="E32" s="84" t="s">
        <v>197</v>
      </c>
      <c r="F32" s="84"/>
      <c r="G32" s="87">
        <f>G35+G33</f>
        <v>122966.67</v>
      </c>
      <c r="H32" s="87">
        <f>H35+H33</f>
        <v>161100</v>
      </c>
      <c r="I32" s="87">
        <f>I35+I33</f>
        <v>161100</v>
      </c>
      <c r="J32" s="173"/>
      <c r="K32" s="198"/>
      <c r="L32" s="198"/>
      <c r="M32" s="198"/>
      <c r="N32" s="198"/>
      <c r="O32" s="198"/>
      <c r="P32" s="198"/>
      <c r="Q32" s="198"/>
      <c r="R32" s="198"/>
    </row>
    <row r="33" spans="1:17" ht="33.75" hidden="1" customHeight="1">
      <c r="A33" s="16" t="s">
        <v>35</v>
      </c>
      <c r="B33" s="145">
        <v>757</v>
      </c>
      <c r="C33" s="84" t="s">
        <v>53</v>
      </c>
      <c r="D33" s="84" t="s">
        <v>87</v>
      </c>
      <c r="E33" s="84" t="s">
        <v>197</v>
      </c>
      <c r="F33" s="84" t="s">
        <v>36</v>
      </c>
      <c r="G33" s="87">
        <f>G34</f>
        <v>0</v>
      </c>
      <c r="H33" s="87">
        <f t="shared" ref="H33:I33" si="3">H34</f>
        <v>0</v>
      </c>
      <c r="I33" s="87">
        <f t="shared" si="3"/>
        <v>0</v>
      </c>
      <c r="J33" s="173"/>
    </row>
    <row r="34" spans="1:17" ht="26.25" hidden="1" customHeight="1">
      <c r="A34" s="16" t="s">
        <v>37</v>
      </c>
      <c r="B34" s="145">
        <v>757</v>
      </c>
      <c r="C34" s="84" t="s">
        <v>53</v>
      </c>
      <c r="D34" s="84" t="s">
        <v>87</v>
      </c>
      <c r="E34" s="84" t="s">
        <v>197</v>
      </c>
      <c r="F34" s="84" t="s">
        <v>38</v>
      </c>
      <c r="G34" s="85"/>
      <c r="H34" s="85"/>
      <c r="I34" s="85"/>
      <c r="J34" s="174"/>
    </row>
    <row r="35" spans="1:17" ht="26.4">
      <c r="A35" s="16" t="s">
        <v>29</v>
      </c>
      <c r="B35" s="145">
        <v>757</v>
      </c>
      <c r="C35" s="84" t="s">
        <v>53</v>
      </c>
      <c r="D35" s="84" t="s">
        <v>87</v>
      </c>
      <c r="E35" s="84" t="s">
        <v>197</v>
      </c>
      <c r="F35" s="84" t="s">
        <v>30</v>
      </c>
      <c r="G35" s="85">
        <f t="shared" ref="G35:I35" si="4">G36</f>
        <v>122966.67</v>
      </c>
      <c r="H35" s="85">
        <f t="shared" si="4"/>
        <v>161100</v>
      </c>
      <c r="I35" s="85">
        <f t="shared" si="4"/>
        <v>161100</v>
      </c>
      <c r="J35" s="174"/>
    </row>
    <row r="36" spans="1:17" ht="18" customHeight="1">
      <c r="A36" s="16" t="s">
        <v>31</v>
      </c>
      <c r="B36" s="145">
        <v>757</v>
      </c>
      <c r="C36" s="84" t="s">
        <v>53</v>
      </c>
      <c r="D36" s="84" t="s">
        <v>87</v>
      </c>
      <c r="E36" s="84" t="s">
        <v>197</v>
      </c>
      <c r="F36" s="84" t="s">
        <v>32</v>
      </c>
      <c r="G36" s="8">
        <f>161100-38133.33</f>
        <v>122966.67</v>
      </c>
      <c r="H36" s="8">
        <v>161100</v>
      </c>
      <c r="I36" s="8">
        <v>161100</v>
      </c>
      <c r="J36" s="174"/>
    </row>
    <row r="37" spans="1:17" ht="15" hidden="1" customHeight="1">
      <c r="A37" s="16" t="s">
        <v>474</v>
      </c>
      <c r="B37" s="145">
        <v>757</v>
      </c>
      <c r="C37" s="84" t="s">
        <v>53</v>
      </c>
      <c r="D37" s="84" t="s">
        <v>87</v>
      </c>
      <c r="E37" s="84" t="s">
        <v>473</v>
      </c>
      <c r="F37" s="84"/>
      <c r="G37" s="87">
        <f>G38</f>
        <v>0</v>
      </c>
      <c r="H37" s="87">
        <f t="shared" ref="H37:I37" si="5">H38</f>
        <v>0</v>
      </c>
      <c r="I37" s="87">
        <f t="shared" si="5"/>
        <v>0</v>
      </c>
      <c r="J37" s="173"/>
    </row>
    <row r="38" spans="1:17" ht="35.25" hidden="1" customHeight="1">
      <c r="A38" s="16" t="s">
        <v>35</v>
      </c>
      <c r="B38" s="145">
        <v>757</v>
      </c>
      <c r="C38" s="84" t="s">
        <v>53</v>
      </c>
      <c r="D38" s="84" t="s">
        <v>87</v>
      </c>
      <c r="E38" s="84" t="s">
        <v>473</v>
      </c>
      <c r="F38" s="84" t="s">
        <v>36</v>
      </c>
      <c r="G38" s="87">
        <f>G39</f>
        <v>0</v>
      </c>
      <c r="H38" s="87">
        <f t="shared" ref="H38:I38" si="6">H39</f>
        <v>0</v>
      </c>
      <c r="I38" s="87">
        <f t="shared" si="6"/>
        <v>0</v>
      </c>
      <c r="J38" s="173"/>
    </row>
    <row r="39" spans="1:17" ht="30" hidden="1" customHeight="1">
      <c r="A39" s="16" t="s">
        <v>37</v>
      </c>
      <c r="B39" s="145">
        <v>757</v>
      </c>
      <c r="C39" s="84" t="s">
        <v>53</v>
      </c>
      <c r="D39" s="84" t="s">
        <v>87</v>
      </c>
      <c r="E39" s="84" t="s">
        <v>473</v>
      </c>
      <c r="F39" s="84" t="s">
        <v>38</v>
      </c>
      <c r="G39" s="87"/>
      <c r="H39" s="87">
        <v>0</v>
      </c>
      <c r="I39" s="87">
        <v>0</v>
      </c>
      <c r="J39" s="173"/>
    </row>
    <row r="40" spans="1:17" ht="16.5" customHeight="1">
      <c r="A40" s="11" t="s">
        <v>24</v>
      </c>
      <c r="B40" s="261">
        <v>757</v>
      </c>
      <c r="C40" s="261" t="s">
        <v>25</v>
      </c>
      <c r="D40" s="261"/>
      <c r="E40" s="261"/>
      <c r="F40" s="261"/>
      <c r="G40" s="96">
        <f>G145+G41++G163</f>
        <v>40579340.889999993</v>
      </c>
      <c r="H40" s="96">
        <f t="shared" ref="H40:I40" si="7">H145+H41++H163</f>
        <v>35560563.910000004</v>
      </c>
      <c r="I40" s="96">
        <f t="shared" si="7"/>
        <v>36816821.109999999</v>
      </c>
      <c r="J40" s="187"/>
    </row>
    <row r="41" spans="1:17" ht="18.75" customHeight="1">
      <c r="A41" s="16" t="s">
        <v>93</v>
      </c>
      <c r="B41" s="145">
        <v>757</v>
      </c>
      <c r="C41" s="84" t="s">
        <v>25</v>
      </c>
      <c r="D41" s="84" t="s">
        <v>69</v>
      </c>
      <c r="E41" s="84"/>
      <c r="F41" s="145"/>
      <c r="G41" s="87">
        <f>G42+G128+G82+G103+G133</f>
        <v>40190992.489999995</v>
      </c>
      <c r="H41" s="87">
        <f>H42+H128+H82</f>
        <v>35360513.910000004</v>
      </c>
      <c r="I41" s="87">
        <f>I42+I128+I82</f>
        <v>36616771.109999999</v>
      </c>
      <c r="J41" s="173"/>
      <c r="N41" s="181">
        <v>40190992.490000002</v>
      </c>
      <c r="O41" s="204">
        <f>N41-G41</f>
        <v>0</v>
      </c>
    </row>
    <row r="42" spans="1:17" ht="35.25" customHeight="1">
      <c r="A42" s="16" t="s">
        <v>1136</v>
      </c>
      <c r="B42" s="145">
        <v>757</v>
      </c>
      <c r="C42" s="84" t="s">
        <v>25</v>
      </c>
      <c r="D42" s="84" t="s">
        <v>69</v>
      </c>
      <c r="E42" s="84" t="s">
        <v>187</v>
      </c>
      <c r="F42" s="84"/>
      <c r="G42" s="87">
        <f>+G46+G79+G76+G64+G70+G67+G73+G97+G100+G61+G86+G89+G92+G52+G58+G55+G49+G113+G116+G122+G125+G43+G107+G110+G119</f>
        <v>36854129.369999997</v>
      </c>
      <c r="H42" s="87">
        <f t="shared" ref="H42:I42" si="8">+H46+H79+H76+H64+H70+H67+H73+H97+H100+H61+H86+H89+H92+H52+H58+H55+H49</f>
        <v>33477731.82</v>
      </c>
      <c r="I42" s="87">
        <f t="shared" si="8"/>
        <v>35175078.719999999</v>
      </c>
      <c r="J42" s="173"/>
      <c r="Q42" s="204"/>
    </row>
    <row r="43" spans="1:17" ht="105.6" hidden="1">
      <c r="A43" s="82" t="s">
        <v>1333</v>
      </c>
      <c r="B43" s="145">
        <v>757</v>
      </c>
      <c r="C43" s="84" t="s">
        <v>25</v>
      </c>
      <c r="D43" s="84" t="s">
        <v>69</v>
      </c>
      <c r="E43" s="84" t="s">
        <v>814</v>
      </c>
      <c r="F43" s="84"/>
      <c r="G43" s="70">
        <f>G44</f>
        <v>0</v>
      </c>
      <c r="H43" s="70">
        <f t="shared" ref="H43:I43" si="9">H44</f>
        <v>0</v>
      </c>
      <c r="I43" s="70">
        <f t="shared" si="9"/>
        <v>0</v>
      </c>
      <c r="J43" s="173"/>
    </row>
    <row r="44" spans="1:17" ht="26.4" hidden="1">
      <c r="A44" s="82" t="s">
        <v>29</v>
      </c>
      <c r="B44" s="145">
        <v>757</v>
      </c>
      <c r="C44" s="84" t="s">
        <v>25</v>
      </c>
      <c r="D44" s="84" t="s">
        <v>69</v>
      </c>
      <c r="E44" s="84" t="s">
        <v>814</v>
      </c>
      <c r="F44" s="84" t="s">
        <v>30</v>
      </c>
      <c r="G44" s="70">
        <f>G45</f>
        <v>0</v>
      </c>
      <c r="H44" s="70">
        <f>H45</f>
        <v>0</v>
      </c>
      <c r="I44" s="70">
        <f>I45</f>
        <v>0</v>
      </c>
      <c r="J44" s="173"/>
    </row>
    <row r="45" spans="1:17" ht="19.5" hidden="1" customHeight="1">
      <c r="A45" s="82" t="s">
        <v>31</v>
      </c>
      <c r="B45" s="145">
        <v>757</v>
      </c>
      <c r="C45" s="84" t="s">
        <v>25</v>
      </c>
      <c r="D45" s="84" t="s">
        <v>69</v>
      </c>
      <c r="E45" s="84" t="s">
        <v>814</v>
      </c>
      <c r="F45" s="84" t="s">
        <v>32</v>
      </c>
      <c r="G45" s="70">
        <f>138000-138000</f>
        <v>0</v>
      </c>
      <c r="H45" s="70">
        <v>0</v>
      </c>
      <c r="I45" s="70">
        <v>0</v>
      </c>
      <c r="J45" s="173"/>
    </row>
    <row r="46" spans="1:17" ht="26.4">
      <c r="A46" s="82" t="s">
        <v>28</v>
      </c>
      <c r="B46" s="145">
        <v>757</v>
      </c>
      <c r="C46" s="84" t="s">
        <v>25</v>
      </c>
      <c r="D46" s="84" t="s">
        <v>69</v>
      </c>
      <c r="E46" s="84" t="s">
        <v>188</v>
      </c>
      <c r="F46" s="84"/>
      <c r="G46" s="87">
        <f>G47</f>
        <v>34045661.939999998</v>
      </c>
      <c r="H46" s="87">
        <f t="shared" ref="H46:I46" si="10">H47</f>
        <v>33224731.82</v>
      </c>
      <c r="I46" s="87">
        <f t="shared" si="10"/>
        <v>34922078.719999999</v>
      </c>
      <c r="J46" s="173"/>
    </row>
    <row r="47" spans="1:17" ht="26.4">
      <c r="A47" s="82" t="s">
        <v>29</v>
      </c>
      <c r="B47" s="145">
        <v>757</v>
      </c>
      <c r="C47" s="84" t="s">
        <v>25</v>
      </c>
      <c r="D47" s="84" t="s">
        <v>69</v>
      </c>
      <c r="E47" s="84" t="s">
        <v>188</v>
      </c>
      <c r="F47" s="84" t="s">
        <v>30</v>
      </c>
      <c r="G47" s="87">
        <f>G48</f>
        <v>34045661.939999998</v>
      </c>
      <c r="H47" s="87">
        <f>H48</f>
        <v>33224731.82</v>
      </c>
      <c r="I47" s="87">
        <f>I48</f>
        <v>34922078.719999999</v>
      </c>
      <c r="J47" s="173"/>
    </row>
    <row r="48" spans="1:17" ht="19.5" customHeight="1">
      <c r="A48" s="82" t="s">
        <v>31</v>
      </c>
      <c r="B48" s="145">
        <v>757</v>
      </c>
      <c r="C48" s="84" t="s">
        <v>25</v>
      </c>
      <c r="D48" s="84" t="s">
        <v>69</v>
      </c>
      <c r="E48" s="84" t="s">
        <v>188</v>
      </c>
      <c r="F48" s="84" t="s">
        <v>32</v>
      </c>
      <c r="G48" s="70">
        <v>34045661.939999998</v>
      </c>
      <c r="H48" s="70">
        <v>33224731.82</v>
      </c>
      <c r="I48" s="70">
        <v>34922078.719999999</v>
      </c>
      <c r="J48" s="173"/>
    </row>
    <row r="49" spans="1:12">
      <c r="A49" s="82" t="s">
        <v>816</v>
      </c>
      <c r="B49" s="145">
        <v>757</v>
      </c>
      <c r="C49" s="84" t="s">
        <v>25</v>
      </c>
      <c r="D49" s="84" t="s">
        <v>69</v>
      </c>
      <c r="E49" s="84" t="s">
        <v>815</v>
      </c>
      <c r="F49" s="84"/>
      <c r="G49" s="70">
        <f>G50</f>
        <v>73334.8</v>
      </c>
      <c r="H49" s="70">
        <f t="shared" ref="H49:I49" si="11">H50</f>
        <v>108000</v>
      </c>
      <c r="I49" s="70">
        <f t="shared" si="11"/>
        <v>108000</v>
      </c>
      <c r="J49" s="173"/>
    </row>
    <row r="50" spans="1:12" ht="26.4">
      <c r="A50" s="82" t="s">
        <v>29</v>
      </c>
      <c r="B50" s="145">
        <v>757</v>
      </c>
      <c r="C50" s="84" t="s">
        <v>25</v>
      </c>
      <c r="D50" s="84" t="s">
        <v>69</v>
      </c>
      <c r="E50" s="84" t="s">
        <v>815</v>
      </c>
      <c r="F50" s="84" t="s">
        <v>30</v>
      </c>
      <c r="G50" s="70">
        <f>G51</f>
        <v>73334.8</v>
      </c>
      <c r="H50" s="70">
        <f>H51</f>
        <v>108000</v>
      </c>
      <c r="I50" s="70">
        <f>I51</f>
        <v>108000</v>
      </c>
      <c r="J50" s="173"/>
    </row>
    <row r="51" spans="1:12" ht="19.5" customHeight="1">
      <c r="A51" s="82" t="s">
        <v>31</v>
      </c>
      <c r="B51" s="145">
        <v>757</v>
      </c>
      <c r="C51" s="84" t="s">
        <v>25</v>
      </c>
      <c r="D51" s="84" t="s">
        <v>69</v>
      </c>
      <c r="E51" s="84" t="s">
        <v>815</v>
      </c>
      <c r="F51" s="84" t="s">
        <v>32</v>
      </c>
      <c r="G51" s="70">
        <v>73334.8</v>
      </c>
      <c r="H51" s="70">
        <v>108000</v>
      </c>
      <c r="I51" s="70">
        <v>108000</v>
      </c>
      <c r="J51" s="173"/>
    </row>
    <row r="52" spans="1:12" ht="26.4">
      <c r="A52" s="82" t="s">
        <v>812</v>
      </c>
      <c r="B52" s="145">
        <v>757</v>
      </c>
      <c r="C52" s="84" t="s">
        <v>25</v>
      </c>
      <c r="D52" s="84" t="s">
        <v>69</v>
      </c>
      <c r="E52" s="84" t="s">
        <v>811</v>
      </c>
      <c r="F52" s="84"/>
      <c r="G52" s="87">
        <f>G53</f>
        <v>121494.2</v>
      </c>
      <c r="H52" s="87">
        <f t="shared" ref="H52:I52" si="12">H53</f>
        <v>100000</v>
      </c>
      <c r="I52" s="87">
        <f t="shared" si="12"/>
        <v>100000</v>
      </c>
      <c r="J52" s="173"/>
    </row>
    <row r="53" spans="1:12" ht="26.4">
      <c r="A53" s="82" t="s">
        <v>29</v>
      </c>
      <c r="B53" s="145">
        <v>757</v>
      </c>
      <c r="C53" s="84" t="s">
        <v>25</v>
      </c>
      <c r="D53" s="84" t="s">
        <v>69</v>
      </c>
      <c r="E53" s="84" t="s">
        <v>811</v>
      </c>
      <c r="F53" s="84" t="s">
        <v>30</v>
      </c>
      <c r="G53" s="87">
        <f>G54</f>
        <v>121494.2</v>
      </c>
      <c r="H53" s="87">
        <f>H54</f>
        <v>100000</v>
      </c>
      <c r="I53" s="87">
        <f>I54</f>
        <v>100000</v>
      </c>
      <c r="J53" s="173"/>
    </row>
    <row r="54" spans="1:12" ht="19.5" customHeight="1">
      <c r="A54" s="82" t="s">
        <v>31</v>
      </c>
      <c r="B54" s="145">
        <v>757</v>
      </c>
      <c r="C54" s="84" t="s">
        <v>25</v>
      </c>
      <c r="D54" s="84" t="s">
        <v>69</v>
      </c>
      <c r="E54" s="84" t="s">
        <v>811</v>
      </c>
      <c r="F54" s="84" t="s">
        <v>32</v>
      </c>
      <c r="G54" s="70">
        <f>121694.2-200</f>
        <v>121494.2</v>
      </c>
      <c r="H54" s="87">
        <v>100000</v>
      </c>
      <c r="I54" s="87">
        <v>100000</v>
      </c>
      <c r="J54" s="173"/>
    </row>
    <row r="55" spans="1:12" ht="26.4">
      <c r="A55" s="82" t="s">
        <v>1184</v>
      </c>
      <c r="B55" s="145">
        <v>757</v>
      </c>
      <c r="C55" s="84" t="s">
        <v>25</v>
      </c>
      <c r="D55" s="84" t="s">
        <v>69</v>
      </c>
      <c r="E55" s="84" t="s">
        <v>826</v>
      </c>
      <c r="F55" s="84"/>
      <c r="G55" s="70">
        <f>G56</f>
        <v>40678</v>
      </c>
      <c r="H55" s="87">
        <f t="shared" ref="H55:I55" si="13">H56</f>
        <v>45000</v>
      </c>
      <c r="I55" s="87">
        <f t="shared" si="13"/>
        <v>45000</v>
      </c>
      <c r="J55" s="173"/>
    </row>
    <row r="56" spans="1:12" ht="26.4">
      <c r="A56" s="82" t="s">
        <v>29</v>
      </c>
      <c r="B56" s="145">
        <v>757</v>
      </c>
      <c r="C56" s="84" t="s">
        <v>25</v>
      </c>
      <c r="D56" s="84" t="s">
        <v>69</v>
      </c>
      <c r="E56" s="84" t="s">
        <v>826</v>
      </c>
      <c r="F56" s="84" t="s">
        <v>30</v>
      </c>
      <c r="G56" s="70">
        <f>G57</f>
        <v>40678</v>
      </c>
      <c r="H56" s="87">
        <f>H57</f>
        <v>45000</v>
      </c>
      <c r="I56" s="87">
        <f>I57</f>
        <v>45000</v>
      </c>
      <c r="J56" s="173"/>
    </row>
    <row r="57" spans="1:12" ht="19.5" customHeight="1">
      <c r="A57" s="82" t="s">
        <v>31</v>
      </c>
      <c r="B57" s="145">
        <v>757</v>
      </c>
      <c r="C57" s="84" t="s">
        <v>25</v>
      </c>
      <c r="D57" s="84" t="s">
        <v>69</v>
      </c>
      <c r="E57" s="84" t="s">
        <v>826</v>
      </c>
      <c r="F57" s="84" t="s">
        <v>32</v>
      </c>
      <c r="G57" s="70">
        <v>40678</v>
      </c>
      <c r="H57" s="87">
        <v>45000</v>
      </c>
      <c r="I57" s="87">
        <v>45000</v>
      </c>
      <c r="J57" s="173"/>
    </row>
    <row r="58" spans="1:12" ht="39.6" hidden="1">
      <c r="A58" s="82" t="s">
        <v>640</v>
      </c>
      <c r="B58" s="145">
        <v>757</v>
      </c>
      <c r="C58" s="84" t="s">
        <v>25</v>
      </c>
      <c r="D58" s="84" t="s">
        <v>69</v>
      </c>
      <c r="E58" s="84" t="s">
        <v>814</v>
      </c>
      <c r="F58" s="84"/>
      <c r="G58" s="70">
        <f>G59</f>
        <v>0</v>
      </c>
      <c r="H58" s="87">
        <f t="shared" ref="H58:I58" si="14">H59</f>
        <v>0</v>
      </c>
      <c r="I58" s="87">
        <f t="shared" si="14"/>
        <v>0</v>
      </c>
      <c r="J58" s="173"/>
    </row>
    <row r="59" spans="1:12" ht="26.4" hidden="1">
      <c r="A59" s="82" t="s">
        <v>29</v>
      </c>
      <c r="B59" s="145">
        <v>757</v>
      </c>
      <c r="C59" s="84" t="s">
        <v>25</v>
      </c>
      <c r="D59" s="84" t="s">
        <v>69</v>
      </c>
      <c r="E59" s="84" t="s">
        <v>814</v>
      </c>
      <c r="F59" s="84" t="s">
        <v>30</v>
      </c>
      <c r="G59" s="70">
        <f>G60</f>
        <v>0</v>
      </c>
      <c r="H59" s="87">
        <f>H60</f>
        <v>0</v>
      </c>
      <c r="I59" s="87">
        <f>I60</f>
        <v>0</v>
      </c>
      <c r="J59" s="173"/>
    </row>
    <row r="60" spans="1:12" ht="19.5" hidden="1" customHeight="1">
      <c r="A60" s="82" t="s">
        <v>31</v>
      </c>
      <c r="B60" s="145">
        <v>757</v>
      </c>
      <c r="C60" s="84" t="s">
        <v>25</v>
      </c>
      <c r="D60" s="84" t="s">
        <v>69</v>
      </c>
      <c r="E60" s="84" t="s">
        <v>814</v>
      </c>
      <c r="F60" s="84" t="s">
        <v>32</v>
      </c>
      <c r="G60" s="70"/>
      <c r="H60" s="87"/>
      <c r="I60" s="87"/>
      <c r="J60" s="173"/>
    </row>
    <row r="61" spans="1:12" ht="60" hidden="1" customHeight="1">
      <c r="A61" s="82" t="s">
        <v>640</v>
      </c>
      <c r="B61" s="145">
        <v>757</v>
      </c>
      <c r="C61" s="84" t="s">
        <v>25</v>
      </c>
      <c r="D61" s="84" t="s">
        <v>69</v>
      </c>
      <c r="E61" s="84" t="s">
        <v>641</v>
      </c>
      <c r="F61" s="84"/>
      <c r="G61" s="70">
        <f>G62</f>
        <v>0</v>
      </c>
      <c r="H61" s="87">
        <f t="shared" ref="H61:I62" si="15">H62</f>
        <v>0</v>
      </c>
      <c r="I61" s="87">
        <f t="shared" si="15"/>
        <v>0</v>
      </c>
      <c r="J61" s="173"/>
    </row>
    <row r="62" spans="1:12" ht="47.25" hidden="1" customHeight="1">
      <c r="A62" s="82" t="s">
        <v>29</v>
      </c>
      <c r="B62" s="145">
        <v>757</v>
      </c>
      <c r="C62" s="84" t="s">
        <v>25</v>
      </c>
      <c r="D62" s="84" t="s">
        <v>69</v>
      </c>
      <c r="E62" s="84" t="s">
        <v>641</v>
      </c>
      <c r="F62" s="84" t="s">
        <v>30</v>
      </c>
      <c r="G62" s="70">
        <f>G63</f>
        <v>0</v>
      </c>
      <c r="H62" s="87">
        <f t="shared" si="15"/>
        <v>0</v>
      </c>
      <c r="I62" s="87">
        <f t="shared" si="15"/>
        <v>0</v>
      </c>
      <c r="J62" s="173"/>
      <c r="K62" s="173"/>
      <c r="L62" s="173"/>
    </row>
    <row r="63" spans="1:12" ht="41.25" hidden="1" customHeight="1">
      <c r="A63" s="82" t="s">
        <v>31</v>
      </c>
      <c r="B63" s="145">
        <v>757</v>
      </c>
      <c r="C63" s="84" t="s">
        <v>25</v>
      </c>
      <c r="D63" s="84" t="s">
        <v>69</v>
      </c>
      <c r="E63" s="84" t="s">
        <v>641</v>
      </c>
      <c r="F63" s="84" t="s">
        <v>32</v>
      </c>
      <c r="G63" s="70"/>
      <c r="H63" s="87"/>
      <c r="I63" s="87"/>
      <c r="J63" s="173"/>
    </row>
    <row r="64" spans="1:12" ht="36" hidden="1" customHeight="1">
      <c r="A64" s="82" t="s">
        <v>517</v>
      </c>
      <c r="B64" s="145">
        <v>757</v>
      </c>
      <c r="C64" s="84" t="s">
        <v>25</v>
      </c>
      <c r="D64" s="84" t="s">
        <v>69</v>
      </c>
      <c r="E64" s="84" t="s">
        <v>518</v>
      </c>
      <c r="F64" s="84"/>
      <c r="G64" s="70">
        <f>G66</f>
        <v>0</v>
      </c>
      <c r="H64" s="87">
        <v>0</v>
      </c>
      <c r="I64" s="87">
        <v>0</v>
      </c>
      <c r="J64" s="173"/>
    </row>
    <row r="65" spans="1:12" ht="36" hidden="1" customHeight="1">
      <c r="A65" s="82" t="s">
        <v>29</v>
      </c>
      <c r="B65" s="145">
        <v>757</v>
      </c>
      <c r="C65" s="84" t="s">
        <v>25</v>
      </c>
      <c r="D65" s="84" t="s">
        <v>69</v>
      </c>
      <c r="E65" s="84" t="s">
        <v>518</v>
      </c>
      <c r="F65" s="84" t="s">
        <v>30</v>
      </c>
      <c r="G65" s="70">
        <f>G66</f>
        <v>0</v>
      </c>
      <c r="H65" s="87">
        <v>0</v>
      </c>
      <c r="I65" s="87">
        <v>0</v>
      </c>
      <c r="J65" s="173"/>
    </row>
    <row r="66" spans="1:12" ht="19.5" hidden="1" customHeight="1">
      <c r="A66" s="82" t="s">
        <v>31</v>
      </c>
      <c r="B66" s="145">
        <v>757</v>
      </c>
      <c r="C66" s="84" t="s">
        <v>25</v>
      </c>
      <c r="D66" s="84" t="s">
        <v>69</v>
      </c>
      <c r="E66" s="84" t="s">
        <v>518</v>
      </c>
      <c r="F66" s="84" t="s">
        <v>32</v>
      </c>
      <c r="G66" s="70"/>
      <c r="H66" s="87">
        <v>0</v>
      </c>
      <c r="I66" s="87">
        <v>0</v>
      </c>
      <c r="J66" s="173"/>
    </row>
    <row r="67" spans="1:12" ht="66" hidden="1" customHeight="1">
      <c r="A67" s="82" t="s">
        <v>513</v>
      </c>
      <c r="B67" s="145">
        <v>757</v>
      </c>
      <c r="C67" s="84" t="s">
        <v>25</v>
      </c>
      <c r="D67" s="84" t="s">
        <v>69</v>
      </c>
      <c r="E67" s="84" t="s">
        <v>600</v>
      </c>
      <c r="F67" s="84"/>
      <c r="G67" s="70">
        <f>G68</f>
        <v>0</v>
      </c>
      <c r="H67" s="87">
        <f t="shared" ref="H67:I68" si="16">H68</f>
        <v>0</v>
      </c>
      <c r="I67" s="87">
        <f t="shared" si="16"/>
        <v>0</v>
      </c>
      <c r="J67" s="173"/>
    </row>
    <row r="68" spans="1:12" ht="33.75" hidden="1" customHeight="1">
      <c r="A68" s="82" t="s">
        <v>29</v>
      </c>
      <c r="B68" s="145">
        <v>757</v>
      </c>
      <c r="C68" s="84" t="s">
        <v>25</v>
      </c>
      <c r="D68" s="84" t="s">
        <v>69</v>
      </c>
      <c r="E68" s="84" t="s">
        <v>600</v>
      </c>
      <c r="F68" s="84" t="s">
        <v>30</v>
      </c>
      <c r="G68" s="70">
        <f>G69</f>
        <v>0</v>
      </c>
      <c r="H68" s="87">
        <f t="shared" si="16"/>
        <v>0</v>
      </c>
      <c r="I68" s="87">
        <f t="shared" si="16"/>
        <v>0</v>
      </c>
      <c r="J68" s="173"/>
    </row>
    <row r="69" spans="1:12" ht="27.75" hidden="1" customHeight="1">
      <c r="A69" s="82" t="s">
        <v>31</v>
      </c>
      <c r="B69" s="145">
        <v>757</v>
      </c>
      <c r="C69" s="84" t="s">
        <v>25</v>
      </c>
      <c r="D69" s="84" t="s">
        <v>69</v>
      </c>
      <c r="E69" s="84" t="s">
        <v>600</v>
      </c>
      <c r="F69" s="84" t="s">
        <v>32</v>
      </c>
      <c r="G69" s="70"/>
      <c r="H69" s="87"/>
      <c r="I69" s="87"/>
      <c r="J69" s="173"/>
    </row>
    <row r="70" spans="1:12" ht="78.75" hidden="1" customHeight="1">
      <c r="A70" s="82" t="s">
        <v>266</v>
      </c>
      <c r="B70" s="145">
        <v>757</v>
      </c>
      <c r="C70" s="84" t="s">
        <v>25</v>
      </c>
      <c r="D70" s="84" t="s">
        <v>69</v>
      </c>
      <c r="E70" s="84" t="s">
        <v>565</v>
      </c>
      <c r="F70" s="84"/>
      <c r="G70" s="70">
        <f>G72</f>
        <v>0</v>
      </c>
      <c r="H70" s="87">
        <v>0</v>
      </c>
      <c r="I70" s="87">
        <v>0</v>
      </c>
      <c r="J70" s="173"/>
    </row>
    <row r="71" spans="1:12" ht="36" hidden="1" customHeight="1">
      <c r="A71" s="82" t="s">
        <v>29</v>
      </c>
      <c r="B71" s="145">
        <v>757</v>
      </c>
      <c r="C71" s="84" t="s">
        <v>25</v>
      </c>
      <c r="D71" s="84" t="s">
        <v>69</v>
      </c>
      <c r="E71" s="84" t="s">
        <v>565</v>
      </c>
      <c r="F71" s="84" t="s">
        <v>30</v>
      </c>
      <c r="G71" s="70">
        <f>G72</f>
        <v>0</v>
      </c>
      <c r="H71" s="87">
        <v>0</v>
      </c>
      <c r="I71" s="87">
        <v>0</v>
      </c>
      <c r="J71" s="173"/>
    </row>
    <row r="72" spans="1:12" ht="19.5" hidden="1" customHeight="1">
      <c r="A72" s="82" t="s">
        <v>31</v>
      </c>
      <c r="B72" s="145">
        <v>757</v>
      </c>
      <c r="C72" s="84" t="s">
        <v>25</v>
      </c>
      <c r="D72" s="84" t="s">
        <v>69</v>
      </c>
      <c r="E72" s="84" t="s">
        <v>565</v>
      </c>
      <c r="F72" s="84" t="s">
        <v>32</v>
      </c>
      <c r="G72" s="70"/>
      <c r="H72" s="87">
        <v>0</v>
      </c>
      <c r="I72" s="87">
        <v>0</v>
      </c>
      <c r="J72" s="173"/>
    </row>
    <row r="73" spans="1:12" ht="81.75" hidden="1" customHeight="1">
      <c r="A73" s="82" t="s">
        <v>602</v>
      </c>
      <c r="B73" s="145">
        <v>757</v>
      </c>
      <c r="C73" s="84" t="s">
        <v>25</v>
      </c>
      <c r="D73" s="84" t="s">
        <v>69</v>
      </c>
      <c r="E73" s="84" t="s">
        <v>601</v>
      </c>
      <c r="F73" s="84"/>
      <c r="G73" s="70">
        <f>G74</f>
        <v>0</v>
      </c>
      <c r="H73" s="87">
        <f t="shared" ref="H73:I74" si="17">H74</f>
        <v>0</v>
      </c>
      <c r="I73" s="87">
        <f t="shared" si="17"/>
        <v>0</v>
      </c>
      <c r="J73" s="173"/>
    </row>
    <row r="74" spans="1:12" ht="47.25" hidden="1" customHeight="1">
      <c r="A74" s="82" t="s">
        <v>94</v>
      </c>
      <c r="B74" s="145">
        <v>757</v>
      </c>
      <c r="C74" s="84" t="s">
        <v>25</v>
      </c>
      <c r="D74" s="84" t="s">
        <v>69</v>
      </c>
      <c r="E74" s="84" t="s">
        <v>601</v>
      </c>
      <c r="F74" s="84" t="s">
        <v>338</v>
      </c>
      <c r="G74" s="70">
        <f>G75</f>
        <v>0</v>
      </c>
      <c r="H74" s="87">
        <f t="shared" si="17"/>
        <v>0</v>
      </c>
      <c r="I74" s="87"/>
      <c r="J74" s="173"/>
    </row>
    <row r="75" spans="1:12" ht="98.25" hidden="1" customHeight="1">
      <c r="A75" s="130" t="s">
        <v>407</v>
      </c>
      <c r="B75" s="145">
        <v>757</v>
      </c>
      <c r="C75" s="84" t="s">
        <v>25</v>
      </c>
      <c r="D75" s="84" t="s">
        <v>69</v>
      </c>
      <c r="E75" s="84" t="s">
        <v>601</v>
      </c>
      <c r="F75" s="84" t="s">
        <v>406</v>
      </c>
      <c r="G75" s="70"/>
      <c r="H75" s="87">
        <v>0</v>
      </c>
      <c r="I75" s="87"/>
      <c r="J75" s="173"/>
    </row>
    <row r="76" spans="1:12" ht="19.5" hidden="1" customHeight="1">
      <c r="A76" s="82" t="s">
        <v>380</v>
      </c>
      <c r="B76" s="145">
        <v>757</v>
      </c>
      <c r="C76" s="84" t="s">
        <v>25</v>
      </c>
      <c r="D76" s="84" t="s">
        <v>69</v>
      </c>
      <c r="E76" s="84" t="s">
        <v>123</v>
      </c>
      <c r="F76" s="84"/>
      <c r="G76" s="70">
        <f>G77</f>
        <v>0</v>
      </c>
      <c r="H76" s="87">
        <v>0</v>
      </c>
      <c r="I76" s="87">
        <v>0</v>
      </c>
      <c r="J76" s="173"/>
    </row>
    <row r="77" spans="1:12" ht="39.75" hidden="1" customHeight="1">
      <c r="A77" s="82" t="s">
        <v>29</v>
      </c>
      <c r="B77" s="145">
        <v>757</v>
      </c>
      <c r="C77" s="84" t="s">
        <v>25</v>
      </c>
      <c r="D77" s="84" t="s">
        <v>69</v>
      </c>
      <c r="E77" s="84" t="s">
        <v>123</v>
      </c>
      <c r="F77" s="84" t="s">
        <v>30</v>
      </c>
      <c r="G77" s="70">
        <f>G78</f>
        <v>0</v>
      </c>
      <c r="H77" s="87">
        <v>0</v>
      </c>
      <c r="I77" s="87">
        <v>0</v>
      </c>
      <c r="J77" s="173"/>
    </row>
    <row r="78" spans="1:12" ht="20.25" hidden="1" customHeight="1">
      <c r="A78" s="82" t="s">
        <v>31</v>
      </c>
      <c r="B78" s="145">
        <v>757</v>
      </c>
      <c r="C78" s="84" t="s">
        <v>25</v>
      </c>
      <c r="D78" s="84" t="s">
        <v>69</v>
      </c>
      <c r="E78" s="84" t="s">
        <v>123</v>
      </c>
      <c r="F78" s="84" t="s">
        <v>32</v>
      </c>
      <c r="G78" s="70"/>
      <c r="H78" s="87">
        <v>0</v>
      </c>
      <c r="I78" s="87">
        <v>0</v>
      </c>
      <c r="J78" s="173"/>
    </row>
    <row r="79" spans="1:12" ht="87.75" hidden="1" customHeight="1">
      <c r="A79" s="82" t="s">
        <v>484</v>
      </c>
      <c r="B79" s="145">
        <v>757</v>
      </c>
      <c r="C79" s="84" t="s">
        <v>25</v>
      </c>
      <c r="D79" s="84" t="s">
        <v>69</v>
      </c>
      <c r="E79" s="84" t="s">
        <v>485</v>
      </c>
      <c r="F79" s="84"/>
      <c r="G79" s="70">
        <f>G80</f>
        <v>0</v>
      </c>
      <c r="H79" s="87">
        <f t="shared" ref="H79:I79" si="18">H80</f>
        <v>0</v>
      </c>
      <c r="I79" s="87">
        <f t="shared" si="18"/>
        <v>0</v>
      </c>
      <c r="J79" s="173"/>
    </row>
    <row r="80" spans="1:12" ht="45" hidden="1" customHeight="1">
      <c r="A80" s="82" t="s">
        <v>29</v>
      </c>
      <c r="B80" s="145">
        <v>757</v>
      </c>
      <c r="C80" s="84" t="s">
        <v>25</v>
      </c>
      <c r="D80" s="84" t="s">
        <v>69</v>
      </c>
      <c r="E80" s="84" t="s">
        <v>485</v>
      </c>
      <c r="F80" s="84" t="s">
        <v>30</v>
      </c>
      <c r="G80" s="70">
        <f>G81</f>
        <v>0</v>
      </c>
      <c r="H80" s="87">
        <f t="shared" ref="H80:I80" si="19">H81</f>
        <v>0</v>
      </c>
      <c r="I80" s="87">
        <f t="shared" si="19"/>
        <v>0</v>
      </c>
      <c r="J80" s="173"/>
      <c r="K80" s="173"/>
      <c r="L80" s="173"/>
    </row>
    <row r="81" spans="1:18" ht="19.5" hidden="1" customHeight="1">
      <c r="A81" s="82" t="s">
        <v>31</v>
      </c>
      <c r="B81" s="145">
        <v>757</v>
      </c>
      <c r="C81" s="84" t="s">
        <v>25</v>
      </c>
      <c r="D81" s="84" t="s">
        <v>69</v>
      </c>
      <c r="E81" s="84" t="s">
        <v>485</v>
      </c>
      <c r="F81" s="84" t="s">
        <v>32</v>
      </c>
      <c r="G81" s="70">
        <v>0</v>
      </c>
      <c r="H81" s="87"/>
      <c r="I81" s="87">
        <v>0</v>
      </c>
      <c r="J81" s="173"/>
    </row>
    <row r="82" spans="1:18" s="18" customFormat="1" ht="52.8" hidden="1">
      <c r="A82" s="82" t="s">
        <v>486</v>
      </c>
      <c r="B82" s="145">
        <v>757</v>
      </c>
      <c r="C82" s="84" t="s">
        <v>25</v>
      </c>
      <c r="D82" s="84" t="s">
        <v>69</v>
      </c>
      <c r="E82" s="84" t="s">
        <v>208</v>
      </c>
      <c r="F82" s="84"/>
      <c r="G82" s="70">
        <f>G83</f>
        <v>0</v>
      </c>
      <c r="H82" s="87">
        <f>H83</f>
        <v>0</v>
      </c>
      <c r="I82" s="87">
        <f t="shared" ref="H82:I84" si="20">I83</f>
        <v>0</v>
      </c>
      <c r="J82" s="173"/>
      <c r="K82" s="195"/>
      <c r="L82" s="195"/>
      <c r="M82" s="195"/>
      <c r="N82" s="195"/>
      <c r="O82" s="195"/>
      <c r="P82" s="195"/>
      <c r="Q82" s="195"/>
      <c r="R82" s="195"/>
    </row>
    <row r="83" spans="1:18" s="18" customFormat="1" ht="39.6" hidden="1">
      <c r="A83" s="82" t="s">
        <v>575</v>
      </c>
      <c r="B83" s="145">
        <v>757</v>
      </c>
      <c r="C83" s="84" t="s">
        <v>25</v>
      </c>
      <c r="D83" s="84" t="s">
        <v>69</v>
      </c>
      <c r="E83" s="84" t="s">
        <v>557</v>
      </c>
      <c r="F83" s="84"/>
      <c r="G83" s="70">
        <f>G84</f>
        <v>0</v>
      </c>
      <c r="H83" s="87">
        <f t="shared" si="20"/>
        <v>0</v>
      </c>
      <c r="I83" s="87">
        <f t="shared" si="20"/>
        <v>0</v>
      </c>
      <c r="J83" s="173"/>
      <c r="K83" s="195"/>
      <c r="L83" s="195"/>
      <c r="M83" s="195"/>
      <c r="N83" s="195"/>
      <c r="O83" s="195"/>
      <c r="P83" s="195"/>
      <c r="Q83" s="195"/>
      <c r="R83" s="195"/>
    </row>
    <row r="84" spans="1:18" s="18" customFormat="1" ht="36" hidden="1" customHeight="1">
      <c r="A84" s="82" t="s">
        <v>94</v>
      </c>
      <c r="B84" s="145">
        <v>757</v>
      </c>
      <c r="C84" s="84" t="s">
        <v>25</v>
      </c>
      <c r="D84" s="84" t="s">
        <v>69</v>
      </c>
      <c r="E84" s="84" t="s">
        <v>557</v>
      </c>
      <c r="F84" s="84" t="s">
        <v>338</v>
      </c>
      <c r="G84" s="70">
        <f>G85</f>
        <v>0</v>
      </c>
      <c r="H84" s="87">
        <f t="shared" si="20"/>
        <v>0</v>
      </c>
      <c r="I84" s="87">
        <f t="shared" si="20"/>
        <v>0</v>
      </c>
      <c r="J84" s="173"/>
      <c r="K84" s="195"/>
      <c r="L84" s="195"/>
      <c r="M84" s="195"/>
      <c r="N84" s="195"/>
      <c r="O84" s="195"/>
      <c r="P84" s="195"/>
      <c r="Q84" s="195"/>
      <c r="R84" s="195"/>
    </row>
    <row r="85" spans="1:18" s="18" customFormat="1" ht="99" hidden="1" customHeight="1">
      <c r="A85" s="130" t="s">
        <v>407</v>
      </c>
      <c r="B85" s="145">
        <v>757</v>
      </c>
      <c r="C85" s="84" t="s">
        <v>25</v>
      </c>
      <c r="D85" s="84" t="s">
        <v>69</v>
      </c>
      <c r="E85" s="84" t="s">
        <v>557</v>
      </c>
      <c r="F85" s="84" t="s">
        <v>406</v>
      </c>
      <c r="G85" s="70">
        <v>0</v>
      </c>
      <c r="H85" s="87"/>
      <c r="I85" s="87">
        <v>0</v>
      </c>
      <c r="J85" s="173"/>
      <c r="K85" s="195"/>
      <c r="L85" s="195"/>
      <c r="M85" s="195"/>
      <c r="N85" s="195"/>
      <c r="O85" s="195"/>
      <c r="P85" s="195"/>
      <c r="Q85" s="195"/>
      <c r="R85" s="195"/>
    </row>
    <row r="86" spans="1:18" ht="27.75" hidden="1" customHeight="1">
      <c r="A86" s="82" t="s">
        <v>716</v>
      </c>
      <c r="B86" s="145">
        <v>757</v>
      </c>
      <c r="C86" s="84" t="s">
        <v>25</v>
      </c>
      <c r="D86" s="84" t="s">
        <v>69</v>
      </c>
      <c r="E86" s="84" t="s">
        <v>715</v>
      </c>
      <c r="F86" s="84"/>
      <c r="G86" s="70">
        <f>G87</f>
        <v>0</v>
      </c>
      <c r="H86" s="87">
        <f t="shared" ref="H86:I87" si="21">H87</f>
        <v>0</v>
      </c>
      <c r="I86" s="87">
        <f t="shared" si="21"/>
        <v>0</v>
      </c>
      <c r="J86" s="173"/>
    </row>
    <row r="87" spans="1:18" ht="45.75" hidden="1" customHeight="1">
      <c r="A87" s="82" t="s">
        <v>29</v>
      </c>
      <c r="B87" s="145">
        <v>757</v>
      </c>
      <c r="C87" s="84" t="s">
        <v>25</v>
      </c>
      <c r="D87" s="84" t="s">
        <v>69</v>
      </c>
      <c r="E87" s="84" t="s">
        <v>715</v>
      </c>
      <c r="F87" s="84" t="s">
        <v>30</v>
      </c>
      <c r="G87" s="70">
        <f>G88</f>
        <v>0</v>
      </c>
      <c r="H87" s="87">
        <f t="shared" si="21"/>
        <v>0</v>
      </c>
      <c r="I87" s="87">
        <f t="shared" si="21"/>
        <v>0</v>
      </c>
      <c r="J87" s="173"/>
      <c r="K87" s="173"/>
      <c r="L87" s="173"/>
    </row>
    <row r="88" spans="1:18" ht="45.75" hidden="1" customHeight="1">
      <c r="A88" s="82" t="s">
        <v>31</v>
      </c>
      <c r="B88" s="145">
        <v>757</v>
      </c>
      <c r="C88" s="84" t="s">
        <v>25</v>
      </c>
      <c r="D88" s="84" t="s">
        <v>69</v>
      </c>
      <c r="E88" s="84" t="s">
        <v>715</v>
      </c>
      <c r="F88" s="84" t="s">
        <v>32</v>
      </c>
      <c r="G88" s="70"/>
      <c r="H88" s="87"/>
      <c r="I88" s="87"/>
      <c r="J88" s="173"/>
    </row>
    <row r="89" spans="1:18" ht="101.25" hidden="1" customHeight="1">
      <c r="A89" s="82" t="s">
        <v>266</v>
      </c>
      <c r="B89" s="145">
        <v>757</v>
      </c>
      <c r="C89" s="84" t="s">
        <v>25</v>
      </c>
      <c r="D89" s="84" t="s">
        <v>69</v>
      </c>
      <c r="E89" s="84" t="s">
        <v>735</v>
      </c>
      <c r="F89" s="84"/>
      <c r="G89" s="70">
        <f>G90</f>
        <v>0</v>
      </c>
      <c r="H89" s="87">
        <f t="shared" ref="H89:I95" si="22">H90</f>
        <v>0</v>
      </c>
      <c r="I89" s="87">
        <f t="shared" si="22"/>
        <v>0</v>
      </c>
      <c r="J89" s="173"/>
    </row>
    <row r="90" spans="1:18" ht="47.25" hidden="1" customHeight="1">
      <c r="A90" s="82" t="s">
        <v>29</v>
      </c>
      <c r="B90" s="145">
        <v>757</v>
      </c>
      <c r="C90" s="84" t="s">
        <v>25</v>
      </c>
      <c r="D90" s="84" t="s">
        <v>69</v>
      </c>
      <c r="E90" s="84" t="s">
        <v>735</v>
      </c>
      <c r="F90" s="84" t="s">
        <v>30</v>
      </c>
      <c r="G90" s="70">
        <f>G91</f>
        <v>0</v>
      </c>
      <c r="H90" s="87">
        <f t="shared" si="22"/>
        <v>0</v>
      </c>
      <c r="I90" s="87">
        <f t="shared" si="22"/>
        <v>0</v>
      </c>
      <c r="J90" s="173"/>
      <c r="K90" s="173"/>
      <c r="L90" s="173"/>
    </row>
    <row r="91" spans="1:18" ht="41.25" hidden="1" customHeight="1">
      <c r="A91" s="82" t="s">
        <v>31</v>
      </c>
      <c r="B91" s="145">
        <v>757</v>
      </c>
      <c r="C91" s="84" t="s">
        <v>25</v>
      </c>
      <c r="D91" s="84" t="s">
        <v>69</v>
      </c>
      <c r="E91" s="84" t="s">
        <v>735</v>
      </c>
      <c r="F91" s="84" t="s">
        <v>32</v>
      </c>
      <c r="G91" s="70"/>
      <c r="H91" s="87">
        <v>0</v>
      </c>
      <c r="I91" s="87"/>
      <c r="J91" s="173"/>
    </row>
    <row r="92" spans="1:18" ht="101.25" hidden="1" customHeight="1">
      <c r="A92" s="82" t="s">
        <v>266</v>
      </c>
      <c r="B92" s="145">
        <v>757</v>
      </c>
      <c r="C92" s="84" t="s">
        <v>25</v>
      </c>
      <c r="D92" s="84" t="s">
        <v>69</v>
      </c>
      <c r="E92" s="84" t="s">
        <v>565</v>
      </c>
      <c r="F92" s="84"/>
      <c r="G92" s="70">
        <f>G93+G95</f>
        <v>0</v>
      </c>
      <c r="H92" s="87">
        <f t="shared" si="22"/>
        <v>0</v>
      </c>
      <c r="I92" s="87">
        <f t="shared" si="22"/>
        <v>0</v>
      </c>
      <c r="J92" s="173"/>
    </row>
    <row r="93" spans="1:18" ht="47.25" hidden="1" customHeight="1">
      <c r="A93" s="82" t="s">
        <v>29</v>
      </c>
      <c r="B93" s="145">
        <v>757</v>
      </c>
      <c r="C93" s="84" t="s">
        <v>25</v>
      </c>
      <c r="D93" s="84" t="s">
        <v>69</v>
      </c>
      <c r="E93" s="84" t="s">
        <v>565</v>
      </c>
      <c r="F93" s="84" t="s">
        <v>30</v>
      </c>
      <c r="G93" s="70">
        <f>G94</f>
        <v>0</v>
      </c>
      <c r="H93" s="87">
        <f t="shared" si="22"/>
        <v>0</v>
      </c>
      <c r="I93" s="87">
        <f t="shared" si="22"/>
        <v>0</v>
      </c>
      <c r="J93" s="173"/>
      <c r="K93" s="173"/>
      <c r="L93" s="173"/>
    </row>
    <row r="94" spans="1:18" ht="41.25" hidden="1" customHeight="1">
      <c r="A94" s="82" t="s">
        <v>31</v>
      </c>
      <c r="B94" s="145">
        <v>757</v>
      </c>
      <c r="C94" s="84" t="s">
        <v>25</v>
      </c>
      <c r="D94" s="84" t="s">
        <v>69</v>
      </c>
      <c r="E94" s="84" t="s">
        <v>565</v>
      </c>
      <c r="F94" s="84" t="s">
        <v>32</v>
      </c>
      <c r="G94" s="70"/>
      <c r="H94" s="87"/>
      <c r="I94" s="87"/>
      <c r="J94" s="173"/>
    </row>
    <row r="95" spans="1:18" ht="47.25" hidden="1" customHeight="1">
      <c r="A95" s="82" t="s">
        <v>62</v>
      </c>
      <c r="B95" s="145">
        <v>757</v>
      </c>
      <c r="C95" s="84" t="s">
        <v>25</v>
      </c>
      <c r="D95" s="84" t="s">
        <v>69</v>
      </c>
      <c r="E95" s="84" t="s">
        <v>565</v>
      </c>
      <c r="F95" s="84" t="s">
        <v>63</v>
      </c>
      <c r="G95" s="70">
        <f>G96</f>
        <v>0</v>
      </c>
      <c r="H95" s="87">
        <f t="shared" si="22"/>
        <v>0</v>
      </c>
      <c r="I95" s="87">
        <f t="shared" si="22"/>
        <v>0</v>
      </c>
      <c r="J95" s="173"/>
      <c r="K95" s="173"/>
      <c r="L95" s="173"/>
    </row>
    <row r="96" spans="1:18" ht="41.25" hidden="1" customHeight="1">
      <c r="A96" s="82" t="s">
        <v>174</v>
      </c>
      <c r="B96" s="145">
        <v>757</v>
      </c>
      <c r="C96" s="84" t="s">
        <v>25</v>
      </c>
      <c r="D96" s="84" t="s">
        <v>69</v>
      </c>
      <c r="E96" s="84" t="s">
        <v>565</v>
      </c>
      <c r="F96" s="84" t="s">
        <v>175</v>
      </c>
      <c r="G96" s="70"/>
      <c r="H96" s="87"/>
      <c r="I96" s="87"/>
      <c r="J96" s="173"/>
    </row>
    <row r="97" spans="1:18" ht="84" hidden="1" customHeight="1">
      <c r="A97" s="82" t="s">
        <v>484</v>
      </c>
      <c r="B97" s="145">
        <v>757</v>
      </c>
      <c r="C97" s="84" t="s">
        <v>25</v>
      </c>
      <c r="D97" s="84" t="s">
        <v>69</v>
      </c>
      <c r="E97" s="84" t="s">
        <v>654</v>
      </c>
      <c r="F97" s="84"/>
      <c r="G97" s="70">
        <f>G98</f>
        <v>0</v>
      </c>
      <c r="H97" s="87">
        <v>0</v>
      </c>
      <c r="I97" s="87">
        <v>0</v>
      </c>
      <c r="J97" s="173"/>
    </row>
    <row r="98" spans="1:18" ht="60" hidden="1" customHeight="1">
      <c r="A98" s="82" t="s">
        <v>29</v>
      </c>
      <c r="B98" s="145">
        <v>757</v>
      </c>
      <c r="C98" s="84" t="s">
        <v>25</v>
      </c>
      <c r="D98" s="84" t="s">
        <v>69</v>
      </c>
      <c r="E98" s="84" t="s">
        <v>654</v>
      </c>
      <c r="F98" s="84" t="s">
        <v>30</v>
      </c>
      <c r="G98" s="70">
        <f>G99</f>
        <v>0</v>
      </c>
      <c r="H98" s="87">
        <v>0</v>
      </c>
      <c r="I98" s="87">
        <v>0</v>
      </c>
      <c r="J98" s="173"/>
      <c r="K98" s="173"/>
      <c r="L98" s="173"/>
    </row>
    <row r="99" spans="1:18" ht="60" hidden="1" customHeight="1">
      <c r="A99" s="82" t="s">
        <v>31</v>
      </c>
      <c r="B99" s="145">
        <v>757</v>
      </c>
      <c r="C99" s="84" t="s">
        <v>25</v>
      </c>
      <c r="D99" s="84" t="s">
        <v>69</v>
      </c>
      <c r="E99" s="84" t="s">
        <v>654</v>
      </c>
      <c r="F99" s="84" t="s">
        <v>32</v>
      </c>
      <c r="G99" s="70"/>
      <c r="H99" s="87"/>
      <c r="I99" s="87"/>
      <c r="J99" s="173"/>
    </row>
    <row r="100" spans="1:18" ht="84" hidden="1" customHeight="1">
      <c r="A100" s="82" t="s">
        <v>656</v>
      </c>
      <c r="B100" s="145">
        <v>757</v>
      </c>
      <c r="C100" s="84" t="s">
        <v>25</v>
      </c>
      <c r="D100" s="84" t="s">
        <v>69</v>
      </c>
      <c r="E100" s="84" t="s">
        <v>655</v>
      </c>
      <c r="F100" s="84"/>
      <c r="G100" s="70">
        <f>G101</f>
        <v>0</v>
      </c>
      <c r="H100" s="87">
        <f>H101</f>
        <v>0</v>
      </c>
      <c r="I100" s="87">
        <f>I101</f>
        <v>0</v>
      </c>
      <c r="J100" s="173"/>
    </row>
    <row r="101" spans="1:18" ht="60" hidden="1" customHeight="1">
      <c r="A101" s="82" t="s">
        <v>29</v>
      </c>
      <c r="B101" s="145">
        <v>757</v>
      </c>
      <c r="C101" s="84" t="s">
        <v>25</v>
      </c>
      <c r="D101" s="84" t="s">
        <v>69</v>
      </c>
      <c r="E101" s="84" t="s">
        <v>655</v>
      </c>
      <c r="F101" s="84" t="s">
        <v>30</v>
      </c>
      <c r="G101" s="70">
        <f>G102</f>
        <v>0</v>
      </c>
      <c r="H101" s="87">
        <f t="shared" ref="H101:I101" si="23">H102</f>
        <v>0</v>
      </c>
      <c r="I101" s="87">
        <f t="shared" si="23"/>
        <v>0</v>
      </c>
      <c r="J101" s="173"/>
      <c r="K101" s="173"/>
      <c r="L101" s="173"/>
    </row>
    <row r="102" spans="1:18" ht="60" hidden="1" customHeight="1">
      <c r="A102" s="82" t="s">
        <v>31</v>
      </c>
      <c r="B102" s="145">
        <v>757</v>
      </c>
      <c r="C102" s="84" t="s">
        <v>25</v>
      </c>
      <c r="D102" s="84" t="s">
        <v>69</v>
      </c>
      <c r="E102" s="84" t="s">
        <v>655</v>
      </c>
      <c r="F102" s="84" t="s">
        <v>32</v>
      </c>
      <c r="G102" s="70"/>
      <c r="H102" s="87"/>
      <c r="I102" s="87"/>
      <c r="J102" s="173"/>
    </row>
    <row r="103" spans="1:18" s="28" customFormat="1" ht="28.5" hidden="1" customHeight="1">
      <c r="A103" s="136" t="s">
        <v>460</v>
      </c>
      <c r="B103" s="145">
        <v>757</v>
      </c>
      <c r="C103" s="84" t="s">
        <v>25</v>
      </c>
      <c r="D103" s="84" t="s">
        <v>69</v>
      </c>
      <c r="E103" s="84" t="s">
        <v>189</v>
      </c>
      <c r="F103" s="84"/>
      <c r="G103" s="70">
        <f>G104</f>
        <v>0</v>
      </c>
      <c r="H103" s="87">
        <f>H104</f>
        <v>0</v>
      </c>
      <c r="I103" s="87">
        <f>I104</f>
        <v>0</v>
      </c>
      <c r="J103" s="173"/>
      <c r="K103" s="199"/>
      <c r="L103" s="199"/>
      <c r="M103" s="199"/>
      <c r="N103" s="199"/>
      <c r="O103" s="199"/>
      <c r="P103" s="199"/>
      <c r="Q103" s="199"/>
      <c r="R103" s="199"/>
    </row>
    <row r="104" spans="1:18" s="28" customFormat="1" ht="27.75" hidden="1" customHeight="1">
      <c r="A104" s="136" t="s">
        <v>667</v>
      </c>
      <c r="B104" s="145">
        <v>757</v>
      </c>
      <c r="C104" s="84" t="s">
        <v>25</v>
      </c>
      <c r="D104" s="84" t="s">
        <v>69</v>
      </c>
      <c r="E104" s="84" t="s">
        <v>666</v>
      </c>
      <c r="F104" s="84"/>
      <c r="G104" s="70">
        <f>G105</f>
        <v>0</v>
      </c>
      <c r="H104" s="87">
        <f t="shared" ref="H104:I104" si="24">H105</f>
        <v>0</v>
      </c>
      <c r="I104" s="87">
        <f t="shared" si="24"/>
        <v>0</v>
      </c>
      <c r="J104" s="173"/>
      <c r="K104" s="199"/>
      <c r="L104" s="199"/>
      <c r="M104" s="199"/>
      <c r="N104" s="199"/>
      <c r="O104" s="199"/>
      <c r="P104" s="199"/>
      <c r="Q104" s="199"/>
      <c r="R104" s="199"/>
    </row>
    <row r="105" spans="1:18" s="32" customFormat="1" ht="28.5" hidden="1" customHeight="1">
      <c r="A105" s="82" t="s">
        <v>29</v>
      </c>
      <c r="B105" s="145">
        <v>757</v>
      </c>
      <c r="C105" s="84" t="s">
        <v>25</v>
      </c>
      <c r="D105" s="84" t="s">
        <v>69</v>
      </c>
      <c r="E105" s="84" t="s">
        <v>666</v>
      </c>
      <c r="F105" s="84" t="s">
        <v>30</v>
      </c>
      <c r="G105" s="70">
        <f>G106</f>
        <v>0</v>
      </c>
      <c r="H105" s="87">
        <f>H106</f>
        <v>0</v>
      </c>
      <c r="I105" s="87">
        <f>I106</f>
        <v>0</v>
      </c>
      <c r="J105" s="173"/>
      <c r="K105" s="198"/>
      <c r="L105" s="198"/>
      <c r="M105" s="198"/>
      <c r="N105" s="198"/>
      <c r="O105" s="198"/>
      <c r="P105" s="198"/>
      <c r="Q105" s="198"/>
      <c r="R105" s="198"/>
    </row>
    <row r="106" spans="1:18" s="32" customFormat="1" hidden="1">
      <c r="A106" s="82" t="s">
        <v>31</v>
      </c>
      <c r="B106" s="145">
        <v>757</v>
      </c>
      <c r="C106" s="84" t="s">
        <v>25</v>
      </c>
      <c r="D106" s="84" t="s">
        <v>69</v>
      </c>
      <c r="E106" s="84" t="s">
        <v>666</v>
      </c>
      <c r="F106" s="84" t="s">
        <v>32</v>
      </c>
      <c r="G106" s="70"/>
      <c r="H106" s="87"/>
      <c r="I106" s="87"/>
      <c r="J106" s="173"/>
      <c r="K106" s="200"/>
      <c r="L106" s="198"/>
      <c r="M106" s="198"/>
      <c r="N106" s="198"/>
      <c r="O106" s="198"/>
      <c r="P106" s="198"/>
      <c r="Q106" s="198"/>
      <c r="R106" s="198"/>
    </row>
    <row r="107" spans="1:18" ht="32.25" customHeight="1">
      <c r="A107" s="82" t="s">
        <v>1078</v>
      </c>
      <c r="B107" s="145">
        <v>757</v>
      </c>
      <c r="C107" s="84" t="s">
        <v>25</v>
      </c>
      <c r="D107" s="84" t="s">
        <v>69</v>
      </c>
      <c r="E107" s="84" t="s">
        <v>1077</v>
      </c>
      <c r="F107" s="84"/>
      <c r="G107" s="70">
        <f>G108</f>
        <v>26266.41</v>
      </c>
      <c r="H107" s="87">
        <f t="shared" ref="H107:I107" si="25">H108</f>
        <v>0</v>
      </c>
      <c r="I107" s="87">
        <f t="shared" si="25"/>
        <v>0</v>
      </c>
      <c r="J107" s="173"/>
    </row>
    <row r="108" spans="1:18" ht="26.4">
      <c r="A108" s="82" t="s">
        <v>29</v>
      </c>
      <c r="B108" s="145">
        <v>757</v>
      </c>
      <c r="C108" s="84" t="s">
        <v>25</v>
      </c>
      <c r="D108" s="84" t="s">
        <v>69</v>
      </c>
      <c r="E108" s="84" t="s">
        <v>1077</v>
      </c>
      <c r="F108" s="84" t="s">
        <v>30</v>
      </c>
      <c r="G108" s="70">
        <f>G109</f>
        <v>26266.41</v>
      </c>
      <c r="H108" s="87">
        <f>H109</f>
        <v>0</v>
      </c>
      <c r="I108" s="87">
        <f>I109</f>
        <v>0</v>
      </c>
      <c r="J108" s="173"/>
    </row>
    <row r="109" spans="1:18" ht="19.5" customHeight="1">
      <c r="A109" s="82" t="s">
        <v>31</v>
      </c>
      <c r="B109" s="145">
        <v>757</v>
      </c>
      <c r="C109" s="84" t="s">
        <v>25</v>
      </c>
      <c r="D109" s="84" t="s">
        <v>69</v>
      </c>
      <c r="E109" s="84" t="s">
        <v>1077</v>
      </c>
      <c r="F109" s="84" t="s">
        <v>32</v>
      </c>
      <c r="G109" s="70">
        <v>26266.41</v>
      </c>
      <c r="H109" s="87"/>
      <c r="I109" s="87"/>
      <c r="J109" s="173"/>
    </row>
    <row r="110" spans="1:18" ht="30" customHeight="1">
      <c r="A110" s="82" t="s">
        <v>1423</v>
      </c>
      <c r="B110" s="145">
        <v>757</v>
      </c>
      <c r="C110" s="84" t="s">
        <v>25</v>
      </c>
      <c r="D110" s="84" t="s">
        <v>69</v>
      </c>
      <c r="E110" s="84" t="s">
        <v>1422</v>
      </c>
      <c r="F110" s="84"/>
      <c r="G110" s="70">
        <f>G111</f>
        <v>25000</v>
      </c>
      <c r="H110" s="87">
        <f t="shared" ref="H110:I110" si="26">H111</f>
        <v>0</v>
      </c>
      <c r="I110" s="87">
        <f t="shared" si="26"/>
        <v>0</v>
      </c>
      <c r="J110" s="173"/>
    </row>
    <row r="111" spans="1:18" ht="26.4">
      <c r="A111" s="82" t="s">
        <v>29</v>
      </c>
      <c r="B111" s="145">
        <v>757</v>
      </c>
      <c r="C111" s="84" t="s">
        <v>25</v>
      </c>
      <c r="D111" s="84" t="s">
        <v>69</v>
      </c>
      <c r="E111" s="84" t="s">
        <v>1422</v>
      </c>
      <c r="F111" s="84" t="s">
        <v>30</v>
      </c>
      <c r="G111" s="70">
        <f>G112</f>
        <v>25000</v>
      </c>
      <c r="H111" s="87">
        <f>H112</f>
        <v>0</v>
      </c>
      <c r="I111" s="87">
        <f>I112</f>
        <v>0</v>
      </c>
      <c r="J111" s="173"/>
    </row>
    <row r="112" spans="1:18" ht="19.5" customHeight="1">
      <c r="A112" s="82" t="s">
        <v>31</v>
      </c>
      <c r="B112" s="145">
        <v>757</v>
      </c>
      <c r="C112" s="84" t="s">
        <v>25</v>
      </c>
      <c r="D112" s="84" t="s">
        <v>69</v>
      </c>
      <c r="E112" s="84" t="s">
        <v>1422</v>
      </c>
      <c r="F112" s="84" t="s">
        <v>32</v>
      </c>
      <c r="G112" s="70">
        <v>25000</v>
      </c>
      <c r="H112" s="87"/>
      <c r="I112" s="87"/>
      <c r="J112" s="173"/>
    </row>
    <row r="113" spans="1:18" ht="26.4">
      <c r="A113" s="82" t="s">
        <v>1068</v>
      </c>
      <c r="B113" s="145">
        <v>757</v>
      </c>
      <c r="C113" s="84" t="s">
        <v>25</v>
      </c>
      <c r="D113" s="84" t="s">
        <v>69</v>
      </c>
      <c r="E113" s="84" t="s">
        <v>1069</v>
      </c>
      <c r="F113" s="84"/>
      <c r="G113" s="70">
        <f>G114</f>
        <v>60000</v>
      </c>
      <c r="H113" s="87">
        <f t="shared" ref="H113:I113" si="27">H114</f>
        <v>0</v>
      </c>
      <c r="I113" s="87">
        <f t="shared" si="27"/>
        <v>0</v>
      </c>
      <c r="J113" s="173"/>
    </row>
    <row r="114" spans="1:18" ht="26.4">
      <c r="A114" s="82" t="s">
        <v>29</v>
      </c>
      <c r="B114" s="145">
        <v>757</v>
      </c>
      <c r="C114" s="84" t="s">
        <v>25</v>
      </c>
      <c r="D114" s="84" t="s">
        <v>69</v>
      </c>
      <c r="E114" s="84" t="s">
        <v>1069</v>
      </c>
      <c r="F114" s="84" t="s">
        <v>30</v>
      </c>
      <c r="G114" s="70">
        <f>G115</f>
        <v>60000</v>
      </c>
      <c r="H114" s="87">
        <f>H115</f>
        <v>0</v>
      </c>
      <c r="I114" s="87">
        <f>I115</f>
        <v>0</v>
      </c>
      <c r="J114" s="173"/>
    </row>
    <row r="115" spans="1:18" ht="19.5" customHeight="1">
      <c r="A115" s="82" t="s">
        <v>31</v>
      </c>
      <c r="B115" s="145">
        <v>757</v>
      </c>
      <c r="C115" s="84" t="s">
        <v>25</v>
      </c>
      <c r="D115" s="84" t="s">
        <v>69</v>
      </c>
      <c r="E115" s="84" t="s">
        <v>1069</v>
      </c>
      <c r="F115" s="84" t="s">
        <v>32</v>
      </c>
      <c r="G115" s="70">
        <v>60000</v>
      </c>
      <c r="H115" s="87">
        <v>0</v>
      </c>
      <c r="I115" s="87">
        <v>0</v>
      </c>
      <c r="J115" s="173"/>
    </row>
    <row r="116" spans="1:18" s="3" customFormat="1" hidden="1">
      <c r="A116" s="82"/>
      <c r="B116" s="145"/>
      <c r="C116" s="84"/>
      <c r="D116" s="84"/>
      <c r="E116" s="84"/>
      <c r="F116" s="84"/>
      <c r="G116" s="87"/>
      <c r="H116" s="87"/>
      <c r="I116" s="87"/>
      <c r="J116" s="173"/>
      <c r="K116" s="194"/>
      <c r="L116" s="194"/>
      <c r="M116" s="194"/>
      <c r="N116" s="194"/>
      <c r="O116" s="194"/>
      <c r="P116" s="194"/>
      <c r="Q116" s="194"/>
      <c r="R116" s="194"/>
    </row>
    <row r="117" spans="1:18" s="3" customFormat="1" hidden="1">
      <c r="A117" s="82"/>
      <c r="B117" s="145"/>
      <c r="C117" s="84"/>
      <c r="D117" s="84"/>
      <c r="E117" s="84"/>
      <c r="F117" s="84"/>
      <c r="G117" s="87"/>
      <c r="H117" s="87"/>
      <c r="I117" s="87"/>
      <c r="J117" s="173"/>
      <c r="K117" s="194"/>
      <c r="L117" s="194"/>
      <c r="M117" s="194"/>
      <c r="N117" s="194"/>
      <c r="O117" s="194"/>
      <c r="P117" s="194"/>
      <c r="Q117" s="194"/>
      <c r="R117" s="194"/>
    </row>
    <row r="118" spans="1:18" s="3" customFormat="1" hidden="1">
      <c r="A118" s="82"/>
      <c r="B118" s="145"/>
      <c r="C118" s="84"/>
      <c r="D118" s="84"/>
      <c r="E118" s="84"/>
      <c r="F118" s="84"/>
      <c r="G118" s="87"/>
      <c r="H118" s="87"/>
      <c r="I118" s="87"/>
      <c r="J118" s="173"/>
      <c r="K118" s="194"/>
      <c r="L118" s="194"/>
      <c r="M118" s="194"/>
      <c r="N118" s="194"/>
      <c r="O118" s="194"/>
      <c r="P118" s="194"/>
      <c r="Q118" s="194"/>
      <c r="R118" s="194"/>
    </row>
    <row r="119" spans="1:18" ht="93" customHeight="1">
      <c r="A119" s="104" t="s">
        <v>1427</v>
      </c>
      <c r="B119" s="84" t="s">
        <v>50</v>
      </c>
      <c r="C119" s="84" t="s">
        <v>25</v>
      </c>
      <c r="D119" s="84" t="s">
        <v>69</v>
      </c>
      <c r="E119" s="15" t="s">
        <v>1426</v>
      </c>
      <c r="F119" s="15"/>
      <c r="G119" s="8">
        <f>G120</f>
        <v>92224.02</v>
      </c>
      <c r="H119" s="85">
        <f t="shared" ref="H119:I120" si="28">H120</f>
        <v>0</v>
      </c>
      <c r="I119" s="85">
        <f t="shared" si="28"/>
        <v>0</v>
      </c>
      <c r="J119" s="173"/>
    </row>
    <row r="120" spans="1:18" ht="39.75" customHeight="1">
      <c r="A120" s="82" t="s">
        <v>29</v>
      </c>
      <c r="B120" s="84" t="s">
        <v>50</v>
      </c>
      <c r="C120" s="84" t="s">
        <v>25</v>
      </c>
      <c r="D120" s="84" t="s">
        <v>69</v>
      </c>
      <c r="E120" s="15" t="s">
        <v>1426</v>
      </c>
      <c r="F120" s="15" t="s">
        <v>30</v>
      </c>
      <c r="G120" s="8">
        <f>G121</f>
        <v>92224.02</v>
      </c>
      <c r="H120" s="85">
        <f t="shared" si="28"/>
        <v>0</v>
      </c>
      <c r="I120" s="85">
        <f t="shared" si="28"/>
        <v>0</v>
      </c>
      <c r="J120" s="173"/>
    </row>
    <row r="121" spans="1:18" ht="19.5" customHeight="1">
      <c r="A121" s="82" t="s">
        <v>31</v>
      </c>
      <c r="B121" s="84" t="s">
        <v>50</v>
      </c>
      <c r="C121" s="84" t="s">
        <v>25</v>
      </c>
      <c r="D121" s="84" t="s">
        <v>69</v>
      </c>
      <c r="E121" s="15" t="s">
        <v>1426</v>
      </c>
      <c r="F121" s="15" t="s">
        <v>32</v>
      </c>
      <c r="G121" s="85">
        <v>92224.02</v>
      </c>
      <c r="H121" s="87"/>
      <c r="I121" s="87"/>
      <c r="J121" s="173"/>
    </row>
    <row r="122" spans="1:18" s="3" customFormat="1" ht="90" customHeight="1">
      <c r="A122" s="82" t="s">
        <v>1456</v>
      </c>
      <c r="B122" s="145">
        <v>757</v>
      </c>
      <c r="C122" s="84" t="s">
        <v>25</v>
      </c>
      <c r="D122" s="84" t="s">
        <v>69</v>
      </c>
      <c r="E122" s="84" t="s">
        <v>1217</v>
      </c>
      <c r="F122" s="84"/>
      <c r="G122" s="87">
        <f t="shared" ref="G122:I126" si="29">G123</f>
        <v>862950</v>
      </c>
      <c r="H122" s="87">
        <f t="shared" si="29"/>
        <v>0</v>
      </c>
      <c r="I122" s="87">
        <f t="shared" si="29"/>
        <v>0</v>
      </c>
      <c r="J122" s="173"/>
      <c r="K122" s="194"/>
      <c r="L122" s="194"/>
      <c r="M122" s="194"/>
      <c r="N122" s="194"/>
      <c r="O122" s="194"/>
      <c r="P122" s="194"/>
      <c r="Q122" s="194"/>
      <c r="R122" s="194"/>
    </row>
    <row r="123" spans="1:18" s="3" customFormat="1" ht="26.4">
      <c r="A123" s="82" t="s">
        <v>29</v>
      </c>
      <c r="B123" s="145">
        <v>757</v>
      </c>
      <c r="C123" s="84" t="s">
        <v>25</v>
      </c>
      <c r="D123" s="84" t="s">
        <v>69</v>
      </c>
      <c r="E123" s="84" t="s">
        <v>1217</v>
      </c>
      <c r="F123" s="84" t="s">
        <v>30</v>
      </c>
      <c r="G123" s="87">
        <f t="shared" si="29"/>
        <v>862950</v>
      </c>
      <c r="H123" s="87">
        <f t="shared" si="29"/>
        <v>0</v>
      </c>
      <c r="I123" s="87">
        <f t="shared" si="29"/>
        <v>0</v>
      </c>
      <c r="J123" s="173"/>
      <c r="K123" s="194"/>
      <c r="L123" s="194"/>
      <c r="M123" s="194"/>
      <c r="N123" s="194"/>
      <c r="O123" s="194"/>
      <c r="P123" s="194"/>
      <c r="Q123" s="194"/>
      <c r="R123" s="194"/>
    </row>
    <row r="124" spans="1:18" s="3" customFormat="1">
      <c r="A124" s="82" t="s">
        <v>31</v>
      </c>
      <c r="B124" s="145">
        <v>757</v>
      </c>
      <c r="C124" s="84" t="s">
        <v>25</v>
      </c>
      <c r="D124" s="84" t="s">
        <v>69</v>
      </c>
      <c r="E124" s="84" t="s">
        <v>1217</v>
      </c>
      <c r="F124" s="84" t="s">
        <v>32</v>
      </c>
      <c r="G124" s="87">
        <f>1294420-431470</f>
        <v>862950</v>
      </c>
      <c r="H124" s="87">
        <v>0</v>
      </c>
      <c r="I124" s="87">
        <v>0</v>
      </c>
      <c r="J124" s="173"/>
      <c r="K124" s="194"/>
      <c r="L124" s="194"/>
      <c r="M124" s="194"/>
      <c r="N124" s="194"/>
      <c r="O124" s="194"/>
      <c r="P124" s="194"/>
      <c r="Q124" s="194"/>
      <c r="R124" s="194"/>
    </row>
    <row r="125" spans="1:18" s="3" customFormat="1" ht="96" customHeight="1">
      <c r="A125" s="130" t="s">
        <v>1494</v>
      </c>
      <c r="B125" s="145">
        <v>757</v>
      </c>
      <c r="C125" s="84" t="s">
        <v>25</v>
      </c>
      <c r="D125" s="84" t="s">
        <v>69</v>
      </c>
      <c r="E125" s="84" t="s">
        <v>1219</v>
      </c>
      <c r="F125" s="84"/>
      <c r="G125" s="87">
        <f t="shared" si="29"/>
        <v>1506520</v>
      </c>
      <c r="H125" s="87">
        <f t="shared" si="29"/>
        <v>0</v>
      </c>
      <c r="I125" s="87">
        <f t="shared" si="29"/>
        <v>0</v>
      </c>
      <c r="J125" s="173"/>
      <c r="K125" s="194"/>
      <c r="L125" s="194"/>
      <c r="M125" s="194"/>
      <c r="N125" s="194"/>
      <c r="O125" s="194"/>
      <c r="P125" s="194"/>
      <c r="Q125" s="194"/>
      <c r="R125" s="194"/>
    </row>
    <row r="126" spans="1:18" s="3" customFormat="1" ht="26.4">
      <c r="A126" s="82" t="s">
        <v>29</v>
      </c>
      <c r="B126" s="145">
        <v>757</v>
      </c>
      <c r="C126" s="84" t="s">
        <v>25</v>
      </c>
      <c r="D126" s="84" t="s">
        <v>69</v>
      </c>
      <c r="E126" s="84" t="s">
        <v>1219</v>
      </c>
      <c r="F126" s="84" t="s">
        <v>30</v>
      </c>
      <c r="G126" s="87">
        <f t="shared" si="29"/>
        <v>1506520</v>
      </c>
      <c r="H126" s="87">
        <f t="shared" si="29"/>
        <v>0</v>
      </c>
      <c r="I126" s="87">
        <f t="shared" si="29"/>
        <v>0</v>
      </c>
      <c r="J126" s="173"/>
      <c r="K126" s="194"/>
      <c r="L126" s="194"/>
      <c r="M126" s="194"/>
      <c r="N126" s="194"/>
      <c r="O126" s="194"/>
      <c r="P126" s="194"/>
      <c r="Q126" s="194"/>
      <c r="R126" s="194"/>
    </row>
    <row r="127" spans="1:18" s="3" customFormat="1">
      <c r="A127" s="82" t="s">
        <v>31</v>
      </c>
      <c r="B127" s="145">
        <v>757</v>
      </c>
      <c r="C127" s="84" t="s">
        <v>25</v>
      </c>
      <c r="D127" s="84" t="s">
        <v>69</v>
      </c>
      <c r="E127" s="84" t="s">
        <v>1219</v>
      </c>
      <c r="F127" s="84" t="s">
        <v>32</v>
      </c>
      <c r="G127" s="87">
        <f>1741640-235120</f>
        <v>1506520</v>
      </c>
      <c r="H127" s="87">
        <v>0</v>
      </c>
      <c r="I127" s="87">
        <v>0</v>
      </c>
      <c r="J127" s="173"/>
      <c r="K127" s="194"/>
      <c r="L127" s="194"/>
      <c r="M127" s="194"/>
      <c r="N127" s="194"/>
      <c r="O127" s="194"/>
      <c r="P127" s="194"/>
      <c r="Q127" s="194"/>
      <c r="R127" s="194"/>
    </row>
    <row r="128" spans="1:18" ht="32.25" customHeight="1">
      <c r="A128" s="16" t="s">
        <v>1133</v>
      </c>
      <c r="B128" s="145">
        <v>757</v>
      </c>
      <c r="C128" s="84" t="s">
        <v>25</v>
      </c>
      <c r="D128" s="84" t="s">
        <v>69</v>
      </c>
      <c r="E128" s="84" t="s">
        <v>384</v>
      </c>
      <c r="F128" s="84"/>
      <c r="G128" s="87">
        <f>G130</f>
        <v>3336863.12</v>
      </c>
      <c r="H128" s="87">
        <f>H130</f>
        <v>1882782.09</v>
      </c>
      <c r="I128" s="87">
        <f>I130</f>
        <v>1441692.39</v>
      </c>
      <c r="J128" s="173"/>
    </row>
    <row r="129" spans="1:18" ht="49.5" customHeight="1">
      <c r="A129" s="16" t="s">
        <v>1172</v>
      </c>
      <c r="B129" s="145">
        <v>757</v>
      </c>
      <c r="C129" s="84" t="s">
        <v>25</v>
      </c>
      <c r="D129" s="84" t="s">
        <v>69</v>
      </c>
      <c r="E129" s="84" t="s">
        <v>866</v>
      </c>
      <c r="F129" s="84"/>
      <c r="G129" s="87">
        <f t="shared" ref="G129:I131" si="30">G130</f>
        <v>3336863.12</v>
      </c>
      <c r="H129" s="87">
        <f t="shared" si="30"/>
        <v>1882782.09</v>
      </c>
      <c r="I129" s="87">
        <f t="shared" si="30"/>
        <v>1441692.39</v>
      </c>
      <c r="J129" s="173"/>
    </row>
    <row r="130" spans="1:18" ht="79.2">
      <c r="A130" s="326" t="s">
        <v>1053</v>
      </c>
      <c r="B130" s="145">
        <v>757</v>
      </c>
      <c r="C130" s="84" t="s">
        <v>25</v>
      </c>
      <c r="D130" s="84" t="s">
        <v>69</v>
      </c>
      <c r="E130" s="84" t="s">
        <v>866</v>
      </c>
      <c r="F130" s="84"/>
      <c r="G130" s="87">
        <f t="shared" si="30"/>
        <v>3336863.12</v>
      </c>
      <c r="H130" s="87">
        <f t="shared" si="30"/>
        <v>1882782.09</v>
      </c>
      <c r="I130" s="87">
        <f t="shared" si="30"/>
        <v>1441692.39</v>
      </c>
      <c r="J130" s="173"/>
    </row>
    <row r="131" spans="1:18" ht="26.4">
      <c r="A131" s="16" t="s">
        <v>29</v>
      </c>
      <c r="B131" s="145">
        <v>757</v>
      </c>
      <c r="C131" s="84" t="s">
        <v>25</v>
      </c>
      <c r="D131" s="84" t="s">
        <v>69</v>
      </c>
      <c r="E131" s="84" t="s">
        <v>866</v>
      </c>
      <c r="F131" s="84" t="s">
        <v>30</v>
      </c>
      <c r="G131" s="87">
        <f t="shared" si="30"/>
        <v>3336863.12</v>
      </c>
      <c r="H131" s="87">
        <f t="shared" si="30"/>
        <v>1882782.09</v>
      </c>
      <c r="I131" s="87">
        <f t="shared" si="30"/>
        <v>1441692.39</v>
      </c>
      <c r="J131" s="173"/>
    </row>
    <row r="132" spans="1:18" ht="19.5" customHeight="1">
      <c r="A132" s="16" t="s">
        <v>31</v>
      </c>
      <c r="B132" s="145">
        <v>757</v>
      </c>
      <c r="C132" s="84" t="s">
        <v>25</v>
      </c>
      <c r="D132" s="84" t="s">
        <v>69</v>
      </c>
      <c r="E132" s="84" t="s">
        <v>866</v>
      </c>
      <c r="F132" s="84" t="s">
        <v>32</v>
      </c>
      <c r="G132" s="87">
        <f>3009695+327168.12</f>
        <v>3336863.12</v>
      </c>
      <c r="H132" s="87">
        <f>2100000-217217.91</f>
        <v>1882782.09</v>
      </c>
      <c r="I132" s="87">
        <v>1441692.39</v>
      </c>
      <c r="J132" s="173"/>
    </row>
    <row r="133" spans="1:18" s="161" customFormat="1" ht="30.75" hidden="1" customHeight="1">
      <c r="A133" s="37" t="s">
        <v>267</v>
      </c>
      <c r="B133" s="262">
        <v>757</v>
      </c>
      <c r="C133" s="84" t="s">
        <v>25</v>
      </c>
      <c r="D133" s="84" t="s">
        <v>69</v>
      </c>
      <c r="E133" s="84" t="s">
        <v>543</v>
      </c>
      <c r="F133" s="84"/>
      <c r="G133" s="87">
        <f>G134</f>
        <v>0</v>
      </c>
      <c r="H133" s="263">
        <v>0</v>
      </c>
      <c r="I133" s="263">
        <v>0</v>
      </c>
      <c r="J133" s="188"/>
      <c r="K133" s="201"/>
      <c r="L133" s="201"/>
      <c r="M133" s="201"/>
      <c r="N133" s="201"/>
      <c r="O133" s="201"/>
      <c r="P133" s="201"/>
      <c r="Q133" s="201"/>
      <c r="R133" s="201"/>
    </row>
    <row r="134" spans="1:18" ht="30.75" hidden="1" customHeight="1">
      <c r="A134" s="16" t="s">
        <v>267</v>
      </c>
      <c r="B134" s="145">
        <v>793</v>
      </c>
      <c r="C134" s="84" t="s">
        <v>25</v>
      </c>
      <c r="D134" s="84" t="s">
        <v>69</v>
      </c>
      <c r="E134" s="84" t="s">
        <v>544</v>
      </c>
      <c r="F134" s="84"/>
      <c r="G134" s="87"/>
      <c r="H134" s="87"/>
      <c r="I134" s="87"/>
      <c r="J134" s="173"/>
    </row>
    <row r="135" spans="1:18" ht="30.75" hidden="1" customHeight="1">
      <c r="A135" s="16" t="s">
        <v>35</v>
      </c>
      <c r="B135" s="83">
        <v>795</v>
      </c>
      <c r="C135" s="84" t="s">
        <v>25</v>
      </c>
      <c r="D135" s="84" t="s">
        <v>69</v>
      </c>
      <c r="E135" s="84" t="s">
        <v>544</v>
      </c>
      <c r="F135" s="84" t="s">
        <v>36</v>
      </c>
      <c r="G135" s="87">
        <f>G136</f>
        <v>1787576</v>
      </c>
      <c r="H135" s="87">
        <v>0</v>
      </c>
      <c r="I135" s="87">
        <v>0</v>
      </c>
      <c r="J135" s="173"/>
    </row>
    <row r="136" spans="1:18" ht="30.75" hidden="1" customHeight="1">
      <c r="A136" s="16" t="s">
        <v>37</v>
      </c>
      <c r="B136" s="83">
        <v>795</v>
      </c>
      <c r="C136" s="84" t="s">
        <v>25</v>
      </c>
      <c r="D136" s="84" t="s">
        <v>69</v>
      </c>
      <c r="E136" s="84" t="s">
        <v>544</v>
      </c>
      <c r="F136" s="84" t="s">
        <v>38</v>
      </c>
      <c r="G136" s="87">
        <f>прил4!G834</f>
        <v>1787576</v>
      </c>
      <c r="H136" s="87">
        <v>0</v>
      </c>
      <c r="I136" s="87">
        <v>0</v>
      </c>
      <c r="J136" s="173"/>
    </row>
    <row r="137" spans="1:18" ht="23.25" hidden="1" customHeight="1">
      <c r="A137" s="16" t="s">
        <v>144</v>
      </c>
      <c r="B137" s="145">
        <v>793</v>
      </c>
      <c r="C137" s="84" t="s">
        <v>25</v>
      </c>
      <c r="D137" s="84" t="s">
        <v>69</v>
      </c>
      <c r="E137" s="84" t="s">
        <v>544</v>
      </c>
      <c r="F137" s="84" t="s">
        <v>145</v>
      </c>
      <c r="G137" s="87">
        <f>G138</f>
        <v>0</v>
      </c>
      <c r="H137" s="87">
        <v>0</v>
      </c>
      <c r="I137" s="87">
        <v>0</v>
      </c>
      <c r="J137" s="173"/>
    </row>
    <row r="138" spans="1:18" ht="30.75" hidden="1" customHeight="1">
      <c r="A138" s="16" t="s">
        <v>146</v>
      </c>
      <c r="B138" s="145">
        <v>793</v>
      </c>
      <c r="C138" s="84" t="s">
        <v>25</v>
      </c>
      <c r="D138" s="84" t="s">
        <v>69</v>
      </c>
      <c r="E138" s="84" t="s">
        <v>544</v>
      </c>
      <c r="F138" s="84" t="s">
        <v>147</v>
      </c>
      <c r="G138" s="87">
        <f>прил4!G83</f>
        <v>0</v>
      </c>
      <c r="H138" s="87">
        <v>0</v>
      </c>
      <c r="I138" s="87">
        <v>0</v>
      </c>
      <c r="J138" s="173"/>
    </row>
    <row r="139" spans="1:18" ht="21.75" hidden="1" customHeight="1">
      <c r="A139" s="16" t="s">
        <v>152</v>
      </c>
      <c r="B139" s="145">
        <v>793</v>
      </c>
      <c r="C139" s="84" t="s">
        <v>25</v>
      </c>
      <c r="D139" s="84" t="s">
        <v>69</v>
      </c>
      <c r="E139" s="84" t="s">
        <v>544</v>
      </c>
      <c r="F139" s="84" t="s">
        <v>153</v>
      </c>
      <c r="G139" s="87">
        <f>G140</f>
        <v>0</v>
      </c>
      <c r="H139" s="87">
        <v>0</v>
      </c>
      <c r="I139" s="87">
        <v>0</v>
      </c>
      <c r="J139" s="173"/>
    </row>
    <row r="140" spans="1:18" ht="22.5" hidden="1" customHeight="1">
      <c r="A140" s="16" t="s">
        <v>172</v>
      </c>
      <c r="B140" s="145">
        <v>793</v>
      </c>
      <c r="C140" s="84" t="s">
        <v>25</v>
      </c>
      <c r="D140" s="84" t="s">
        <v>69</v>
      </c>
      <c r="E140" s="84" t="s">
        <v>544</v>
      </c>
      <c r="F140" s="84" t="s">
        <v>173</v>
      </c>
      <c r="G140" s="87"/>
      <c r="H140" s="87">
        <v>0</v>
      </c>
      <c r="I140" s="87">
        <v>0</v>
      </c>
      <c r="J140" s="173"/>
    </row>
    <row r="141" spans="1:18" hidden="1">
      <c r="A141" s="16"/>
      <c r="B141" s="83"/>
      <c r="C141" s="84"/>
      <c r="D141" s="84"/>
      <c r="E141" s="84"/>
      <c r="F141" s="84"/>
      <c r="G141" s="85"/>
      <c r="H141" s="85"/>
      <c r="I141" s="85"/>
      <c r="J141" s="174"/>
    </row>
    <row r="142" spans="1:18" hidden="1">
      <c r="A142" s="16"/>
      <c r="B142" s="83"/>
      <c r="C142" s="84"/>
      <c r="D142" s="84"/>
      <c r="E142" s="84"/>
      <c r="F142" s="84"/>
      <c r="G142" s="85"/>
      <c r="H142" s="85"/>
      <c r="I142" s="85"/>
      <c r="J142" s="174"/>
    </row>
    <row r="143" spans="1:18" ht="26.4" hidden="1">
      <c r="A143" s="16" t="s">
        <v>29</v>
      </c>
      <c r="B143" s="145">
        <v>757</v>
      </c>
      <c r="C143" s="84" t="s">
        <v>25</v>
      </c>
      <c r="D143" s="84" t="s">
        <v>69</v>
      </c>
      <c r="E143" s="84" t="s">
        <v>544</v>
      </c>
      <c r="F143" s="84" t="s">
        <v>30</v>
      </c>
      <c r="G143" s="85">
        <f t="shared" ref="G143:I143" si="31">G144</f>
        <v>0</v>
      </c>
      <c r="H143" s="85">
        <f t="shared" si="31"/>
        <v>0</v>
      </c>
      <c r="I143" s="85">
        <f t="shared" si="31"/>
        <v>0</v>
      </c>
      <c r="J143" s="174"/>
    </row>
    <row r="144" spans="1:18" hidden="1">
      <c r="A144" s="16" t="s">
        <v>31</v>
      </c>
      <c r="B144" s="145">
        <v>757</v>
      </c>
      <c r="C144" s="84" t="s">
        <v>25</v>
      </c>
      <c r="D144" s="84" t="s">
        <v>69</v>
      </c>
      <c r="E144" s="84" t="s">
        <v>544</v>
      </c>
      <c r="F144" s="84" t="s">
        <v>32</v>
      </c>
      <c r="G144" s="85"/>
      <c r="H144" s="85"/>
      <c r="I144" s="85"/>
      <c r="J144" s="174"/>
    </row>
    <row r="145" spans="1:18" ht="14.25" hidden="1" customHeight="1">
      <c r="A145" s="16" t="s">
        <v>275</v>
      </c>
      <c r="B145" s="145">
        <v>757</v>
      </c>
      <c r="C145" s="84" t="s">
        <v>25</v>
      </c>
      <c r="D145" s="84" t="s">
        <v>25</v>
      </c>
      <c r="E145" s="84"/>
      <c r="F145" s="145"/>
      <c r="G145" s="87">
        <f>G154+G146</f>
        <v>0</v>
      </c>
      <c r="H145" s="87">
        <f t="shared" ref="H145:I145" si="32">H154+H146</f>
        <v>0</v>
      </c>
      <c r="I145" s="87">
        <f t="shared" si="32"/>
        <v>0</v>
      </c>
      <c r="J145" s="173"/>
    </row>
    <row r="146" spans="1:18" ht="32.25" hidden="1" customHeight="1">
      <c r="A146" s="16" t="s">
        <v>456</v>
      </c>
      <c r="B146" s="145">
        <v>757</v>
      </c>
      <c r="C146" s="84" t="s">
        <v>25</v>
      </c>
      <c r="D146" s="84" t="s">
        <v>25</v>
      </c>
      <c r="E146" s="84" t="s">
        <v>384</v>
      </c>
      <c r="F146" s="84"/>
      <c r="G146" s="87">
        <f>G147</f>
        <v>0</v>
      </c>
      <c r="H146" s="87">
        <f>H148</f>
        <v>0</v>
      </c>
      <c r="I146" s="87">
        <f>I148</f>
        <v>0</v>
      </c>
      <c r="J146" s="173"/>
    </row>
    <row r="147" spans="1:18" ht="22.5" hidden="1" customHeight="1">
      <c r="A147" s="16" t="s">
        <v>116</v>
      </c>
      <c r="B147" s="145">
        <v>757</v>
      </c>
      <c r="C147" s="84" t="s">
        <v>25</v>
      </c>
      <c r="D147" s="84" t="s">
        <v>25</v>
      </c>
      <c r="E147" s="84" t="s">
        <v>579</v>
      </c>
      <c r="F147" s="84"/>
      <c r="G147" s="87">
        <f>G148+G151</f>
        <v>0</v>
      </c>
      <c r="H147" s="87">
        <f t="shared" ref="H147:I147" si="33">H148+H151</f>
        <v>0</v>
      </c>
      <c r="I147" s="87">
        <f t="shared" si="33"/>
        <v>0</v>
      </c>
      <c r="J147" s="173"/>
    </row>
    <row r="148" spans="1:18" ht="52.8" hidden="1">
      <c r="A148" s="16" t="s">
        <v>124</v>
      </c>
      <c r="B148" s="145">
        <v>757</v>
      </c>
      <c r="C148" s="84" t="s">
        <v>25</v>
      </c>
      <c r="D148" s="84" t="s">
        <v>25</v>
      </c>
      <c r="E148" s="84" t="s">
        <v>185</v>
      </c>
      <c r="F148" s="84"/>
      <c r="G148" s="87">
        <f t="shared" ref="G148:I149" si="34">G149</f>
        <v>0</v>
      </c>
      <c r="H148" s="87">
        <f t="shared" si="34"/>
        <v>0</v>
      </c>
      <c r="I148" s="87">
        <f t="shared" si="34"/>
        <v>0</v>
      </c>
      <c r="J148" s="173"/>
    </row>
    <row r="149" spans="1:18" ht="26.4" hidden="1">
      <c r="A149" s="16" t="s">
        <v>29</v>
      </c>
      <c r="B149" s="145">
        <v>757</v>
      </c>
      <c r="C149" s="84" t="s">
        <v>25</v>
      </c>
      <c r="D149" s="84" t="s">
        <v>25</v>
      </c>
      <c r="E149" s="84" t="s">
        <v>185</v>
      </c>
      <c r="F149" s="84" t="s">
        <v>30</v>
      </c>
      <c r="G149" s="87">
        <f t="shared" si="34"/>
        <v>0</v>
      </c>
      <c r="H149" s="87">
        <f t="shared" si="34"/>
        <v>0</v>
      </c>
      <c r="I149" s="87">
        <f t="shared" si="34"/>
        <v>0</v>
      </c>
      <c r="J149" s="173"/>
    </row>
    <row r="150" spans="1:18" ht="19.5" hidden="1" customHeight="1">
      <c r="A150" s="16" t="s">
        <v>31</v>
      </c>
      <c r="B150" s="145">
        <v>757</v>
      </c>
      <c r="C150" s="84" t="s">
        <v>25</v>
      </c>
      <c r="D150" s="84" t="s">
        <v>25</v>
      </c>
      <c r="E150" s="84" t="s">
        <v>185</v>
      </c>
      <c r="F150" s="84" t="s">
        <v>32</v>
      </c>
      <c r="G150" s="87"/>
      <c r="H150" s="87">
        <v>0</v>
      </c>
      <c r="I150" s="87">
        <v>0</v>
      </c>
      <c r="J150" s="173"/>
    </row>
    <row r="151" spans="1:18" s="18" customFormat="1" ht="61.5" hidden="1" customHeight="1">
      <c r="A151" s="13" t="s">
        <v>341</v>
      </c>
      <c r="B151" s="84" t="s">
        <v>50</v>
      </c>
      <c r="C151" s="84" t="s">
        <v>25</v>
      </c>
      <c r="D151" s="84" t="s">
        <v>25</v>
      </c>
      <c r="E151" s="84" t="s">
        <v>186</v>
      </c>
      <c r="F151" s="84"/>
      <c r="G151" s="87">
        <f>G152</f>
        <v>0</v>
      </c>
      <c r="H151" s="87">
        <f t="shared" ref="H151:I151" si="35">H152</f>
        <v>0</v>
      </c>
      <c r="I151" s="87">
        <f t="shared" si="35"/>
        <v>0</v>
      </c>
      <c r="J151" s="173"/>
      <c r="K151" s="195"/>
      <c r="L151" s="195"/>
      <c r="M151" s="195"/>
      <c r="N151" s="195"/>
      <c r="O151" s="195"/>
      <c r="P151" s="195"/>
      <c r="Q151" s="195"/>
      <c r="R151" s="195"/>
    </row>
    <row r="152" spans="1:18" s="18" customFormat="1" ht="26.4" hidden="1">
      <c r="A152" s="16" t="s">
        <v>29</v>
      </c>
      <c r="B152" s="84" t="s">
        <v>50</v>
      </c>
      <c r="C152" s="84" t="s">
        <v>25</v>
      </c>
      <c r="D152" s="84" t="s">
        <v>25</v>
      </c>
      <c r="E152" s="84" t="s">
        <v>186</v>
      </c>
      <c r="F152" s="84" t="s">
        <v>30</v>
      </c>
      <c r="G152" s="87">
        <f>G153</f>
        <v>0</v>
      </c>
      <c r="H152" s="87">
        <f>H153</f>
        <v>0</v>
      </c>
      <c r="I152" s="87">
        <f>I153</f>
        <v>0</v>
      </c>
      <c r="J152" s="173"/>
      <c r="K152" s="195"/>
      <c r="L152" s="195"/>
      <c r="M152" s="195"/>
      <c r="N152" s="195"/>
      <c r="O152" s="195"/>
      <c r="P152" s="195"/>
      <c r="Q152" s="195"/>
      <c r="R152" s="195"/>
    </row>
    <row r="153" spans="1:18" s="18" customFormat="1" hidden="1">
      <c r="A153" s="16" t="s">
        <v>31</v>
      </c>
      <c r="B153" s="84" t="s">
        <v>50</v>
      </c>
      <c r="C153" s="84" t="s">
        <v>25</v>
      </c>
      <c r="D153" s="84" t="s">
        <v>25</v>
      </c>
      <c r="E153" s="84" t="s">
        <v>186</v>
      </c>
      <c r="F153" s="84" t="s">
        <v>32</v>
      </c>
      <c r="G153" s="87"/>
      <c r="H153" s="87"/>
      <c r="I153" s="87"/>
      <c r="J153" s="173"/>
      <c r="K153" s="195"/>
      <c r="L153" s="195"/>
      <c r="M153" s="195"/>
      <c r="N153" s="195"/>
      <c r="O153" s="195"/>
      <c r="P153" s="195"/>
      <c r="Q153" s="195"/>
      <c r="R153" s="195"/>
    </row>
    <row r="154" spans="1:18" s="18" customFormat="1" ht="26.4" hidden="1">
      <c r="A154" s="16" t="s">
        <v>458</v>
      </c>
      <c r="B154" s="145">
        <v>757</v>
      </c>
      <c r="C154" s="84" t="s">
        <v>25</v>
      </c>
      <c r="D154" s="84" t="s">
        <v>25</v>
      </c>
      <c r="E154" s="84" t="s">
        <v>191</v>
      </c>
      <c r="F154" s="84"/>
      <c r="G154" s="87">
        <f>G155+G160</f>
        <v>0</v>
      </c>
      <c r="H154" s="87">
        <f t="shared" ref="H154:I154" si="36">H155</f>
        <v>0</v>
      </c>
      <c r="I154" s="87">
        <f t="shared" si="36"/>
        <v>0</v>
      </c>
      <c r="J154" s="173"/>
      <c r="K154" s="173"/>
      <c r="L154" s="173"/>
      <c r="M154" s="173"/>
      <c r="N154" s="173"/>
      <c r="O154" s="195"/>
      <c r="P154" s="195"/>
      <c r="Q154" s="195"/>
      <c r="R154" s="195"/>
    </row>
    <row r="155" spans="1:18" s="18" customFormat="1" hidden="1">
      <c r="A155" s="16" t="s">
        <v>331</v>
      </c>
      <c r="B155" s="145">
        <v>757</v>
      </c>
      <c r="C155" s="84" t="s">
        <v>25</v>
      </c>
      <c r="D155" s="84" t="s">
        <v>25</v>
      </c>
      <c r="E155" s="84" t="s">
        <v>192</v>
      </c>
      <c r="F155" s="84"/>
      <c r="G155" s="87">
        <f>G156+G158</f>
        <v>0</v>
      </c>
      <c r="H155" s="87">
        <f>H156+H158</f>
        <v>0</v>
      </c>
      <c r="I155" s="87">
        <f>I156+I158</f>
        <v>0</v>
      </c>
      <c r="J155" s="173"/>
      <c r="K155" s="195"/>
      <c r="L155" s="195"/>
      <c r="M155" s="195"/>
      <c r="N155" s="195"/>
      <c r="O155" s="195"/>
      <c r="P155" s="195"/>
      <c r="Q155" s="195"/>
      <c r="R155" s="195"/>
    </row>
    <row r="156" spans="1:18" s="18" customFormat="1" ht="26.4" hidden="1">
      <c r="A156" s="16" t="s">
        <v>35</v>
      </c>
      <c r="B156" s="145">
        <v>757</v>
      </c>
      <c r="C156" s="84" t="s">
        <v>25</v>
      </c>
      <c r="D156" s="84" t="s">
        <v>25</v>
      </c>
      <c r="E156" s="84" t="s">
        <v>192</v>
      </c>
      <c r="F156" s="84" t="s">
        <v>36</v>
      </c>
      <c r="G156" s="87">
        <f>G157</f>
        <v>0</v>
      </c>
      <c r="H156" s="87">
        <f>H157</f>
        <v>0</v>
      </c>
      <c r="I156" s="87">
        <f>I157</f>
        <v>0</v>
      </c>
      <c r="J156" s="173"/>
      <c r="K156" s="195"/>
      <c r="L156" s="195"/>
      <c r="M156" s="195"/>
      <c r="N156" s="195"/>
      <c r="O156" s="195"/>
      <c r="P156" s="195"/>
      <c r="Q156" s="195"/>
      <c r="R156" s="195"/>
    </row>
    <row r="157" spans="1:18" s="18" customFormat="1" ht="26.4" hidden="1">
      <c r="A157" s="16" t="s">
        <v>37</v>
      </c>
      <c r="B157" s="145">
        <v>757</v>
      </c>
      <c r="C157" s="84" t="s">
        <v>25</v>
      </c>
      <c r="D157" s="84" t="s">
        <v>25</v>
      </c>
      <c r="E157" s="84" t="s">
        <v>192</v>
      </c>
      <c r="F157" s="84" t="s">
        <v>38</v>
      </c>
      <c r="G157" s="87"/>
      <c r="H157" s="87"/>
      <c r="I157" s="87"/>
      <c r="J157" s="173"/>
      <c r="K157" s="195"/>
      <c r="L157" s="195"/>
      <c r="M157" s="195"/>
      <c r="N157" s="195"/>
      <c r="O157" s="195"/>
      <c r="P157" s="195"/>
      <c r="Q157" s="195"/>
      <c r="R157" s="195"/>
    </row>
    <row r="158" spans="1:18" s="18" customFormat="1" ht="26.4" hidden="1">
      <c r="A158" s="16" t="s">
        <v>29</v>
      </c>
      <c r="B158" s="84" t="s">
        <v>50</v>
      </c>
      <c r="C158" s="84" t="s">
        <v>25</v>
      </c>
      <c r="D158" s="84" t="s">
        <v>25</v>
      </c>
      <c r="E158" s="84" t="s">
        <v>192</v>
      </c>
      <c r="F158" s="84" t="s">
        <v>30</v>
      </c>
      <c r="G158" s="87">
        <f>G159</f>
        <v>0</v>
      </c>
      <c r="H158" s="87">
        <f>H159</f>
        <v>0</v>
      </c>
      <c r="I158" s="87">
        <f>I159</f>
        <v>0</v>
      </c>
      <c r="J158" s="173"/>
      <c r="K158" s="195"/>
      <c r="L158" s="195"/>
      <c r="M158" s="195"/>
      <c r="N158" s="195"/>
      <c r="O158" s="195"/>
      <c r="P158" s="195"/>
      <c r="Q158" s="195"/>
      <c r="R158" s="195"/>
    </row>
    <row r="159" spans="1:18" s="18" customFormat="1" hidden="1">
      <c r="A159" s="16" t="s">
        <v>31</v>
      </c>
      <c r="B159" s="84" t="s">
        <v>50</v>
      </c>
      <c r="C159" s="84" t="s">
        <v>25</v>
      </c>
      <c r="D159" s="84" t="s">
        <v>25</v>
      </c>
      <c r="E159" s="84" t="s">
        <v>192</v>
      </c>
      <c r="F159" s="84" t="s">
        <v>32</v>
      </c>
      <c r="G159" s="87">
        <v>0</v>
      </c>
      <c r="H159" s="87"/>
      <c r="I159" s="87"/>
      <c r="J159" s="173"/>
      <c r="K159" s="195"/>
      <c r="L159" s="195"/>
      <c r="M159" s="195"/>
      <c r="N159" s="195"/>
      <c r="O159" s="195"/>
      <c r="P159" s="195"/>
      <c r="Q159" s="195"/>
      <c r="R159" s="195"/>
    </row>
    <row r="160" spans="1:18" s="18" customFormat="1" ht="26.4" hidden="1">
      <c r="A160" s="16" t="s">
        <v>292</v>
      </c>
      <c r="B160" s="145">
        <v>757</v>
      </c>
      <c r="C160" s="84" t="s">
        <v>25</v>
      </c>
      <c r="D160" s="84" t="s">
        <v>25</v>
      </c>
      <c r="E160" s="84" t="s">
        <v>764</v>
      </c>
      <c r="F160" s="84"/>
      <c r="G160" s="87">
        <f>G161</f>
        <v>0</v>
      </c>
      <c r="H160" s="87">
        <v>0</v>
      </c>
      <c r="I160" s="87">
        <v>0</v>
      </c>
      <c r="J160" s="173"/>
      <c r="K160" s="195"/>
      <c r="L160" s="195"/>
      <c r="M160" s="195"/>
      <c r="N160" s="195"/>
      <c r="O160" s="195"/>
      <c r="P160" s="195"/>
      <c r="Q160" s="195"/>
      <c r="R160" s="195"/>
    </row>
    <row r="161" spans="1:20" s="18" customFormat="1" ht="26.4" hidden="1">
      <c r="A161" s="16" t="s">
        <v>35</v>
      </c>
      <c r="B161" s="145">
        <v>757</v>
      </c>
      <c r="C161" s="84" t="s">
        <v>25</v>
      </c>
      <c r="D161" s="84" t="s">
        <v>25</v>
      </c>
      <c r="E161" s="84" t="s">
        <v>764</v>
      </c>
      <c r="F161" s="84" t="s">
        <v>36</v>
      </c>
      <c r="G161" s="87">
        <f>G162</f>
        <v>0</v>
      </c>
      <c r="H161" s="87">
        <v>0</v>
      </c>
      <c r="I161" s="87">
        <v>0</v>
      </c>
      <c r="J161" s="173"/>
      <c r="K161" s="195"/>
      <c r="L161" s="195"/>
      <c r="M161" s="195"/>
      <c r="N161" s="195"/>
      <c r="O161" s="195"/>
      <c r="P161" s="195"/>
      <c r="Q161" s="195"/>
      <c r="R161" s="195"/>
    </row>
    <row r="162" spans="1:20" s="18" customFormat="1" ht="26.4" hidden="1">
      <c r="A162" s="16" t="s">
        <v>37</v>
      </c>
      <c r="B162" s="145">
        <v>757</v>
      </c>
      <c r="C162" s="84" t="s">
        <v>25</v>
      </c>
      <c r="D162" s="84" t="s">
        <v>25</v>
      </c>
      <c r="E162" s="84" t="s">
        <v>764</v>
      </c>
      <c r="F162" s="84" t="s">
        <v>38</v>
      </c>
      <c r="G162" s="87"/>
      <c r="H162" s="87"/>
      <c r="I162" s="87"/>
      <c r="J162" s="173"/>
      <c r="K162" s="195"/>
      <c r="L162" s="195"/>
      <c r="M162" s="195"/>
      <c r="N162" s="195"/>
      <c r="O162" s="195"/>
      <c r="P162" s="195"/>
      <c r="Q162" s="195"/>
      <c r="R162" s="195"/>
    </row>
    <row r="163" spans="1:20" ht="14.25" customHeight="1">
      <c r="A163" s="16" t="s">
        <v>275</v>
      </c>
      <c r="B163" s="145">
        <v>757</v>
      </c>
      <c r="C163" s="84" t="s">
        <v>25</v>
      </c>
      <c r="D163" s="84" t="s">
        <v>25</v>
      </c>
      <c r="E163" s="84"/>
      <c r="F163" s="145"/>
      <c r="G163" s="87">
        <f>G172+G164+G182</f>
        <v>388348.4</v>
      </c>
      <c r="H163" s="87">
        <f t="shared" ref="H163:I163" si="37">H172+H164</f>
        <v>200050</v>
      </c>
      <c r="I163" s="87">
        <f t="shared" si="37"/>
        <v>200050</v>
      </c>
      <c r="J163" s="173"/>
      <c r="S163" s="69"/>
      <c r="T163" s="69"/>
    </row>
    <row r="164" spans="1:20" ht="32.25" hidden="1" customHeight="1">
      <c r="A164" s="16" t="s">
        <v>456</v>
      </c>
      <c r="B164" s="145">
        <v>757</v>
      </c>
      <c r="C164" s="84" t="s">
        <v>25</v>
      </c>
      <c r="D164" s="84" t="s">
        <v>25</v>
      </c>
      <c r="E164" s="84" t="s">
        <v>384</v>
      </c>
      <c r="F164" s="84"/>
      <c r="G164" s="87">
        <f>G165</f>
        <v>0</v>
      </c>
      <c r="H164" s="87">
        <f>H166</f>
        <v>0</v>
      </c>
      <c r="I164" s="87">
        <f>I166</f>
        <v>0</v>
      </c>
      <c r="J164" s="173"/>
      <c r="S164" s="69"/>
      <c r="T164" s="69"/>
    </row>
    <row r="165" spans="1:20" ht="22.5" hidden="1" customHeight="1">
      <c r="A165" s="16" t="s">
        <v>116</v>
      </c>
      <c r="B165" s="145">
        <v>757</v>
      </c>
      <c r="C165" s="84" t="s">
        <v>25</v>
      </c>
      <c r="D165" s="84" t="s">
        <v>25</v>
      </c>
      <c r="E165" s="84" t="s">
        <v>579</v>
      </c>
      <c r="F165" s="84"/>
      <c r="G165" s="87">
        <f>G166+G169</f>
        <v>0</v>
      </c>
      <c r="H165" s="87">
        <f t="shared" ref="H165:I165" si="38">H166+H169</f>
        <v>0</v>
      </c>
      <c r="I165" s="87">
        <f t="shared" si="38"/>
        <v>0</v>
      </c>
      <c r="J165" s="173"/>
      <c r="S165" s="69"/>
      <c r="T165" s="69"/>
    </row>
    <row r="166" spans="1:20" ht="52.8" hidden="1">
      <c r="A166" s="16" t="s">
        <v>124</v>
      </c>
      <c r="B166" s="145">
        <v>757</v>
      </c>
      <c r="C166" s="84" t="s">
        <v>25</v>
      </c>
      <c r="D166" s="84" t="s">
        <v>25</v>
      </c>
      <c r="E166" s="84" t="s">
        <v>185</v>
      </c>
      <c r="F166" s="84"/>
      <c r="G166" s="87">
        <f t="shared" ref="G166:I167" si="39">G167</f>
        <v>0</v>
      </c>
      <c r="H166" s="87">
        <f t="shared" si="39"/>
        <v>0</v>
      </c>
      <c r="I166" s="87">
        <f t="shared" si="39"/>
        <v>0</v>
      </c>
      <c r="J166" s="173"/>
      <c r="S166" s="69"/>
      <c r="T166" s="69"/>
    </row>
    <row r="167" spans="1:20" ht="26.4" hidden="1">
      <c r="A167" s="16" t="s">
        <v>29</v>
      </c>
      <c r="B167" s="145">
        <v>757</v>
      </c>
      <c r="C167" s="84" t="s">
        <v>25</v>
      </c>
      <c r="D167" s="84" t="s">
        <v>25</v>
      </c>
      <c r="E167" s="84" t="s">
        <v>185</v>
      </c>
      <c r="F167" s="84" t="s">
        <v>30</v>
      </c>
      <c r="G167" s="87">
        <f t="shared" si="39"/>
        <v>0</v>
      </c>
      <c r="H167" s="87">
        <f t="shared" si="39"/>
        <v>0</v>
      </c>
      <c r="I167" s="87">
        <f t="shared" si="39"/>
        <v>0</v>
      </c>
      <c r="J167" s="173"/>
      <c r="S167" s="69"/>
      <c r="T167" s="69"/>
    </row>
    <row r="168" spans="1:20" ht="19.5" hidden="1" customHeight="1">
      <c r="A168" s="16" t="s">
        <v>31</v>
      </c>
      <c r="B168" s="145">
        <v>757</v>
      </c>
      <c r="C168" s="84" t="s">
        <v>25</v>
      </c>
      <c r="D168" s="84" t="s">
        <v>25</v>
      </c>
      <c r="E168" s="84" t="s">
        <v>185</v>
      </c>
      <c r="F168" s="84" t="s">
        <v>32</v>
      </c>
      <c r="G168" s="87"/>
      <c r="H168" s="87">
        <v>0</v>
      </c>
      <c r="I168" s="87">
        <v>0</v>
      </c>
      <c r="J168" s="173"/>
      <c r="S168" s="69"/>
      <c r="T168" s="69"/>
    </row>
    <row r="169" spans="1:20" s="18" customFormat="1" ht="61.5" hidden="1" customHeight="1">
      <c r="A169" s="13" t="s">
        <v>341</v>
      </c>
      <c r="B169" s="145">
        <v>757</v>
      </c>
      <c r="C169" s="84" t="s">
        <v>25</v>
      </c>
      <c r="D169" s="84" t="s">
        <v>25</v>
      </c>
      <c r="E169" s="84" t="s">
        <v>186</v>
      </c>
      <c r="F169" s="84"/>
      <c r="G169" s="87">
        <f>G170</f>
        <v>0</v>
      </c>
      <c r="H169" s="87">
        <f t="shared" ref="H169:I169" si="40">H170</f>
        <v>0</v>
      </c>
      <c r="I169" s="87">
        <f t="shared" si="40"/>
        <v>0</v>
      </c>
      <c r="J169" s="173"/>
      <c r="K169" s="195"/>
      <c r="L169" s="195"/>
      <c r="M169" s="195"/>
      <c r="N169" s="195"/>
      <c r="O169" s="195"/>
      <c r="P169" s="195"/>
      <c r="Q169" s="195"/>
      <c r="R169" s="195"/>
      <c r="S169" s="180"/>
      <c r="T169" s="180"/>
    </row>
    <row r="170" spans="1:20" s="18" customFormat="1" ht="26.4" hidden="1">
      <c r="A170" s="16" t="s">
        <v>29</v>
      </c>
      <c r="B170" s="145">
        <v>757</v>
      </c>
      <c r="C170" s="84" t="s">
        <v>25</v>
      </c>
      <c r="D170" s="84" t="s">
        <v>25</v>
      </c>
      <c r="E170" s="84" t="s">
        <v>186</v>
      </c>
      <c r="F170" s="84" t="s">
        <v>30</v>
      </c>
      <c r="G170" s="87">
        <f>G171</f>
        <v>0</v>
      </c>
      <c r="H170" s="87">
        <f>H171</f>
        <v>0</v>
      </c>
      <c r="I170" s="87">
        <f>I171</f>
        <v>0</v>
      </c>
      <c r="J170" s="173"/>
      <c r="K170" s="195"/>
      <c r="L170" s="195"/>
      <c r="M170" s="195"/>
      <c r="N170" s="195"/>
      <c r="O170" s="195"/>
      <c r="P170" s="195"/>
      <c r="Q170" s="195"/>
      <c r="R170" s="195"/>
      <c r="S170" s="180"/>
      <c r="T170" s="180"/>
    </row>
    <row r="171" spans="1:20" s="18" customFormat="1" hidden="1">
      <c r="A171" s="16" t="s">
        <v>31</v>
      </c>
      <c r="B171" s="145">
        <v>757</v>
      </c>
      <c r="C171" s="84" t="s">
        <v>25</v>
      </c>
      <c r="D171" s="84" t="s">
        <v>25</v>
      </c>
      <c r="E171" s="84" t="s">
        <v>186</v>
      </c>
      <c r="F171" s="84" t="s">
        <v>32</v>
      </c>
      <c r="G171" s="87"/>
      <c r="H171" s="87"/>
      <c r="I171" s="87"/>
      <c r="J171" s="173"/>
      <c r="K171" s="195"/>
      <c r="L171" s="195"/>
      <c r="M171" s="195"/>
      <c r="N171" s="195"/>
      <c r="O171" s="195"/>
      <c r="P171" s="195"/>
      <c r="Q171" s="195"/>
      <c r="R171" s="195"/>
      <c r="S171" s="180"/>
      <c r="T171" s="180"/>
    </row>
    <row r="172" spans="1:20" s="18" customFormat="1" ht="29.25" customHeight="1">
      <c r="A172" s="16" t="s">
        <v>1139</v>
      </c>
      <c r="B172" s="145">
        <v>757</v>
      </c>
      <c r="C172" s="84" t="s">
        <v>25</v>
      </c>
      <c r="D172" s="84" t="s">
        <v>25</v>
      </c>
      <c r="E172" s="84" t="s">
        <v>191</v>
      </c>
      <c r="F172" s="84"/>
      <c r="G172" s="87">
        <f>G173+G176</f>
        <v>388348.4</v>
      </c>
      <c r="H172" s="87">
        <f t="shared" ref="H172:I172" si="41">H173+H176</f>
        <v>200050</v>
      </c>
      <c r="I172" s="87">
        <f t="shared" si="41"/>
        <v>200050</v>
      </c>
      <c r="J172" s="173"/>
      <c r="K172" s="173"/>
      <c r="L172" s="173"/>
      <c r="M172" s="173"/>
      <c r="N172" s="173"/>
      <c r="O172" s="195"/>
      <c r="P172" s="195"/>
      <c r="Q172" s="195"/>
      <c r="R172" s="195"/>
      <c r="S172" s="180"/>
      <c r="T172" s="180"/>
    </row>
    <row r="173" spans="1:20" s="18" customFormat="1">
      <c r="A173" s="16" t="s">
        <v>331</v>
      </c>
      <c r="B173" s="145">
        <v>757</v>
      </c>
      <c r="C173" s="84" t="s">
        <v>25</v>
      </c>
      <c r="D173" s="84" t="s">
        <v>25</v>
      </c>
      <c r="E173" s="84" t="s">
        <v>192</v>
      </c>
      <c r="F173" s="84"/>
      <c r="G173" s="87">
        <f>G174</f>
        <v>374880</v>
      </c>
      <c r="H173" s="87">
        <f t="shared" ref="H173:I173" si="42">H174</f>
        <v>200050</v>
      </c>
      <c r="I173" s="87">
        <f t="shared" si="42"/>
        <v>200050</v>
      </c>
      <c r="J173" s="173"/>
      <c r="K173" s="195"/>
      <c r="L173" s="195"/>
      <c r="M173" s="195"/>
      <c r="N173" s="195"/>
      <c r="O173" s="195"/>
      <c r="P173" s="195"/>
      <c r="Q173" s="195"/>
      <c r="R173" s="195"/>
      <c r="S173" s="180"/>
      <c r="T173" s="180"/>
    </row>
    <row r="174" spans="1:20" s="18" customFormat="1" ht="26.4">
      <c r="A174" s="16" t="s">
        <v>35</v>
      </c>
      <c r="B174" s="145">
        <v>757</v>
      </c>
      <c r="C174" s="84" t="s">
        <v>25</v>
      </c>
      <c r="D174" s="84" t="s">
        <v>25</v>
      </c>
      <c r="E174" s="84" t="s">
        <v>192</v>
      </c>
      <c r="F174" s="84" t="s">
        <v>36</v>
      </c>
      <c r="G174" s="87">
        <f>G175</f>
        <v>374880</v>
      </c>
      <c r="H174" s="87">
        <f>H175</f>
        <v>200050</v>
      </c>
      <c r="I174" s="87">
        <f>I175</f>
        <v>200050</v>
      </c>
      <c r="J174" s="173"/>
      <c r="K174" s="195"/>
      <c r="L174" s="195"/>
      <c r="M174" s="195"/>
      <c r="N174" s="195"/>
      <c r="O174" s="195"/>
      <c r="P174" s="195"/>
      <c r="Q174" s="195"/>
      <c r="R174" s="195"/>
      <c r="S174" s="180"/>
      <c r="T174" s="180"/>
    </row>
    <row r="175" spans="1:20" s="18" customFormat="1" ht="26.4">
      <c r="A175" s="16" t="s">
        <v>37</v>
      </c>
      <c r="B175" s="145">
        <v>757</v>
      </c>
      <c r="C175" s="84" t="s">
        <v>25</v>
      </c>
      <c r="D175" s="84" t="s">
        <v>25</v>
      </c>
      <c r="E175" s="15" t="s">
        <v>192</v>
      </c>
      <c r="F175" s="15" t="s">
        <v>38</v>
      </c>
      <c r="G175" s="70">
        <f>399880-25000</f>
        <v>374880</v>
      </c>
      <c r="H175" s="87">
        <f>400050-200000</f>
        <v>200050</v>
      </c>
      <c r="I175" s="87">
        <f>400050-200000</f>
        <v>200050</v>
      </c>
      <c r="J175" s="173"/>
      <c r="K175" s="195"/>
      <c r="L175" s="195"/>
      <c r="M175" s="195"/>
      <c r="N175" s="195"/>
      <c r="O175" s="195"/>
      <c r="P175" s="195"/>
      <c r="Q175" s="195"/>
      <c r="R175" s="195"/>
    </row>
    <row r="176" spans="1:20" s="18" customFormat="1" ht="39.6">
      <c r="A176" s="16" t="s">
        <v>1383</v>
      </c>
      <c r="B176" s="145">
        <v>757</v>
      </c>
      <c r="C176" s="84" t="s">
        <v>25</v>
      </c>
      <c r="D176" s="84" t="s">
        <v>25</v>
      </c>
      <c r="E176" s="84" t="s">
        <v>1324</v>
      </c>
      <c r="F176" s="84"/>
      <c r="G176" s="87">
        <f>G177</f>
        <v>13468.4</v>
      </c>
      <c r="H176" s="87">
        <f t="shared" ref="H176:I176" si="43">H177</f>
        <v>0</v>
      </c>
      <c r="I176" s="87">
        <f t="shared" si="43"/>
        <v>0</v>
      </c>
      <c r="J176" s="173"/>
      <c r="K176" s="195"/>
      <c r="L176" s="195"/>
      <c r="M176" s="195"/>
      <c r="N176" s="195"/>
      <c r="O176" s="195"/>
      <c r="P176" s="195"/>
      <c r="Q176" s="195"/>
      <c r="R176" s="195"/>
      <c r="S176" s="180"/>
      <c r="T176" s="180"/>
    </row>
    <row r="177" spans="1:20" s="18" customFormat="1" ht="26.4">
      <c r="A177" s="16" t="s">
        <v>35</v>
      </c>
      <c r="B177" s="145">
        <v>757</v>
      </c>
      <c r="C177" s="84" t="s">
        <v>25</v>
      </c>
      <c r="D177" s="84" t="s">
        <v>25</v>
      </c>
      <c r="E177" s="84" t="s">
        <v>1324</v>
      </c>
      <c r="F177" s="84" t="s">
        <v>36</v>
      </c>
      <c r="G177" s="87">
        <f>G178</f>
        <v>13468.4</v>
      </c>
      <c r="H177" s="87">
        <f>H178</f>
        <v>0</v>
      </c>
      <c r="I177" s="87">
        <f>I178</f>
        <v>0</v>
      </c>
      <c r="J177" s="173"/>
      <c r="K177" s="195"/>
      <c r="L177" s="195"/>
      <c r="M177" s="195"/>
      <c r="N177" s="195"/>
      <c r="O177" s="195"/>
      <c r="P177" s="195"/>
      <c r="Q177" s="195"/>
      <c r="R177" s="195"/>
      <c r="S177" s="180"/>
      <c r="T177" s="180"/>
    </row>
    <row r="178" spans="1:20" s="18" customFormat="1" ht="26.4">
      <c r="A178" s="16" t="s">
        <v>37</v>
      </c>
      <c r="B178" s="145">
        <v>757</v>
      </c>
      <c r="C178" s="84" t="s">
        <v>25</v>
      </c>
      <c r="D178" s="84" t="s">
        <v>25</v>
      </c>
      <c r="E178" s="15" t="s">
        <v>1324</v>
      </c>
      <c r="F178" s="15" t="s">
        <v>38</v>
      </c>
      <c r="G178" s="70">
        <v>13468.4</v>
      </c>
      <c r="H178" s="87">
        <v>0</v>
      </c>
      <c r="I178" s="87">
        <v>0</v>
      </c>
      <c r="J178" s="173"/>
      <c r="K178" s="195"/>
      <c r="L178" s="195"/>
      <c r="M178" s="195"/>
      <c r="N178" s="195"/>
      <c r="O178" s="195"/>
      <c r="P178" s="195"/>
      <c r="Q178" s="195"/>
      <c r="R178" s="195"/>
    </row>
    <row r="179" spans="1:20" s="22" customFormat="1">
      <c r="A179" s="348" t="s">
        <v>42</v>
      </c>
      <c r="B179" s="264">
        <v>757</v>
      </c>
      <c r="C179" s="158" t="s">
        <v>43</v>
      </c>
      <c r="D179" s="158"/>
      <c r="E179" s="20"/>
      <c r="F179" s="20"/>
      <c r="G179" s="12">
        <f>G180+G471</f>
        <v>208923149.91999996</v>
      </c>
      <c r="H179" s="96">
        <f>H180+H471</f>
        <v>181219117.66999996</v>
      </c>
      <c r="I179" s="96">
        <f>I180+I471</f>
        <v>182192657.83000001</v>
      </c>
      <c r="J179" s="187"/>
      <c r="K179" s="202"/>
      <c r="L179" s="202"/>
      <c r="M179" s="203"/>
      <c r="N179" s="202"/>
      <c r="O179" s="202"/>
      <c r="P179" s="202"/>
      <c r="Q179" s="202"/>
      <c r="R179" s="202"/>
    </row>
    <row r="180" spans="1:20">
      <c r="A180" s="16" t="s">
        <v>44</v>
      </c>
      <c r="B180" s="145">
        <v>757</v>
      </c>
      <c r="C180" s="84" t="s">
        <v>43</v>
      </c>
      <c r="D180" s="84" t="s">
        <v>18</v>
      </c>
      <c r="E180" s="15"/>
      <c r="F180" s="15"/>
      <c r="G180" s="70">
        <f>G181+G198+G443+G461</f>
        <v>197260051.80999997</v>
      </c>
      <c r="H180" s="70">
        <f>H181+H198+H443+H461</f>
        <v>169237210.71999997</v>
      </c>
      <c r="I180" s="70">
        <f>I181+I198+I443+I461</f>
        <v>169745317.84</v>
      </c>
      <c r="J180" s="173"/>
      <c r="M180" s="204"/>
    </row>
    <row r="181" spans="1:20" ht="39.6" hidden="1">
      <c r="A181" s="16" t="s">
        <v>791</v>
      </c>
      <c r="B181" s="145">
        <v>757</v>
      </c>
      <c r="C181" s="84" t="s">
        <v>43</v>
      </c>
      <c r="D181" s="84" t="s">
        <v>18</v>
      </c>
      <c r="E181" s="15" t="s">
        <v>257</v>
      </c>
      <c r="F181" s="15"/>
      <c r="G181" s="8">
        <f>G191</f>
        <v>0</v>
      </c>
      <c r="H181" s="85">
        <f t="shared" ref="H181:I181" si="44">H191</f>
        <v>0</v>
      </c>
      <c r="I181" s="85">
        <f t="shared" si="44"/>
        <v>0</v>
      </c>
      <c r="J181" s="174"/>
      <c r="M181" s="204"/>
    </row>
    <row r="182" spans="1:20" ht="40.5" hidden="1" customHeight="1">
      <c r="A182" s="16" t="s">
        <v>572</v>
      </c>
      <c r="B182" s="84" t="s">
        <v>50</v>
      </c>
      <c r="C182" s="84" t="s">
        <v>43</v>
      </c>
      <c r="D182" s="84" t="s">
        <v>18</v>
      </c>
      <c r="E182" s="15" t="s">
        <v>514</v>
      </c>
      <c r="F182" s="15"/>
      <c r="G182" s="8">
        <f>G183</f>
        <v>0</v>
      </c>
      <c r="H182" s="87">
        <v>0</v>
      </c>
      <c r="I182" s="87">
        <v>0</v>
      </c>
      <c r="J182" s="173"/>
    </row>
    <row r="183" spans="1:20" ht="30" hidden="1" customHeight="1">
      <c r="A183" s="16" t="s">
        <v>94</v>
      </c>
      <c r="B183" s="84" t="s">
        <v>50</v>
      </c>
      <c r="C183" s="84" t="s">
        <v>43</v>
      </c>
      <c r="D183" s="84" t="s">
        <v>18</v>
      </c>
      <c r="E183" s="15" t="s">
        <v>514</v>
      </c>
      <c r="F183" s="15" t="s">
        <v>338</v>
      </c>
      <c r="G183" s="8">
        <f>G184</f>
        <v>0</v>
      </c>
      <c r="H183" s="87">
        <v>0</v>
      </c>
      <c r="I183" s="87">
        <v>0</v>
      </c>
      <c r="J183" s="173"/>
    </row>
    <row r="184" spans="1:20" ht="91.5" hidden="1" customHeight="1">
      <c r="A184" s="50" t="s">
        <v>407</v>
      </c>
      <c r="B184" s="84" t="s">
        <v>50</v>
      </c>
      <c r="C184" s="84" t="s">
        <v>43</v>
      </c>
      <c r="D184" s="84" t="s">
        <v>18</v>
      </c>
      <c r="E184" s="15" t="s">
        <v>514</v>
      </c>
      <c r="F184" s="15" t="s">
        <v>406</v>
      </c>
      <c r="G184" s="8"/>
      <c r="H184" s="87">
        <v>0</v>
      </c>
      <c r="I184" s="87">
        <v>0</v>
      </c>
      <c r="J184" s="173"/>
    </row>
    <row r="185" spans="1:20" ht="43.5" hidden="1" customHeight="1">
      <c r="A185" s="50" t="s">
        <v>573</v>
      </c>
      <c r="B185" s="84" t="s">
        <v>50</v>
      </c>
      <c r="C185" s="84" t="s">
        <v>43</v>
      </c>
      <c r="D185" s="84" t="s">
        <v>18</v>
      </c>
      <c r="E185" s="15" t="s">
        <v>516</v>
      </c>
      <c r="F185" s="15"/>
      <c r="G185" s="8">
        <f>G186</f>
        <v>0</v>
      </c>
      <c r="H185" s="87">
        <v>0</v>
      </c>
      <c r="I185" s="87">
        <v>0</v>
      </c>
      <c r="J185" s="173"/>
    </row>
    <row r="186" spans="1:20" ht="39.75" hidden="1" customHeight="1">
      <c r="A186" s="16" t="s">
        <v>94</v>
      </c>
      <c r="B186" s="84" t="s">
        <v>50</v>
      </c>
      <c r="C186" s="84" t="s">
        <v>43</v>
      </c>
      <c r="D186" s="84" t="s">
        <v>18</v>
      </c>
      <c r="E186" s="15" t="s">
        <v>516</v>
      </c>
      <c r="F186" s="15" t="s">
        <v>338</v>
      </c>
      <c r="G186" s="8">
        <f>G187</f>
        <v>0</v>
      </c>
      <c r="H186" s="87">
        <v>0</v>
      </c>
      <c r="I186" s="87">
        <v>0</v>
      </c>
      <c r="J186" s="173"/>
    </row>
    <row r="187" spans="1:20" ht="86.25" hidden="1" customHeight="1">
      <c r="A187" s="50" t="s">
        <v>407</v>
      </c>
      <c r="B187" s="84" t="s">
        <v>50</v>
      </c>
      <c r="C187" s="84" t="s">
        <v>43</v>
      </c>
      <c r="D187" s="84" t="s">
        <v>18</v>
      </c>
      <c r="E187" s="15" t="s">
        <v>516</v>
      </c>
      <c r="F187" s="15" t="s">
        <v>406</v>
      </c>
      <c r="G187" s="8"/>
      <c r="H187" s="87">
        <v>0</v>
      </c>
      <c r="I187" s="87">
        <v>0</v>
      </c>
      <c r="J187" s="173"/>
    </row>
    <row r="188" spans="1:20" ht="48" hidden="1" customHeight="1">
      <c r="A188" s="80" t="s">
        <v>581</v>
      </c>
      <c r="B188" s="145">
        <v>757</v>
      </c>
      <c r="C188" s="84" t="s">
        <v>43</v>
      </c>
      <c r="D188" s="84" t="s">
        <v>18</v>
      </c>
      <c r="E188" s="15" t="s">
        <v>580</v>
      </c>
      <c r="F188" s="14"/>
      <c r="G188" s="70">
        <f t="shared" ref="G188:I189" si="45">G189</f>
        <v>0</v>
      </c>
      <c r="H188" s="87">
        <f t="shared" si="45"/>
        <v>0</v>
      </c>
      <c r="I188" s="87">
        <f t="shared" si="45"/>
        <v>0</v>
      </c>
      <c r="J188" s="173"/>
    </row>
    <row r="189" spans="1:20" ht="26.4" hidden="1">
      <c r="A189" s="16" t="s">
        <v>29</v>
      </c>
      <c r="B189" s="145">
        <v>757</v>
      </c>
      <c r="C189" s="84" t="s">
        <v>43</v>
      </c>
      <c r="D189" s="84" t="s">
        <v>18</v>
      </c>
      <c r="E189" s="15" t="s">
        <v>580</v>
      </c>
      <c r="F189" s="15" t="s">
        <v>30</v>
      </c>
      <c r="G189" s="25">
        <f t="shared" si="45"/>
        <v>0</v>
      </c>
      <c r="H189" s="95">
        <f t="shared" si="45"/>
        <v>0</v>
      </c>
      <c r="I189" s="95">
        <f t="shared" si="45"/>
        <v>0</v>
      </c>
    </row>
    <row r="190" spans="1:20" hidden="1">
      <c r="A190" s="16" t="s">
        <v>31</v>
      </c>
      <c r="B190" s="145">
        <v>757</v>
      </c>
      <c r="C190" s="84" t="s">
        <v>43</v>
      </c>
      <c r="D190" s="84" t="s">
        <v>18</v>
      </c>
      <c r="E190" s="15" t="s">
        <v>580</v>
      </c>
      <c r="F190" s="15" t="s">
        <v>32</v>
      </c>
      <c r="G190" s="25"/>
      <c r="H190" s="95"/>
      <c r="I190" s="95"/>
    </row>
    <row r="191" spans="1:20" s="168" customFormat="1" ht="42.75" hidden="1" customHeight="1">
      <c r="A191" s="80" t="s">
        <v>854</v>
      </c>
      <c r="B191" s="145">
        <v>757</v>
      </c>
      <c r="C191" s="84" t="s">
        <v>43</v>
      </c>
      <c r="D191" s="84" t="s">
        <v>18</v>
      </c>
      <c r="E191" s="15" t="s">
        <v>855</v>
      </c>
      <c r="F191" s="14"/>
      <c r="G191" s="70">
        <f t="shared" ref="G191:I192" si="46">G192</f>
        <v>0</v>
      </c>
      <c r="H191" s="87">
        <f t="shared" si="46"/>
        <v>0</v>
      </c>
      <c r="I191" s="87">
        <f t="shared" si="46"/>
        <v>0</v>
      </c>
      <c r="J191" s="173"/>
      <c r="K191" s="181"/>
      <c r="L191" s="181"/>
      <c r="M191" s="181"/>
      <c r="N191" s="181"/>
      <c r="O191" s="181"/>
      <c r="P191" s="181"/>
      <c r="Q191" s="181"/>
      <c r="R191" s="181"/>
    </row>
    <row r="192" spans="1:20" s="168" customFormat="1" ht="26.4" hidden="1">
      <c r="A192" s="16" t="s">
        <v>29</v>
      </c>
      <c r="B192" s="145">
        <v>757</v>
      </c>
      <c r="C192" s="84" t="s">
        <v>43</v>
      </c>
      <c r="D192" s="84" t="s">
        <v>18</v>
      </c>
      <c r="E192" s="15" t="s">
        <v>855</v>
      </c>
      <c r="F192" s="15" t="s">
        <v>30</v>
      </c>
      <c r="G192" s="25">
        <f t="shared" si="46"/>
        <v>0</v>
      </c>
      <c r="H192" s="95">
        <f t="shared" si="46"/>
        <v>0</v>
      </c>
      <c r="I192" s="95">
        <f t="shared" si="46"/>
        <v>0</v>
      </c>
      <c r="J192" s="175"/>
      <c r="K192" s="181"/>
      <c r="L192" s="181"/>
      <c r="M192" s="181"/>
      <c r="N192" s="181"/>
      <c r="O192" s="181"/>
      <c r="P192" s="181"/>
      <c r="Q192" s="181"/>
      <c r="R192" s="181"/>
    </row>
    <row r="193" spans="1:18" s="168" customFormat="1" hidden="1">
      <c r="A193" s="16" t="s">
        <v>31</v>
      </c>
      <c r="B193" s="145">
        <v>757</v>
      </c>
      <c r="C193" s="84" t="s">
        <v>43</v>
      </c>
      <c r="D193" s="84" t="s">
        <v>18</v>
      </c>
      <c r="E193" s="15" t="s">
        <v>855</v>
      </c>
      <c r="F193" s="15" t="s">
        <v>32</v>
      </c>
      <c r="G193" s="25">
        <f>320000-320000</f>
        <v>0</v>
      </c>
      <c r="H193" s="95">
        <v>0</v>
      </c>
      <c r="I193" s="95">
        <v>0</v>
      </c>
      <c r="J193" s="175"/>
      <c r="K193" s="181"/>
      <c r="L193" s="181"/>
      <c r="M193" s="181"/>
      <c r="N193" s="181"/>
      <c r="O193" s="181"/>
      <c r="P193" s="181"/>
      <c r="Q193" s="181"/>
      <c r="R193" s="181"/>
    </row>
    <row r="194" spans="1:18" ht="27.75" hidden="1" customHeight="1">
      <c r="A194" s="16"/>
      <c r="B194" s="145"/>
      <c r="C194" s="84"/>
      <c r="D194" s="84"/>
      <c r="E194" s="15"/>
      <c r="F194" s="15"/>
      <c r="G194" s="70"/>
      <c r="H194" s="87"/>
      <c r="I194" s="87"/>
      <c r="J194" s="173"/>
    </row>
    <row r="195" spans="1:18" ht="28.5" hidden="1" customHeight="1">
      <c r="A195" s="50"/>
      <c r="B195" s="145">
        <v>757</v>
      </c>
      <c r="C195" s="84" t="s">
        <v>43</v>
      </c>
      <c r="D195" s="84" t="s">
        <v>18</v>
      </c>
      <c r="E195" s="15" t="s">
        <v>494</v>
      </c>
      <c r="F195" s="15"/>
      <c r="G195" s="70">
        <f>G196</f>
        <v>0</v>
      </c>
      <c r="H195" s="87">
        <f t="shared" ref="H195:I196" si="47">H196</f>
        <v>0</v>
      </c>
      <c r="I195" s="87">
        <f t="shared" si="47"/>
        <v>0</v>
      </c>
      <c r="J195" s="173"/>
    </row>
    <row r="196" spans="1:18" ht="21" hidden="1" customHeight="1">
      <c r="A196" s="16" t="s">
        <v>144</v>
      </c>
      <c r="B196" s="145">
        <v>757</v>
      </c>
      <c r="C196" s="84" t="s">
        <v>43</v>
      </c>
      <c r="D196" s="84" t="s">
        <v>18</v>
      </c>
      <c r="E196" s="15" t="s">
        <v>494</v>
      </c>
      <c r="F196" s="15" t="s">
        <v>145</v>
      </c>
      <c r="G196" s="70">
        <f>G197</f>
        <v>0</v>
      </c>
      <c r="H196" s="87">
        <f t="shared" si="47"/>
        <v>0</v>
      </c>
      <c r="I196" s="87">
        <f t="shared" si="47"/>
        <v>0</v>
      </c>
      <c r="J196" s="173"/>
    </row>
    <row r="197" spans="1:18" ht="30.75" hidden="1" customHeight="1">
      <c r="A197" s="16" t="s">
        <v>146</v>
      </c>
      <c r="B197" s="145">
        <v>757</v>
      </c>
      <c r="C197" s="84" t="s">
        <v>43</v>
      </c>
      <c r="D197" s="84" t="s">
        <v>18</v>
      </c>
      <c r="E197" s="15" t="s">
        <v>494</v>
      </c>
      <c r="F197" s="15" t="s">
        <v>147</v>
      </c>
      <c r="G197" s="70"/>
      <c r="H197" s="87"/>
      <c r="I197" s="87"/>
      <c r="J197" s="173"/>
    </row>
    <row r="198" spans="1:18" ht="36" customHeight="1">
      <c r="A198" s="16" t="s">
        <v>1136</v>
      </c>
      <c r="B198" s="145">
        <v>757</v>
      </c>
      <c r="C198" s="84" t="s">
        <v>43</v>
      </c>
      <c r="D198" s="84" t="s">
        <v>18</v>
      </c>
      <c r="E198" s="15" t="s">
        <v>187</v>
      </c>
      <c r="F198" s="15"/>
      <c r="G198" s="8">
        <f>G211+G221+G225+G228+G272+G285+G288+G291+G293+G302+G214+G327+G324+G333+G254+G251+G257+G340+G260+G343+G275+G349+G353+G357+G360+G363++G366+G369+G372+G375+G381+G378+G420+G281+G336+G417+G271+G416+G423+G321++G384+G387+G390+G411+G393+G396+G401++G404++G407+G410++G442+G451++G454+G457+G460+G268+G330+G346+G446+G205+G202+G265+G208+G278</f>
        <v>196756764.26999998</v>
      </c>
      <c r="H198" s="8">
        <f>H211+H221+H225+H228+H272+H285+H288+H291+H293+H302+H214+H327+H324+H333+H254+H251+H257+H340+H260+H343+H275+H349+H353+H357+H360+H363++H366+H369+H372+H375+H381+H378+H420+H281+H336+H417+H271+H416+H423+H321++H384+H387+H390+H411+H393+H396+H401++H404++H407+H410++H442+H451++H454+H457+H460+H268+H330+H346+H446</f>
        <v>169237210.71999997</v>
      </c>
      <c r="I198" s="8">
        <f>I211+I221+I225+I228+I272+I285+I288+I291+I293+I302+I214+I327+I324+I333+I254+I251+I257+I340+I260+I343+I275+I349+I353+I357+I360+I363++I366+I369+I372+I375+I381+I378+I420+I281+I336+I417+I271+I416+I423+I321++I384+I387+I390+I411+I393+I396+I401++I404++I407+I410++I442+I451++I454+I457+I460+I268+I330+I346+I446</f>
        <v>169745317.84</v>
      </c>
      <c r="J198" s="174"/>
      <c r="M198" s="204"/>
    </row>
    <row r="199" spans="1:18" ht="40.5" hidden="1" customHeight="1">
      <c r="A199" s="82" t="s">
        <v>572</v>
      </c>
      <c r="B199" s="84" t="s">
        <v>50</v>
      </c>
      <c r="C199" s="84" t="s">
        <v>43</v>
      </c>
      <c r="D199" s="84" t="s">
        <v>18</v>
      </c>
      <c r="E199" s="15" t="s">
        <v>514</v>
      </c>
      <c r="F199" s="15"/>
      <c r="G199" s="8">
        <f>G200</f>
        <v>0</v>
      </c>
      <c r="H199" s="87">
        <v>0</v>
      </c>
      <c r="I199" s="87">
        <v>0</v>
      </c>
      <c r="J199" s="173"/>
    </row>
    <row r="200" spans="1:18" ht="30" hidden="1" customHeight="1">
      <c r="A200" s="82" t="s">
        <v>94</v>
      </c>
      <c r="B200" s="84" t="s">
        <v>50</v>
      </c>
      <c r="C200" s="84" t="s">
        <v>43</v>
      </c>
      <c r="D200" s="84" t="s">
        <v>18</v>
      </c>
      <c r="E200" s="15" t="s">
        <v>514</v>
      </c>
      <c r="F200" s="15" t="s">
        <v>338</v>
      </c>
      <c r="G200" s="8">
        <f>G201</f>
        <v>0</v>
      </c>
      <c r="H200" s="87">
        <v>0</v>
      </c>
      <c r="I200" s="87">
        <v>0</v>
      </c>
      <c r="J200" s="173"/>
    </row>
    <row r="201" spans="1:18" ht="91.5" hidden="1" customHeight="1">
      <c r="A201" s="130" t="s">
        <v>407</v>
      </c>
      <c r="B201" s="84" t="s">
        <v>50</v>
      </c>
      <c r="C201" s="84" t="s">
        <v>43</v>
      </c>
      <c r="D201" s="84" t="s">
        <v>18</v>
      </c>
      <c r="E201" s="15" t="s">
        <v>514</v>
      </c>
      <c r="F201" s="15" t="s">
        <v>406</v>
      </c>
      <c r="G201" s="8"/>
      <c r="H201" s="87">
        <v>0</v>
      </c>
      <c r="I201" s="87">
        <v>0</v>
      </c>
      <c r="J201" s="173"/>
    </row>
    <row r="202" spans="1:18" ht="93" hidden="1" customHeight="1">
      <c r="A202" s="104" t="s">
        <v>1427</v>
      </c>
      <c r="B202" s="84" t="s">
        <v>50</v>
      </c>
      <c r="C202" s="84" t="s">
        <v>43</v>
      </c>
      <c r="D202" s="84" t="s">
        <v>18</v>
      </c>
      <c r="E202" s="15" t="s">
        <v>1426</v>
      </c>
      <c r="F202" s="15"/>
      <c r="G202" s="8">
        <f>G203</f>
        <v>0</v>
      </c>
      <c r="H202" s="85">
        <f t="shared" ref="H202:I203" si="48">H203</f>
        <v>0</v>
      </c>
      <c r="I202" s="85">
        <f t="shared" si="48"/>
        <v>0</v>
      </c>
      <c r="J202" s="173"/>
    </row>
    <row r="203" spans="1:18" ht="39.75" hidden="1" customHeight="1">
      <c r="A203" s="82" t="s">
        <v>29</v>
      </c>
      <c r="B203" s="84" t="s">
        <v>50</v>
      </c>
      <c r="C203" s="84" t="s">
        <v>43</v>
      </c>
      <c r="D203" s="84" t="s">
        <v>18</v>
      </c>
      <c r="E203" s="15" t="s">
        <v>1426</v>
      </c>
      <c r="F203" s="15" t="s">
        <v>30</v>
      </c>
      <c r="G203" s="8">
        <f>G204</f>
        <v>0</v>
      </c>
      <c r="H203" s="85">
        <f t="shared" si="48"/>
        <v>0</v>
      </c>
      <c r="I203" s="85">
        <f t="shared" si="48"/>
        <v>0</v>
      </c>
      <c r="J203" s="173"/>
    </row>
    <row r="204" spans="1:18" ht="19.5" hidden="1" customHeight="1">
      <c r="A204" s="130" t="s">
        <v>606</v>
      </c>
      <c r="B204" s="84" t="s">
        <v>50</v>
      </c>
      <c r="C204" s="84" t="s">
        <v>43</v>
      </c>
      <c r="D204" s="84" t="s">
        <v>18</v>
      </c>
      <c r="E204" s="15" t="s">
        <v>1426</v>
      </c>
      <c r="F204" s="15" t="s">
        <v>605</v>
      </c>
      <c r="G204" s="167"/>
      <c r="H204" s="87"/>
      <c r="I204" s="87"/>
      <c r="J204" s="173"/>
    </row>
    <row r="205" spans="1:18" ht="81.75" customHeight="1">
      <c r="A205" s="104" t="s">
        <v>1424</v>
      </c>
      <c r="B205" s="84" t="s">
        <v>50</v>
      </c>
      <c r="C205" s="84" t="s">
        <v>43</v>
      </c>
      <c r="D205" s="84" t="s">
        <v>18</v>
      </c>
      <c r="E205" s="15" t="s">
        <v>1425</v>
      </c>
      <c r="F205" s="15"/>
      <c r="G205" s="8">
        <f>G206</f>
        <v>447366</v>
      </c>
      <c r="H205" s="85">
        <f t="shared" ref="H205:I209" si="49">H206</f>
        <v>0</v>
      </c>
      <c r="I205" s="85">
        <f t="shared" si="49"/>
        <v>0</v>
      </c>
      <c r="J205" s="173"/>
    </row>
    <row r="206" spans="1:18" ht="39.75" customHeight="1">
      <c r="A206" s="82" t="s">
        <v>29</v>
      </c>
      <c r="B206" s="84" t="s">
        <v>50</v>
      </c>
      <c r="C206" s="84" t="s">
        <v>43</v>
      </c>
      <c r="D206" s="84" t="s">
        <v>18</v>
      </c>
      <c r="E206" s="15" t="s">
        <v>1425</v>
      </c>
      <c r="F206" s="15" t="s">
        <v>30</v>
      </c>
      <c r="G206" s="8">
        <f>G207</f>
        <v>447366</v>
      </c>
      <c r="H206" s="85">
        <f t="shared" si="49"/>
        <v>0</v>
      </c>
      <c r="I206" s="85">
        <f t="shared" si="49"/>
        <v>0</v>
      </c>
      <c r="J206" s="173"/>
    </row>
    <row r="207" spans="1:18" ht="19.5" customHeight="1">
      <c r="A207" s="130" t="s">
        <v>31</v>
      </c>
      <c r="B207" s="84" t="s">
        <v>50</v>
      </c>
      <c r="C207" s="84" t="s">
        <v>43</v>
      </c>
      <c r="D207" s="84" t="s">
        <v>18</v>
      </c>
      <c r="E207" s="15" t="s">
        <v>1425</v>
      </c>
      <c r="F207" s="15" t="s">
        <v>32</v>
      </c>
      <c r="G207" s="8">
        <v>447366</v>
      </c>
      <c r="H207" s="87"/>
      <c r="I207" s="87"/>
      <c r="J207" s="173"/>
    </row>
    <row r="208" spans="1:18" ht="99.75" customHeight="1">
      <c r="A208" s="104" t="s">
        <v>1482</v>
      </c>
      <c r="B208" s="84" t="s">
        <v>50</v>
      </c>
      <c r="C208" s="84" t="s">
        <v>43</v>
      </c>
      <c r="D208" s="84" t="s">
        <v>18</v>
      </c>
      <c r="E208" s="15" t="s">
        <v>1481</v>
      </c>
      <c r="F208" s="15"/>
      <c r="G208" s="8">
        <f>G209</f>
        <v>160476</v>
      </c>
      <c r="H208" s="85">
        <f t="shared" si="49"/>
        <v>0</v>
      </c>
      <c r="I208" s="85">
        <f t="shared" si="49"/>
        <v>0</v>
      </c>
      <c r="J208" s="173"/>
    </row>
    <row r="209" spans="1:10" ht="39.75" customHeight="1">
      <c r="A209" s="82" t="s">
        <v>29</v>
      </c>
      <c r="B209" s="84" t="s">
        <v>50</v>
      </c>
      <c r="C209" s="84" t="s">
        <v>43</v>
      </c>
      <c r="D209" s="84" t="s">
        <v>18</v>
      </c>
      <c r="E209" s="15" t="s">
        <v>1481</v>
      </c>
      <c r="F209" s="15" t="s">
        <v>30</v>
      </c>
      <c r="G209" s="8">
        <f>G210</f>
        <v>160476</v>
      </c>
      <c r="H209" s="85">
        <f t="shared" si="49"/>
        <v>0</v>
      </c>
      <c r="I209" s="85">
        <f t="shared" si="49"/>
        <v>0</v>
      </c>
      <c r="J209" s="173"/>
    </row>
    <row r="210" spans="1:10" ht="19.5" customHeight="1">
      <c r="A210" s="130" t="s">
        <v>31</v>
      </c>
      <c r="B210" s="84" t="s">
        <v>50</v>
      </c>
      <c r="C210" s="84" t="s">
        <v>43</v>
      </c>
      <c r="D210" s="84" t="s">
        <v>18</v>
      </c>
      <c r="E210" s="15" t="s">
        <v>1481</v>
      </c>
      <c r="F210" s="15" t="s">
        <v>32</v>
      </c>
      <c r="G210" s="8">
        <v>160476</v>
      </c>
      <c r="H210" s="87"/>
      <c r="I210" s="87"/>
      <c r="J210" s="173"/>
    </row>
    <row r="211" spans="1:10" ht="59.25" customHeight="1">
      <c r="A211" s="104" t="s">
        <v>1048</v>
      </c>
      <c r="B211" s="84" t="s">
        <v>50</v>
      </c>
      <c r="C211" s="84" t="s">
        <v>43</v>
      </c>
      <c r="D211" s="84" t="s">
        <v>18</v>
      </c>
      <c r="E211" s="15" t="s">
        <v>884</v>
      </c>
      <c r="F211" s="15"/>
      <c r="G211" s="8">
        <f>G212</f>
        <v>439123.21</v>
      </c>
      <c r="H211" s="85">
        <f t="shared" ref="H211:I211" si="50">H212</f>
        <v>439123.21</v>
      </c>
      <c r="I211" s="85">
        <f t="shared" si="50"/>
        <v>439635.69</v>
      </c>
      <c r="J211" s="173"/>
    </row>
    <row r="212" spans="1:10" ht="39.75" customHeight="1">
      <c r="A212" s="82" t="s">
        <v>29</v>
      </c>
      <c r="B212" s="84" t="s">
        <v>50</v>
      </c>
      <c r="C212" s="84" t="s">
        <v>43</v>
      </c>
      <c r="D212" s="84" t="s">
        <v>18</v>
      </c>
      <c r="E212" s="15" t="s">
        <v>884</v>
      </c>
      <c r="F212" s="15" t="s">
        <v>30</v>
      </c>
      <c r="G212" s="8">
        <f>G213</f>
        <v>439123.21</v>
      </c>
      <c r="H212" s="85">
        <f t="shared" ref="H212:I212" si="51">H213</f>
        <v>439123.21</v>
      </c>
      <c r="I212" s="85">
        <f t="shared" si="51"/>
        <v>439635.69</v>
      </c>
      <c r="J212" s="173"/>
    </row>
    <row r="213" spans="1:10" ht="19.5" customHeight="1">
      <c r="A213" s="130" t="s">
        <v>31</v>
      </c>
      <c r="B213" s="84" t="s">
        <v>50</v>
      </c>
      <c r="C213" s="84" t="s">
        <v>43</v>
      </c>
      <c r="D213" s="84" t="s">
        <v>18</v>
      </c>
      <c r="E213" s="15" t="s">
        <v>884</v>
      </c>
      <c r="F213" s="15" t="s">
        <v>32</v>
      </c>
      <c r="G213" s="8">
        <f>448772.27+67103.78-49170.15-27582.69</f>
        <v>439123.21</v>
      </c>
      <c r="H213" s="87">
        <f>448772.27+67103.78-49170.15-27582.69</f>
        <v>439123.21</v>
      </c>
      <c r="I213" s="87">
        <f>400068.48+39567.21</f>
        <v>439635.69</v>
      </c>
      <c r="J213" s="173"/>
    </row>
    <row r="214" spans="1:10" ht="39" customHeight="1">
      <c r="A214" s="139" t="s">
        <v>1460</v>
      </c>
      <c r="B214" s="145">
        <v>757</v>
      </c>
      <c r="C214" s="84" t="s">
        <v>43</v>
      </c>
      <c r="D214" s="84" t="s">
        <v>18</v>
      </c>
      <c r="E214" s="84" t="s">
        <v>547</v>
      </c>
      <c r="F214" s="145"/>
      <c r="G214" s="87">
        <f>G215</f>
        <v>7508254.3499999996</v>
      </c>
      <c r="H214" s="87">
        <f t="shared" ref="H214:I214" si="52">H215</f>
        <v>0</v>
      </c>
      <c r="I214" s="87">
        <f t="shared" si="52"/>
        <v>0</v>
      </c>
      <c r="J214" s="173"/>
    </row>
    <row r="215" spans="1:10" ht="39" customHeight="1">
      <c r="A215" s="82" t="s">
        <v>29</v>
      </c>
      <c r="B215" s="145">
        <v>757</v>
      </c>
      <c r="C215" s="84" t="s">
        <v>43</v>
      </c>
      <c r="D215" s="84" t="s">
        <v>18</v>
      </c>
      <c r="E215" s="84" t="s">
        <v>547</v>
      </c>
      <c r="F215" s="84" t="s">
        <v>30</v>
      </c>
      <c r="G215" s="95">
        <f>G216+G217</f>
        <v>7508254.3499999996</v>
      </c>
      <c r="H215" s="95">
        <f>H216</f>
        <v>0</v>
      </c>
      <c r="I215" s="95">
        <f>I216</f>
        <v>0</v>
      </c>
    </row>
    <row r="216" spans="1:10">
      <c r="A216" s="82" t="s">
        <v>31</v>
      </c>
      <c r="B216" s="145">
        <v>757</v>
      </c>
      <c r="C216" s="84" t="s">
        <v>43</v>
      </c>
      <c r="D216" s="84" t="s">
        <v>18</v>
      </c>
      <c r="E216" s="84" t="s">
        <v>547</v>
      </c>
      <c r="F216" s="84" t="s">
        <v>32</v>
      </c>
      <c r="G216" s="95">
        <v>6659311.25</v>
      </c>
      <c r="H216" s="95"/>
      <c r="I216" s="95"/>
    </row>
    <row r="217" spans="1:10">
      <c r="A217" s="82" t="s">
        <v>606</v>
      </c>
      <c r="B217" s="145">
        <v>757</v>
      </c>
      <c r="C217" s="84" t="s">
        <v>43</v>
      </c>
      <c r="D217" s="84" t="s">
        <v>18</v>
      </c>
      <c r="E217" s="84" t="s">
        <v>547</v>
      </c>
      <c r="F217" s="84" t="s">
        <v>605</v>
      </c>
      <c r="G217" s="95">
        <v>848943.1</v>
      </c>
      <c r="H217" s="95"/>
      <c r="I217" s="95"/>
    </row>
    <row r="218" spans="1:10" ht="26.4">
      <c r="A218" s="82" t="s">
        <v>927</v>
      </c>
      <c r="B218" s="145">
        <v>757</v>
      </c>
      <c r="C218" s="84" t="s">
        <v>43</v>
      </c>
      <c r="D218" s="84" t="s">
        <v>18</v>
      </c>
      <c r="E218" s="84" t="s">
        <v>926</v>
      </c>
      <c r="F218" s="84"/>
      <c r="G218" s="95">
        <f>G219</f>
        <v>0</v>
      </c>
      <c r="H218" s="95">
        <f t="shared" ref="H218:I218" si="53">H219</f>
        <v>0</v>
      </c>
      <c r="I218" s="95">
        <f t="shared" si="53"/>
        <v>0</v>
      </c>
    </row>
    <row r="219" spans="1:10" ht="26.4">
      <c r="A219" s="82" t="s">
        <v>29</v>
      </c>
      <c r="B219" s="145">
        <v>757</v>
      </c>
      <c r="C219" s="84" t="s">
        <v>43</v>
      </c>
      <c r="D219" s="84" t="s">
        <v>18</v>
      </c>
      <c r="E219" s="84" t="s">
        <v>926</v>
      </c>
      <c r="F219" s="84" t="s">
        <v>30</v>
      </c>
      <c r="G219" s="95">
        <f>G220</f>
        <v>0</v>
      </c>
      <c r="H219" s="95">
        <f>H220</f>
        <v>0</v>
      </c>
      <c r="I219" s="95">
        <f>I220</f>
        <v>0</v>
      </c>
    </row>
    <row r="220" spans="1:10">
      <c r="A220" s="82" t="s">
        <v>31</v>
      </c>
      <c r="B220" s="145">
        <v>757</v>
      </c>
      <c r="C220" s="84" t="s">
        <v>43</v>
      </c>
      <c r="D220" s="84" t="s">
        <v>18</v>
      </c>
      <c r="E220" s="84" t="s">
        <v>926</v>
      </c>
      <c r="F220" s="84" t="s">
        <v>32</v>
      </c>
      <c r="G220" s="95"/>
      <c r="H220" s="95"/>
      <c r="I220" s="95"/>
    </row>
    <row r="221" spans="1:10" ht="92.25" customHeight="1">
      <c r="A221" s="104" t="s">
        <v>1054</v>
      </c>
      <c r="B221" s="145">
        <v>757</v>
      </c>
      <c r="C221" s="84" t="s">
        <v>43</v>
      </c>
      <c r="D221" s="84" t="s">
        <v>18</v>
      </c>
      <c r="E221" s="84" t="s">
        <v>636</v>
      </c>
      <c r="F221" s="145"/>
      <c r="G221" s="87">
        <f>G222</f>
        <v>1288042.03</v>
      </c>
      <c r="H221" s="87">
        <f t="shared" ref="H221:I221" si="54">H222</f>
        <v>1408557.6</v>
      </c>
      <c r="I221" s="87">
        <f t="shared" si="54"/>
        <v>1408557.6</v>
      </c>
      <c r="J221" s="173"/>
    </row>
    <row r="222" spans="1:10" ht="26.4">
      <c r="A222" s="82" t="s">
        <v>29</v>
      </c>
      <c r="B222" s="145">
        <v>757</v>
      </c>
      <c r="C222" s="84" t="s">
        <v>43</v>
      </c>
      <c r="D222" s="84" t="s">
        <v>18</v>
      </c>
      <c r="E222" s="84" t="s">
        <v>636</v>
      </c>
      <c r="F222" s="84" t="s">
        <v>30</v>
      </c>
      <c r="G222" s="95">
        <f>G223+G224</f>
        <v>1288042.03</v>
      </c>
      <c r="H222" s="95">
        <f t="shared" ref="H222:I222" si="55">H223+H224</f>
        <v>1408557.6</v>
      </c>
      <c r="I222" s="95">
        <f t="shared" si="55"/>
        <v>1408557.6</v>
      </c>
    </row>
    <row r="223" spans="1:10">
      <c r="A223" s="82" t="s">
        <v>31</v>
      </c>
      <c r="B223" s="145">
        <v>757</v>
      </c>
      <c r="C223" s="84" t="s">
        <v>43</v>
      </c>
      <c r="D223" s="84" t="s">
        <v>18</v>
      </c>
      <c r="E223" s="15" t="s">
        <v>636</v>
      </c>
      <c r="F223" s="15" t="s">
        <v>32</v>
      </c>
      <c r="G223" s="25">
        <f>1244542.03-1500</f>
        <v>1243042.03</v>
      </c>
      <c r="H223" s="95">
        <v>1363557.6</v>
      </c>
      <c r="I223" s="95">
        <v>1363557.6</v>
      </c>
    </row>
    <row r="224" spans="1:10">
      <c r="A224" s="82" t="s">
        <v>606</v>
      </c>
      <c r="B224" s="145">
        <v>757</v>
      </c>
      <c r="C224" s="84" t="s">
        <v>43</v>
      </c>
      <c r="D224" s="84" t="s">
        <v>18</v>
      </c>
      <c r="E224" s="15" t="s">
        <v>636</v>
      </c>
      <c r="F224" s="15" t="s">
        <v>605</v>
      </c>
      <c r="G224" s="25">
        <v>45000</v>
      </c>
      <c r="H224" s="95">
        <v>45000</v>
      </c>
      <c r="I224" s="95">
        <v>45000</v>
      </c>
    </row>
    <row r="225" spans="1:10">
      <c r="A225" s="140" t="s">
        <v>46</v>
      </c>
      <c r="B225" s="145">
        <v>757</v>
      </c>
      <c r="C225" s="84" t="s">
        <v>43</v>
      </c>
      <c r="D225" s="84" t="s">
        <v>18</v>
      </c>
      <c r="E225" s="15" t="s">
        <v>193</v>
      </c>
      <c r="F225" s="14"/>
      <c r="G225" s="8">
        <f>G226+G249</f>
        <v>107369487.67</v>
      </c>
      <c r="H225" s="85">
        <f t="shared" ref="H225:I225" si="56">H226+H249</f>
        <v>108357222.24000001</v>
      </c>
      <c r="I225" s="85">
        <f t="shared" si="56"/>
        <v>108883808.34</v>
      </c>
      <c r="J225" s="174"/>
    </row>
    <row r="226" spans="1:10" ht="37.5" customHeight="1">
      <c r="A226" s="82" t="s">
        <v>29</v>
      </c>
      <c r="B226" s="145">
        <v>757</v>
      </c>
      <c r="C226" s="84" t="s">
        <v>43</v>
      </c>
      <c r="D226" s="84" t="s">
        <v>18</v>
      </c>
      <c r="E226" s="15" t="s">
        <v>193</v>
      </c>
      <c r="F226" s="15" t="s">
        <v>30</v>
      </c>
      <c r="G226" s="8">
        <f>G227+G248</f>
        <v>107369487.67</v>
      </c>
      <c r="H226" s="85">
        <f t="shared" ref="H226:I226" si="57">H227+H248</f>
        <v>108357222.24000001</v>
      </c>
      <c r="I226" s="85">
        <f t="shared" si="57"/>
        <v>108883808.34</v>
      </c>
      <c r="J226" s="174"/>
    </row>
    <row r="227" spans="1:10">
      <c r="A227" s="82" t="s">
        <v>31</v>
      </c>
      <c r="B227" s="145">
        <v>757</v>
      </c>
      <c r="C227" s="84" t="s">
        <v>43</v>
      </c>
      <c r="D227" s="84" t="s">
        <v>18</v>
      </c>
      <c r="E227" s="15" t="s">
        <v>193</v>
      </c>
      <c r="F227" s="15" t="s">
        <v>32</v>
      </c>
      <c r="G227" s="8">
        <f>96546053.89+131540.61</f>
        <v>96677594.5</v>
      </c>
      <c r="H227" s="85">
        <f>97615329.98</f>
        <v>97615329.980000004</v>
      </c>
      <c r="I227" s="85">
        <f>98089053.03</f>
        <v>98089053.030000001</v>
      </c>
      <c r="J227" s="174"/>
    </row>
    <row r="228" spans="1:10" ht="82.5" hidden="1" customHeight="1">
      <c r="A228" s="82" t="s">
        <v>548</v>
      </c>
      <c r="B228" s="145">
        <v>757</v>
      </c>
      <c r="C228" s="84" t="s">
        <v>43</v>
      </c>
      <c r="D228" s="84" t="s">
        <v>18</v>
      </c>
      <c r="E228" s="15" t="s">
        <v>547</v>
      </c>
      <c r="F228" s="15"/>
      <c r="G228" s="8">
        <f>G229+G234+G237+G240</f>
        <v>0</v>
      </c>
      <c r="H228" s="85">
        <f t="shared" ref="H228:I228" si="58">H229</f>
        <v>0</v>
      </c>
      <c r="I228" s="85">
        <f t="shared" si="58"/>
        <v>0</v>
      </c>
      <c r="J228" s="174"/>
    </row>
    <row r="229" spans="1:10" ht="91.5" hidden="1" customHeight="1">
      <c r="A229" s="140" t="s">
        <v>546</v>
      </c>
      <c r="B229" s="145">
        <v>757</v>
      </c>
      <c r="C229" s="84" t="s">
        <v>43</v>
      </c>
      <c r="D229" s="84" t="s">
        <v>18</v>
      </c>
      <c r="E229" s="15" t="s">
        <v>545</v>
      </c>
      <c r="F229" s="14"/>
      <c r="G229" s="8">
        <f>G230+G232</f>
        <v>0</v>
      </c>
      <c r="H229" s="87">
        <v>0</v>
      </c>
      <c r="I229" s="87">
        <v>0</v>
      </c>
      <c r="J229" s="173"/>
    </row>
    <row r="230" spans="1:10" ht="25.5" hidden="1" customHeight="1">
      <c r="A230" s="82" t="s">
        <v>29</v>
      </c>
      <c r="B230" s="145">
        <v>757</v>
      </c>
      <c r="C230" s="84" t="s">
        <v>43</v>
      </c>
      <c r="D230" s="84" t="s">
        <v>18</v>
      </c>
      <c r="E230" s="15" t="s">
        <v>545</v>
      </c>
      <c r="F230" s="15" t="s">
        <v>30</v>
      </c>
      <c r="G230" s="8">
        <f>G231</f>
        <v>0</v>
      </c>
      <c r="H230" s="85">
        <f>H231</f>
        <v>0</v>
      </c>
      <c r="I230" s="85">
        <f>I231</f>
        <v>0</v>
      </c>
      <c r="J230" s="174"/>
    </row>
    <row r="231" spans="1:10" ht="12.75" hidden="1" customHeight="1">
      <c r="A231" s="82" t="s">
        <v>31</v>
      </c>
      <c r="B231" s="145">
        <v>757</v>
      </c>
      <c r="C231" s="84" t="s">
        <v>43</v>
      </c>
      <c r="D231" s="84" t="s">
        <v>18</v>
      </c>
      <c r="E231" s="15" t="s">
        <v>545</v>
      </c>
      <c r="F231" s="15" t="s">
        <v>32</v>
      </c>
      <c r="G231" s="8"/>
      <c r="H231" s="87">
        <v>0</v>
      </c>
      <c r="I231" s="87">
        <v>0</v>
      </c>
      <c r="J231" s="173"/>
    </row>
    <row r="232" spans="1:10" ht="12.75" hidden="1" customHeight="1">
      <c r="A232" s="82" t="s">
        <v>152</v>
      </c>
      <c r="B232" s="145">
        <v>757</v>
      </c>
      <c r="C232" s="84" t="s">
        <v>43</v>
      </c>
      <c r="D232" s="84" t="s">
        <v>18</v>
      </c>
      <c r="E232" s="15" t="s">
        <v>545</v>
      </c>
      <c r="F232" s="15" t="s">
        <v>153</v>
      </c>
      <c r="G232" s="8">
        <f>G233</f>
        <v>0</v>
      </c>
      <c r="H232" s="87">
        <v>0</v>
      </c>
      <c r="I232" s="87">
        <v>0</v>
      </c>
      <c r="J232" s="173"/>
    </row>
    <row r="233" spans="1:10" ht="12.75" hidden="1" customHeight="1">
      <c r="A233" s="82" t="s">
        <v>164</v>
      </c>
      <c r="B233" s="145">
        <v>757</v>
      </c>
      <c r="C233" s="84" t="s">
        <v>43</v>
      </c>
      <c r="D233" s="84" t="s">
        <v>18</v>
      </c>
      <c r="E233" s="15" t="s">
        <v>545</v>
      </c>
      <c r="F233" s="15" t="s">
        <v>165</v>
      </c>
      <c r="G233" s="8"/>
      <c r="H233" s="87">
        <v>0</v>
      </c>
      <c r="I233" s="87">
        <v>0</v>
      </c>
      <c r="J233" s="173"/>
    </row>
    <row r="234" spans="1:10" ht="77.25" hidden="1" customHeight="1">
      <c r="A234" s="140" t="s">
        <v>550</v>
      </c>
      <c r="B234" s="145">
        <v>757</v>
      </c>
      <c r="C234" s="84" t="s">
        <v>43</v>
      </c>
      <c r="D234" s="84" t="s">
        <v>18</v>
      </c>
      <c r="E234" s="15" t="s">
        <v>549</v>
      </c>
      <c r="F234" s="14"/>
      <c r="G234" s="8">
        <f>G235</f>
        <v>0</v>
      </c>
      <c r="H234" s="87">
        <v>0</v>
      </c>
      <c r="I234" s="87">
        <v>0</v>
      </c>
      <c r="J234" s="173"/>
    </row>
    <row r="235" spans="1:10" ht="25.5" hidden="1" customHeight="1">
      <c r="A235" s="82" t="s">
        <v>29</v>
      </c>
      <c r="B235" s="145">
        <v>757</v>
      </c>
      <c r="C235" s="84" t="s">
        <v>43</v>
      </c>
      <c r="D235" s="84" t="s">
        <v>18</v>
      </c>
      <c r="E235" s="15" t="s">
        <v>549</v>
      </c>
      <c r="F235" s="15" t="s">
        <v>30</v>
      </c>
      <c r="G235" s="8">
        <f>G236</f>
        <v>0</v>
      </c>
      <c r="H235" s="85">
        <f>H236</f>
        <v>0</v>
      </c>
      <c r="I235" s="85">
        <f>I236</f>
        <v>0</v>
      </c>
      <c r="J235" s="174"/>
    </row>
    <row r="236" spans="1:10" ht="12.75" hidden="1" customHeight="1">
      <c r="A236" s="82" t="s">
        <v>31</v>
      </c>
      <c r="B236" s="145">
        <v>757</v>
      </c>
      <c r="C236" s="84" t="s">
        <v>43</v>
      </c>
      <c r="D236" s="84" t="s">
        <v>18</v>
      </c>
      <c r="E236" s="15" t="s">
        <v>549</v>
      </c>
      <c r="F236" s="15" t="s">
        <v>32</v>
      </c>
      <c r="G236" s="8"/>
      <c r="H236" s="87">
        <v>0</v>
      </c>
      <c r="I236" s="87">
        <v>0</v>
      </c>
      <c r="J236" s="173"/>
    </row>
    <row r="237" spans="1:10" ht="73.5" hidden="1" customHeight="1">
      <c r="A237" s="140" t="s">
        <v>551</v>
      </c>
      <c r="B237" s="145">
        <v>757</v>
      </c>
      <c r="C237" s="84" t="s">
        <v>43</v>
      </c>
      <c r="D237" s="84" t="s">
        <v>18</v>
      </c>
      <c r="E237" s="15" t="s">
        <v>552</v>
      </c>
      <c r="F237" s="14"/>
      <c r="G237" s="8">
        <f>G238</f>
        <v>0</v>
      </c>
      <c r="H237" s="87">
        <v>0</v>
      </c>
      <c r="I237" s="87">
        <v>0</v>
      </c>
      <c r="J237" s="173"/>
    </row>
    <row r="238" spans="1:10" ht="25.5" hidden="1" customHeight="1">
      <c r="A238" s="82" t="s">
        <v>29</v>
      </c>
      <c r="B238" s="145">
        <v>757</v>
      </c>
      <c r="C238" s="84" t="s">
        <v>43</v>
      </c>
      <c r="D238" s="84" t="s">
        <v>18</v>
      </c>
      <c r="E238" s="15" t="s">
        <v>552</v>
      </c>
      <c r="F238" s="15" t="s">
        <v>30</v>
      </c>
      <c r="G238" s="8">
        <f>G239</f>
        <v>0</v>
      </c>
      <c r="H238" s="85">
        <f>H239</f>
        <v>0</v>
      </c>
      <c r="I238" s="85">
        <f>I239</f>
        <v>0</v>
      </c>
      <c r="J238" s="174"/>
    </row>
    <row r="239" spans="1:10" ht="12.75" hidden="1" customHeight="1">
      <c r="A239" s="82" t="s">
        <v>31</v>
      </c>
      <c r="B239" s="145">
        <v>757</v>
      </c>
      <c r="C239" s="84" t="s">
        <v>43</v>
      </c>
      <c r="D239" s="84" t="s">
        <v>18</v>
      </c>
      <c r="E239" s="15" t="s">
        <v>552</v>
      </c>
      <c r="F239" s="15" t="s">
        <v>32</v>
      </c>
      <c r="G239" s="8"/>
      <c r="H239" s="87">
        <v>0</v>
      </c>
      <c r="I239" s="87">
        <v>0</v>
      </c>
      <c r="J239" s="173"/>
    </row>
    <row r="240" spans="1:10" ht="68.25" hidden="1" customHeight="1">
      <c r="A240" s="140" t="s">
        <v>554</v>
      </c>
      <c r="B240" s="145">
        <v>757</v>
      </c>
      <c r="C240" s="84" t="s">
        <v>43</v>
      </c>
      <c r="D240" s="84" t="s">
        <v>18</v>
      </c>
      <c r="E240" s="15" t="s">
        <v>553</v>
      </c>
      <c r="F240" s="14"/>
      <c r="G240" s="8">
        <f>G246+G241</f>
        <v>0</v>
      </c>
      <c r="H240" s="85">
        <f t="shared" ref="H240:I240" si="59">H246+H241</f>
        <v>0</v>
      </c>
      <c r="I240" s="85">
        <f t="shared" si="59"/>
        <v>0</v>
      </c>
      <c r="J240" s="174"/>
    </row>
    <row r="241" spans="1:10" ht="19.5" hidden="1" customHeight="1">
      <c r="A241" s="265" t="s">
        <v>152</v>
      </c>
      <c r="B241" s="145">
        <v>757</v>
      </c>
      <c r="C241" s="84" t="s">
        <v>43</v>
      </c>
      <c r="D241" s="84" t="s">
        <v>18</v>
      </c>
      <c r="E241" s="15" t="s">
        <v>553</v>
      </c>
      <c r="F241" s="14">
        <v>500</v>
      </c>
      <c r="G241" s="8">
        <f>G243</f>
        <v>0</v>
      </c>
      <c r="H241" s="87"/>
      <c r="I241" s="87"/>
      <c r="J241" s="173"/>
    </row>
    <row r="242" spans="1:10" ht="49.5" hidden="1" customHeight="1">
      <c r="A242" s="82"/>
      <c r="B242" s="145"/>
      <c r="C242" s="84"/>
      <c r="D242" s="84"/>
      <c r="E242" s="15"/>
      <c r="F242" s="15"/>
      <c r="G242" s="8"/>
      <c r="H242" s="85"/>
      <c r="I242" s="85"/>
      <c r="J242" s="174"/>
    </row>
    <row r="243" spans="1:10" ht="21.75" hidden="1" customHeight="1">
      <c r="A243" s="265" t="s">
        <v>172</v>
      </c>
      <c r="B243" s="145">
        <v>757</v>
      </c>
      <c r="C243" s="84" t="s">
        <v>43</v>
      </c>
      <c r="D243" s="84" t="s">
        <v>18</v>
      </c>
      <c r="E243" s="15" t="s">
        <v>553</v>
      </c>
      <c r="F243" s="14">
        <v>520</v>
      </c>
      <c r="G243" s="8"/>
      <c r="H243" s="87"/>
      <c r="I243" s="87"/>
      <c r="J243" s="173"/>
    </row>
    <row r="244" spans="1:10" ht="49.5" hidden="1" customHeight="1">
      <c r="A244" s="82"/>
      <c r="B244" s="145"/>
      <c r="C244" s="84"/>
      <c r="D244" s="84"/>
      <c r="E244" s="15"/>
      <c r="F244" s="15"/>
      <c r="G244" s="8"/>
      <c r="H244" s="85"/>
      <c r="I244" s="85"/>
      <c r="J244" s="174"/>
    </row>
    <row r="245" spans="1:10" ht="12.75" hidden="1" customHeight="1">
      <c r="A245" s="82"/>
      <c r="B245" s="145"/>
      <c r="C245" s="84"/>
      <c r="D245" s="84"/>
      <c r="E245" s="15"/>
      <c r="F245" s="15"/>
      <c r="G245" s="8"/>
      <c r="H245" s="85"/>
      <c r="I245" s="85"/>
      <c r="J245" s="174"/>
    </row>
    <row r="246" spans="1:10" ht="12.75" hidden="1" customHeight="1">
      <c r="A246" s="82" t="s">
        <v>62</v>
      </c>
      <c r="B246" s="145">
        <v>757</v>
      </c>
      <c r="C246" s="84" t="s">
        <v>43</v>
      </c>
      <c r="D246" s="84" t="s">
        <v>18</v>
      </c>
      <c r="E246" s="15" t="s">
        <v>553</v>
      </c>
      <c r="F246" s="15" t="s">
        <v>63</v>
      </c>
      <c r="G246" s="8">
        <f>G247</f>
        <v>0</v>
      </c>
      <c r="H246" s="85">
        <f>H247</f>
        <v>0</v>
      </c>
      <c r="I246" s="85">
        <f>I247</f>
        <v>0</v>
      </c>
      <c r="J246" s="174"/>
    </row>
    <row r="247" spans="1:10" ht="12.75" hidden="1" customHeight="1">
      <c r="A247" s="82" t="s">
        <v>174</v>
      </c>
      <c r="B247" s="145">
        <v>757</v>
      </c>
      <c r="C247" s="84" t="s">
        <v>43</v>
      </c>
      <c r="D247" s="84" t="s">
        <v>18</v>
      </c>
      <c r="E247" s="15" t="s">
        <v>553</v>
      </c>
      <c r="F247" s="15" t="s">
        <v>175</v>
      </c>
      <c r="G247" s="8"/>
      <c r="H247" s="87">
        <v>0</v>
      </c>
      <c r="I247" s="87">
        <v>0</v>
      </c>
      <c r="J247" s="173"/>
    </row>
    <row r="248" spans="1:10">
      <c r="A248" s="82" t="s">
        <v>606</v>
      </c>
      <c r="B248" s="145">
        <v>757</v>
      </c>
      <c r="C248" s="84" t="s">
        <v>43</v>
      </c>
      <c r="D248" s="84" t="s">
        <v>18</v>
      </c>
      <c r="E248" s="15" t="s">
        <v>193</v>
      </c>
      <c r="F248" s="15" t="s">
        <v>605</v>
      </c>
      <c r="G248" s="8">
        <v>10691893.17</v>
      </c>
      <c r="H248" s="85">
        <v>10741892.26</v>
      </c>
      <c r="I248" s="85">
        <v>10794755.310000001</v>
      </c>
      <c r="J248" s="174"/>
    </row>
    <row r="249" spans="1:10" hidden="1">
      <c r="A249" s="82" t="s">
        <v>62</v>
      </c>
      <c r="B249" s="145">
        <v>757</v>
      </c>
      <c r="C249" s="84" t="s">
        <v>43</v>
      </c>
      <c r="D249" s="84" t="s">
        <v>18</v>
      </c>
      <c r="E249" s="84" t="s">
        <v>193</v>
      </c>
      <c r="F249" s="84" t="s">
        <v>63</v>
      </c>
      <c r="G249" s="8">
        <f>G250</f>
        <v>0</v>
      </c>
      <c r="H249" s="8">
        <f t="shared" ref="H249:I249" si="60">H250</f>
        <v>0</v>
      </c>
      <c r="I249" s="8">
        <f t="shared" si="60"/>
        <v>0</v>
      </c>
      <c r="J249" s="174"/>
    </row>
    <row r="250" spans="1:10" hidden="1">
      <c r="A250" s="82" t="s">
        <v>174</v>
      </c>
      <c r="B250" s="145">
        <v>757</v>
      </c>
      <c r="C250" s="84" t="s">
        <v>43</v>
      </c>
      <c r="D250" s="84" t="s">
        <v>18</v>
      </c>
      <c r="E250" s="84" t="s">
        <v>193</v>
      </c>
      <c r="F250" s="84" t="s">
        <v>175</v>
      </c>
      <c r="G250" s="8"/>
      <c r="H250" s="85">
        <v>0</v>
      </c>
      <c r="I250" s="85">
        <v>0</v>
      </c>
      <c r="J250" s="174"/>
    </row>
    <row r="251" spans="1:10" ht="31.5" hidden="1" customHeight="1">
      <c r="A251" s="140" t="s">
        <v>781</v>
      </c>
      <c r="B251" s="145">
        <v>757</v>
      </c>
      <c r="C251" s="84" t="s">
        <v>43</v>
      </c>
      <c r="D251" s="84" t="s">
        <v>18</v>
      </c>
      <c r="E251" s="84" t="s">
        <v>714</v>
      </c>
      <c r="F251" s="145"/>
      <c r="G251" s="85">
        <f>G252</f>
        <v>0</v>
      </c>
      <c r="H251" s="85">
        <f t="shared" ref="H251:I251" si="61">H252</f>
        <v>0</v>
      </c>
      <c r="I251" s="85">
        <f t="shared" si="61"/>
        <v>0</v>
      </c>
      <c r="J251" s="174"/>
    </row>
    <row r="252" spans="1:10" ht="38.25" hidden="1" customHeight="1">
      <c r="A252" s="82" t="s">
        <v>29</v>
      </c>
      <c r="B252" s="145">
        <v>757</v>
      </c>
      <c r="C252" s="84" t="s">
        <v>43</v>
      </c>
      <c r="D252" s="84" t="s">
        <v>18</v>
      </c>
      <c r="E252" s="84" t="s">
        <v>714</v>
      </c>
      <c r="F252" s="84" t="s">
        <v>30</v>
      </c>
      <c r="G252" s="85">
        <f>G253</f>
        <v>0</v>
      </c>
      <c r="H252" s="85">
        <f>H253</f>
        <v>0</v>
      </c>
      <c r="I252" s="85">
        <f>I253</f>
        <v>0</v>
      </c>
      <c r="J252" s="174"/>
    </row>
    <row r="253" spans="1:10" hidden="1">
      <c r="A253" s="82" t="s">
        <v>31</v>
      </c>
      <c r="B253" s="145">
        <v>757</v>
      </c>
      <c r="C253" s="84" t="s">
        <v>43</v>
      </c>
      <c r="D253" s="84" t="s">
        <v>18</v>
      </c>
      <c r="E253" s="84" t="s">
        <v>714</v>
      </c>
      <c r="F253" s="84" t="s">
        <v>32</v>
      </c>
      <c r="G253" s="85"/>
      <c r="H253" s="85"/>
      <c r="I253" s="85"/>
      <c r="J253" s="174"/>
    </row>
    <row r="254" spans="1:10" ht="31.5" hidden="1" customHeight="1">
      <c r="A254" s="140" t="s">
        <v>719</v>
      </c>
      <c r="B254" s="145">
        <v>757</v>
      </c>
      <c r="C254" s="84" t="s">
        <v>43</v>
      </c>
      <c r="D254" s="84" t="s">
        <v>18</v>
      </c>
      <c r="E254" s="84" t="s">
        <v>713</v>
      </c>
      <c r="F254" s="145"/>
      <c r="G254" s="85">
        <f>G255</f>
        <v>0</v>
      </c>
      <c r="H254" s="85">
        <f t="shared" ref="H254:I254" si="62">H255</f>
        <v>0</v>
      </c>
      <c r="I254" s="85">
        <f t="shared" si="62"/>
        <v>0</v>
      </c>
      <c r="J254" s="174"/>
    </row>
    <row r="255" spans="1:10" ht="49.5" hidden="1" customHeight="1">
      <c r="A255" s="82" t="s">
        <v>29</v>
      </c>
      <c r="B255" s="145">
        <v>757</v>
      </c>
      <c r="C255" s="84" t="s">
        <v>43</v>
      </c>
      <c r="D255" s="84" t="s">
        <v>18</v>
      </c>
      <c r="E255" s="84" t="s">
        <v>713</v>
      </c>
      <c r="F255" s="84" t="s">
        <v>30</v>
      </c>
      <c r="G255" s="85">
        <f>G256</f>
        <v>0</v>
      </c>
      <c r="H255" s="85">
        <f>H256</f>
        <v>0</v>
      </c>
      <c r="I255" s="85">
        <f>I256</f>
        <v>0</v>
      </c>
      <c r="J255" s="174"/>
    </row>
    <row r="256" spans="1:10" hidden="1">
      <c r="A256" s="82" t="s">
        <v>31</v>
      </c>
      <c r="B256" s="145">
        <v>757</v>
      </c>
      <c r="C256" s="84" t="s">
        <v>43</v>
      </c>
      <c r="D256" s="84" t="s">
        <v>18</v>
      </c>
      <c r="E256" s="84" t="s">
        <v>713</v>
      </c>
      <c r="F256" s="84" t="s">
        <v>32</v>
      </c>
      <c r="G256" s="85"/>
      <c r="H256" s="85"/>
      <c r="I256" s="85"/>
      <c r="J256" s="174"/>
    </row>
    <row r="257" spans="1:18" ht="38.25" hidden="1" customHeight="1">
      <c r="A257" s="140" t="s">
        <v>718</v>
      </c>
      <c r="B257" s="145">
        <v>757</v>
      </c>
      <c r="C257" s="84" t="s">
        <v>43</v>
      </c>
      <c r="D257" s="84" t="s">
        <v>18</v>
      </c>
      <c r="E257" s="84" t="s">
        <v>717</v>
      </c>
      <c r="F257" s="145"/>
      <c r="G257" s="85">
        <f>G258</f>
        <v>0</v>
      </c>
      <c r="H257" s="85">
        <f t="shared" ref="H257:I257" si="63">H258</f>
        <v>0</v>
      </c>
      <c r="I257" s="85">
        <f t="shared" si="63"/>
        <v>0</v>
      </c>
      <c r="J257" s="174"/>
    </row>
    <row r="258" spans="1:18" ht="37.5" hidden="1" customHeight="1">
      <c r="A258" s="82" t="s">
        <v>29</v>
      </c>
      <c r="B258" s="145">
        <v>757</v>
      </c>
      <c r="C258" s="84" t="s">
        <v>43</v>
      </c>
      <c r="D258" s="84" t="s">
        <v>18</v>
      </c>
      <c r="E258" s="84" t="s">
        <v>717</v>
      </c>
      <c r="F258" s="84" t="s">
        <v>30</v>
      </c>
      <c r="G258" s="85">
        <f>G259</f>
        <v>0</v>
      </c>
      <c r="H258" s="85">
        <f>H259</f>
        <v>0</v>
      </c>
      <c r="I258" s="85">
        <f>I259</f>
        <v>0</v>
      </c>
      <c r="J258" s="174"/>
    </row>
    <row r="259" spans="1:18" hidden="1">
      <c r="A259" s="82" t="s">
        <v>31</v>
      </c>
      <c r="B259" s="145">
        <v>757</v>
      </c>
      <c r="C259" s="84" t="s">
        <v>43</v>
      </c>
      <c r="D259" s="84" t="s">
        <v>18</v>
      </c>
      <c r="E259" s="84" t="s">
        <v>717</v>
      </c>
      <c r="F259" s="84" t="s">
        <v>32</v>
      </c>
      <c r="G259" s="85"/>
      <c r="H259" s="85"/>
      <c r="I259" s="85"/>
      <c r="J259" s="174"/>
    </row>
    <row r="260" spans="1:18" ht="54.75" hidden="1" customHeight="1">
      <c r="A260" s="140" t="s">
        <v>749</v>
      </c>
      <c r="B260" s="145">
        <v>757</v>
      </c>
      <c r="C260" s="84" t="s">
        <v>43</v>
      </c>
      <c r="D260" s="84" t="s">
        <v>18</v>
      </c>
      <c r="E260" s="84" t="s">
        <v>748</v>
      </c>
      <c r="F260" s="145"/>
      <c r="G260" s="85">
        <f>G261</f>
        <v>0</v>
      </c>
      <c r="H260" s="85">
        <f t="shared" ref="H260:I260" si="64">H261</f>
        <v>0</v>
      </c>
      <c r="I260" s="85">
        <f t="shared" si="64"/>
        <v>0</v>
      </c>
      <c r="J260" s="174"/>
    </row>
    <row r="261" spans="1:18" ht="49.5" hidden="1" customHeight="1">
      <c r="A261" s="82" t="s">
        <v>29</v>
      </c>
      <c r="B261" s="145">
        <v>757</v>
      </c>
      <c r="C261" s="84" t="s">
        <v>43</v>
      </c>
      <c r="D261" s="84" t="s">
        <v>18</v>
      </c>
      <c r="E261" s="84" t="s">
        <v>748</v>
      </c>
      <c r="F261" s="84" t="s">
        <v>30</v>
      </c>
      <c r="G261" s="85">
        <f>G262</f>
        <v>0</v>
      </c>
      <c r="H261" s="85">
        <f>H262</f>
        <v>0</v>
      </c>
      <c r="I261" s="85">
        <f>I262</f>
        <v>0</v>
      </c>
      <c r="J261" s="174"/>
    </row>
    <row r="262" spans="1:18" hidden="1">
      <c r="A262" s="82" t="s">
        <v>31</v>
      </c>
      <c r="B262" s="145">
        <v>757</v>
      </c>
      <c r="C262" s="84" t="s">
        <v>43</v>
      </c>
      <c r="D262" s="84" t="s">
        <v>18</v>
      </c>
      <c r="E262" s="84" t="s">
        <v>748</v>
      </c>
      <c r="F262" s="84" t="s">
        <v>32</v>
      </c>
      <c r="G262" s="85"/>
      <c r="H262" s="85"/>
      <c r="I262" s="85"/>
      <c r="J262" s="174"/>
    </row>
    <row r="263" spans="1:18" s="90" customFormat="1" ht="52.8">
      <c r="A263" s="140" t="s">
        <v>1437</v>
      </c>
      <c r="B263" s="145">
        <v>757</v>
      </c>
      <c r="C263" s="84" t="s">
        <v>43</v>
      </c>
      <c r="D263" s="84" t="s">
        <v>18</v>
      </c>
      <c r="E263" s="84" t="s">
        <v>1436</v>
      </c>
      <c r="F263" s="145"/>
      <c r="G263" s="85">
        <f>G264+G290</f>
        <v>0</v>
      </c>
      <c r="H263" s="85">
        <f t="shared" ref="H263:I263" si="65">H264+H290</f>
        <v>0</v>
      </c>
      <c r="I263" s="85">
        <f t="shared" si="65"/>
        <v>0</v>
      </c>
      <c r="J263" s="174"/>
      <c r="K263" s="181"/>
      <c r="L263" s="181"/>
      <c r="M263" s="181"/>
      <c r="N263" s="181"/>
      <c r="O263" s="181"/>
      <c r="P263" s="181"/>
      <c r="Q263" s="181"/>
      <c r="R263" s="181"/>
    </row>
    <row r="264" spans="1:18" s="90" customFormat="1" ht="37.5" customHeight="1">
      <c r="A264" s="82" t="s">
        <v>29</v>
      </c>
      <c r="B264" s="145">
        <v>757</v>
      </c>
      <c r="C264" s="84" t="s">
        <v>43</v>
      </c>
      <c r="D264" s="84" t="s">
        <v>18</v>
      </c>
      <c r="E264" s="84" t="s">
        <v>1436</v>
      </c>
      <c r="F264" s="84" t="s">
        <v>63</v>
      </c>
      <c r="G264" s="85">
        <f>G265+G289</f>
        <v>0</v>
      </c>
      <c r="H264" s="85">
        <f t="shared" ref="H264:I264" si="66">H265+H289</f>
        <v>0</v>
      </c>
      <c r="I264" s="85">
        <f t="shared" si="66"/>
        <v>0</v>
      </c>
      <c r="J264" s="174"/>
      <c r="K264" s="181"/>
      <c r="L264" s="181"/>
      <c r="M264" s="181"/>
      <c r="N264" s="181"/>
      <c r="O264" s="181"/>
      <c r="P264" s="181"/>
      <c r="Q264" s="181"/>
      <c r="R264" s="181"/>
    </row>
    <row r="265" spans="1:18" s="90" customFormat="1">
      <c r="A265" s="82" t="s">
        <v>174</v>
      </c>
      <c r="B265" s="145">
        <v>757</v>
      </c>
      <c r="C265" s="84" t="s">
        <v>43</v>
      </c>
      <c r="D265" s="84" t="s">
        <v>18</v>
      </c>
      <c r="E265" s="84" t="s">
        <v>1436</v>
      </c>
      <c r="F265" s="84" t="s">
        <v>175</v>
      </c>
      <c r="G265" s="85">
        <f>131540.61-131540.61</f>
        <v>0</v>
      </c>
      <c r="H265" s="85"/>
      <c r="I265" s="85"/>
      <c r="J265" s="174"/>
      <c r="K265" s="181"/>
      <c r="L265" s="181"/>
      <c r="M265" s="181"/>
      <c r="N265" s="181"/>
      <c r="O265" s="181"/>
      <c r="P265" s="181"/>
      <c r="Q265" s="181"/>
      <c r="R265" s="181"/>
    </row>
    <row r="266" spans="1:18" ht="21" customHeight="1">
      <c r="A266" s="132" t="s">
        <v>1257</v>
      </c>
      <c r="B266" s="145">
        <v>757</v>
      </c>
      <c r="C266" s="84" t="s">
        <v>43</v>
      </c>
      <c r="D266" s="84" t="s">
        <v>18</v>
      </c>
      <c r="E266" s="15" t="s">
        <v>1256</v>
      </c>
      <c r="F266" s="145"/>
      <c r="G266" s="85">
        <f>G267</f>
        <v>8800</v>
      </c>
      <c r="H266" s="85">
        <f t="shared" ref="H266:I266" si="67">H267</f>
        <v>123626.37</v>
      </c>
      <c r="I266" s="85">
        <f t="shared" si="67"/>
        <v>0</v>
      </c>
      <c r="J266" s="174"/>
    </row>
    <row r="267" spans="1:18" ht="33" customHeight="1">
      <c r="A267" s="82" t="s">
        <v>29</v>
      </c>
      <c r="B267" s="145">
        <v>757</v>
      </c>
      <c r="C267" s="84" t="s">
        <v>43</v>
      </c>
      <c r="D267" s="84" t="s">
        <v>18</v>
      </c>
      <c r="E267" s="15" t="s">
        <v>1256</v>
      </c>
      <c r="F267" s="84" t="s">
        <v>30</v>
      </c>
      <c r="G267" s="85">
        <f>G268</f>
        <v>8800</v>
      </c>
      <c r="H267" s="85">
        <f>H268</f>
        <v>123626.37</v>
      </c>
      <c r="I267" s="85">
        <f>I268</f>
        <v>0</v>
      </c>
      <c r="J267" s="174"/>
    </row>
    <row r="268" spans="1:18">
      <c r="A268" s="82" t="s">
        <v>31</v>
      </c>
      <c r="B268" s="145">
        <v>757</v>
      </c>
      <c r="C268" s="84" t="s">
        <v>43</v>
      </c>
      <c r="D268" s="84" t="s">
        <v>18</v>
      </c>
      <c r="E268" s="15" t="s">
        <v>1256</v>
      </c>
      <c r="F268" s="84" t="s">
        <v>32</v>
      </c>
      <c r="G268" s="8">
        <v>8800</v>
      </c>
      <c r="H268" s="85">
        <v>123626.37</v>
      </c>
      <c r="I268" s="85">
        <v>0</v>
      </c>
      <c r="J268" s="174"/>
    </row>
    <row r="269" spans="1:18" ht="21" customHeight="1">
      <c r="A269" s="132" t="s">
        <v>924</v>
      </c>
      <c r="B269" s="145">
        <v>757</v>
      </c>
      <c r="C269" s="84" t="s">
        <v>43</v>
      </c>
      <c r="D269" s="84" t="s">
        <v>18</v>
      </c>
      <c r="E269" s="84" t="s">
        <v>923</v>
      </c>
      <c r="F269" s="145"/>
      <c r="G269" s="85">
        <f>G270</f>
        <v>412011.16</v>
      </c>
      <c r="H269" s="85">
        <f t="shared" ref="H269:I269" si="68">H270</f>
        <v>0</v>
      </c>
      <c r="I269" s="85">
        <f t="shared" si="68"/>
        <v>0</v>
      </c>
      <c r="J269" s="174"/>
    </row>
    <row r="270" spans="1:18" ht="33" customHeight="1">
      <c r="A270" s="82" t="s">
        <v>29</v>
      </c>
      <c r="B270" s="145">
        <v>757</v>
      </c>
      <c r="C270" s="84" t="s">
        <v>43</v>
      </c>
      <c r="D270" s="84" t="s">
        <v>18</v>
      </c>
      <c r="E270" s="84" t="s">
        <v>923</v>
      </c>
      <c r="F270" s="84" t="s">
        <v>30</v>
      </c>
      <c r="G270" s="85">
        <f>G271</f>
        <v>412011.16</v>
      </c>
      <c r="H270" s="85">
        <f>H271</f>
        <v>0</v>
      </c>
      <c r="I270" s="85">
        <f>I271</f>
        <v>0</v>
      </c>
      <c r="J270" s="174"/>
    </row>
    <row r="271" spans="1:18">
      <c r="A271" s="82" t="s">
        <v>31</v>
      </c>
      <c r="B271" s="145">
        <v>757</v>
      </c>
      <c r="C271" s="84" t="s">
        <v>43</v>
      </c>
      <c r="D271" s="84" t="s">
        <v>18</v>
      </c>
      <c r="E271" s="84" t="s">
        <v>923</v>
      </c>
      <c r="F271" s="84" t="s">
        <v>32</v>
      </c>
      <c r="G271" s="8">
        <v>412011.16</v>
      </c>
      <c r="H271" s="85">
        <v>0</v>
      </c>
      <c r="I271" s="85">
        <v>0</v>
      </c>
      <c r="J271" s="174"/>
    </row>
    <row r="272" spans="1:18" s="3" customFormat="1" ht="15" customHeight="1">
      <c r="A272" s="137" t="s">
        <v>47</v>
      </c>
      <c r="B272" s="145">
        <v>757</v>
      </c>
      <c r="C272" s="84" t="s">
        <v>43</v>
      </c>
      <c r="D272" s="84" t="s">
        <v>18</v>
      </c>
      <c r="E272" s="84" t="s">
        <v>194</v>
      </c>
      <c r="F272" s="84"/>
      <c r="G272" s="25">
        <f>G273</f>
        <v>9502957.3100000005</v>
      </c>
      <c r="H272" s="95">
        <f t="shared" ref="G272:I283" si="69">H273</f>
        <v>9564691.3900000006</v>
      </c>
      <c r="I272" s="95">
        <f t="shared" si="69"/>
        <v>9589718.25</v>
      </c>
      <c r="J272" s="175"/>
      <c r="K272" s="194"/>
      <c r="L272" s="194"/>
      <c r="M272" s="194"/>
      <c r="N272" s="194"/>
      <c r="O272" s="194"/>
      <c r="P272" s="194"/>
      <c r="Q272" s="194"/>
      <c r="R272" s="194"/>
    </row>
    <row r="273" spans="1:18" ht="26.4">
      <c r="A273" s="82" t="s">
        <v>29</v>
      </c>
      <c r="B273" s="145">
        <v>757</v>
      </c>
      <c r="C273" s="84" t="s">
        <v>43</v>
      </c>
      <c r="D273" s="84" t="s">
        <v>18</v>
      </c>
      <c r="E273" s="84" t="s">
        <v>194</v>
      </c>
      <c r="F273" s="84" t="s">
        <v>30</v>
      </c>
      <c r="G273" s="8">
        <f t="shared" si="69"/>
        <v>9502957.3100000005</v>
      </c>
      <c r="H273" s="85">
        <f t="shared" si="69"/>
        <v>9564691.3900000006</v>
      </c>
      <c r="I273" s="85">
        <f t="shared" si="69"/>
        <v>9589718.25</v>
      </c>
      <c r="J273" s="174"/>
    </row>
    <row r="274" spans="1:18">
      <c r="A274" s="82" t="s">
        <v>31</v>
      </c>
      <c r="B274" s="145">
        <v>757</v>
      </c>
      <c r="C274" s="84" t="s">
        <v>43</v>
      </c>
      <c r="D274" s="84" t="s">
        <v>18</v>
      </c>
      <c r="E274" s="84" t="s">
        <v>194</v>
      </c>
      <c r="F274" s="84" t="s">
        <v>32</v>
      </c>
      <c r="G274" s="8">
        <v>9502957.3100000005</v>
      </c>
      <c r="H274" s="85">
        <v>9564691.3900000006</v>
      </c>
      <c r="I274" s="85">
        <v>9589718.25</v>
      </c>
      <c r="J274" s="174"/>
    </row>
    <row r="275" spans="1:18" s="3" customFormat="1" ht="22.5" customHeight="1">
      <c r="A275" s="137" t="s">
        <v>1459</v>
      </c>
      <c r="B275" s="145">
        <v>757</v>
      </c>
      <c r="C275" s="84" t="s">
        <v>43</v>
      </c>
      <c r="D275" s="84" t="s">
        <v>18</v>
      </c>
      <c r="E275" s="84" t="s">
        <v>1458</v>
      </c>
      <c r="F275" s="84"/>
      <c r="G275" s="25">
        <f>G276</f>
        <v>733625</v>
      </c>
      <c r="H275" s="95">
        <f t="shared" si="69"/>
        <v>0</v>
      </c>
      <c r="I275" s="95">
        <f t="shared" si="69"/>
        <v>0</v>
      </c>
      <c r="J275" s="175"/>
      <c r="K275" s="194"/>
      <c r="L275" s="194"/>
      <c r="M275" s="194"/>
      <c r="N275" s="194"/>
      <c r="O275" s="194"/>
      <c r="P275" s="194"/>
      <c r="Q275" s="194"/>
      <c r="R275" s="194"/>
    </row>
    <row r="276" spans="1:18" ht="26.4">
      <c r="A276" s="82" t="s">
        <v>29</v>
      </c>
      <c r="B276" s="145">
        <v>757</v>
      </c>
      <c r="C276" s="84" t="s">
        <v>43</v>
      </c>
      <c r="D276" s="84" t="s">
        <v>18</v>
      </c>
      <c r="E276" s="84" t="s">
        <v>1458</v>
      </c>
      <c r="F276" s="84" t="s">
        <v>30</v>
      </c>
      <c r="G276" s="8">
        <f t="shared" si="69"/>
        <v>733625</v>
      </c>
      <c r="H276" s="85">
        <f t="shared" si="69"/>
        <v>0</v>
      </c>
      <c r="I276" s="85">
        <f t="shared" si="69"/>
        <v>0</v>
      </c>
      <c r="J276" s="174"/>
    </row>
    <row r="277" spans="1:18">
      <c r="A277" s="82" t="s">
        <v>31</v>
      </c>
      <c r="B277" s="145">
        <v>757</v>
      </c>
      <c r="C277" s="84" t="s">
        <v>43</v>
      </c>
      <c r="D277" s="84" t="s">
        <v>18</v>
      </c>
      <c r="E277" s="84" t="s">
        <v>1458</v>
      </c>
      <c r="F277" s="84" t="s">
        <v>32</v>
      </c>
      <c r="G277" s="8">
        <v>733625</v>
      </c>
      <c r="H277" s="85"/>
      <c r="I277" s="85">
        <v>0</v>
      </c>
      <c r="J277" s="174"/>
    </row>
    <row r="278" spans="1:18" s="3" customFormat="1" ht="43.5" customHeight="1">
      <c r="A278" s="137" t="s">
        <v>1524</v>
      </c>
      <c r="B278" s="145">
        <v>757</v>
      </c>
      <c r="C278" s="84" t="s">
        <v>43</v>
      </c>
      <c r="D278" s="84" t="s">
        <v>18</v>
      </c>
      <c r="E278" s="84" t="s">
        <v>1523</v>
      </c>
      <c r="F278" s="84"/>
      <c r="G278" s="25">
        <f>G279</f>
        <v>226000</v>
      </c>
      <c r="H278" s="95">
        <f t="shared" si="69"/>
        <v>0</v>
      </c>
      <c r="I278" s="95">
        <f t="shared" si="69"/>
        <v>0</v>
      </c>
      <c r="J278" s="175"/>
      <c r="K278" s="194"/>
      <c r="L278" s="194"/>
      <c r="M278" s="194"/>
      <c r="N278" s="194"/>
      <c r="O278" s="194"/>
      <c r="P278" s="194"/>
      <c r="Q278" s="194"/>
      <c r="R278" s="194"/>
    </row>
    <row r="279" spans="1:18" ht="26.4">
      <c r="A279" s="82" t="s">
        <v>29</v>
      </c>
      <c r="B279" s="145">
        <v>757</v>
      </c>
      <c r="C279" s="84" t="s">
        <v>43</v>
      </c>
      <c r="D279" s="84" t="s">
        <v>18</v>
      </c>
      <c r="E279" s="84" t="s">
        <v>1523</v>
      </c>
      <c r="F279" s="84" t="s">
        <v>30</v>
      </c>
      <c r="G279" s="8">
        <f t="shared" si="69"/>
        <v>226000</v>
      </c>
      <c r="H279" s="85">
        <f t="shared" si="69"/>
        <v>0</v>
      </c>
      <c r="I279" s="85">
        <f t="shared" si="69"/>
        <v>0</v>
      </c>
      <c r="J279" s="174"/>
    </row>
    <row r="280" spans="1:18">
      <c r="A280" s="82" t="s">
        <v>31</v>
      </c>
      <c r="B280" s="145">
        <v>757</v>
      </c>
      <c r="C280" s="84" t="s">
        <v>43</v>
      </c>
      <c r="D280" s="84" t="s">
        <v>18</v>
      </c>
      <c r="E280" s="84" t="s">
        <v>1523</v>
      </c>
      <c r="F280" s="84" t="s">
        <v>32</v>
      </c>
      <c r="G280" s="8">
        <v>226000</v>
      </c>
      <c r="H280" s="85"/>
      <c r="I280" s="85">
        <v>0</v>
      </c>
      <c r="J280" s="174"/>
    </row>
    <row r="281" spans="1:18" ht="27.75" customHeight="1">
      <c r="A281" s="82" t="s">
        <v>878</v>
      </c>
      <c r="B281" s="145">
        <v>757</v>
      </c>
      <c r="C281" s="84" t="s">
        <v>43</v>
      </c>
      <c r="D281" s="84" t="s">
        <v>18</v>
      </c>
      <c r="E281" s="84" t="s">
        <v>879</v>
      </c>
      <c r="F281" s="84"/>
      <c r="G281" s="8">
        <f>G282</f>
        <v>0</v>
      </c>
      <c r="H281" s="85">
        <f t="shared" ref="H281:I281" si="70">H282</f>
        <v>0</v>
      </c>
      <c r="I281" s="85">
        <f t="shared" si="70"/>
        <v>0</v>
      </c>
      <c r="J281" s="174"/>
    </row>
    <row r="282" spans="1:18" s="3" customFormat="1" ht="27.75" customHeight="1">
      <c r="A282" s="137" t="s">
        <v>849</v>
      </c>
      <c r="B282" s="145">
        <v>757</v>
      </c>
      <c r="C282" s="84" t="s">
        <v>43</v>
      </c>
      <c r="D282" s="84" t="s">
        <v>18</v>
      </c>
      <c r="E282" s="84" t="s">
        <v>877</v>
      </c>
      <c r="F282" s="84"/>
      <c r="G282" s="25">
        <f>G283</f>
        <v>0</v>
      </c>
      <c r="H282" s="95">
        <f t="shared" si="69"/>
        <v>0</v>
      </c>
      <c r="I282" s="95">
        <f t="shared" si="69"/>
        <v>0</v>
      </c>
      <c r="J282" s="175"/>
      <c r="K282" s="194"/>
      <c r="L282" s="194"/>
      <c r="M282" s="194"/>
      <c r="N282" s="194"/>
      <c r="O282" s="194"/>
      <c r="P282" s="194"/>
      <c r="Q282" s="194"/>
      <c r="R282" s="194"/>
    </row>
    <row r="283" spans="1:18" ht="26.4">
      <c r="A283" s="82" t="s">
        <v>29</v>
      </c>
      <c r="B283" s="145">
        <v>757</v>
      </c>
      <c r="C283" s="84" t="s">
        <v>43</v>
      </c>
      <c r="D283" s="84" t="s">
        <v>18</v>
      </c>
      <c r="E283" s="84" t="s">
        <v>877</v>
      </c>
      <c r="F283" s="84" t="s">
        <v>30</v>
      </c>
      <c r="G283" s="8">
        <f t="shared" si="69"/>
        <v>0</v>
      </c>
      <c r="H283" s="85">
        <f t="shared" si="69"/>
        <v>0</v>
      </c>
      <c r="I283" s="85">
        <f t="shared" si="69"/>
        <v>0</v>
      </c>
      <c r="J283" s="174"/>
    </row>
    <row r="284" spans="1:18">
      <c r="A284" s="82" t="s">
        <v>31</v>
      </c>
      <c r="B284" s="145">
        <v>757</v>
      </c>
      <c r="C284" s="84" t="s">
        <v>43</v>
      </c>
      <c r="D284" s="84" t="s">
        <v>18</v>
      </c>
      <c r="E284" s="84" t="s">
        <v>877</v>
      </c>
      <c r="F284" s="84" t="s">
        <v>32</v>
      </c>
      <c r="G284" s="8"/>
      <c r="H284" s="85"/>
      <c r="I284" s="85"/>
      <c r="J284" s="174"/>
    </row>
    <row r="285" spans="1:18" s="3" customFormat="1" ht="15" customHeight="1">
      <c r="A285" s="138" t="s">
        <v>48</v>
      </c>
      <c r="B285" s="145">
        <v>757</v>
      </c>
      <c r="C285" s="84" t="s">
        <v>43</v>
      </c>
      <c r="D285" s="84" t="s">
        <v>18</v>
      </c>
      <c r="E285" s="84" t="s">
        <v>195</v>
      </c>
      <c r="F285" s="84"/>
      <c r="G285" s="25">
        <f>G286+G300</f>
        <v>48019310.350000001</v>
      </c>
      <c r="H285" s="95">
        <f t="shared" ref="H285:I285" si="71">H286</f>
        <v>47968600</v>
      </c>
      <c r="I285" s="95">
        <f t="shared" si="71"/>
        <v>48135357.950000003</v>
      </c>
      <c r="J285" s="175"/>
      <c r="K285" s="194"/>
      <c r="L285" s="194"/>
      <c r="M285" s="194"/>
      <c r="N285" s="194"/>
      <c r="O285" s="194"/>
      <c r="P285" s="194"/>
      <c r="Q285" s="194"/>
      <c r="R285" s="194"/>
    </row>
    <row r="286" spans="1:18" ht="26.4">
      <c r="A286" s="82" t="s">
        <v>29</v>
      </c>
      <c r="B286" s="145">
        <v>757</v>
      </c>
      <c r="C286" s="84" t="s">
        <v>43</v>
      </c>
      <c r="D286" s="84" t="s">
        <v>18</v>
      </c>
      <c r="E286" s="84" t="s">
        <v>195</v>
      </c>
      <c r="F286" s="84" t="s">
        <v>30</v>
      </c>
      <c r="G286" s="8">
        <f>G287+G299</f>
        <v>48019310.350000001</v>
      </c>
      <c r="H286" s="85">
        <f t="shared" ref="H286:I286" si="72">H287+H299</f>
        <v>47968600</v>
      </c>
      <c r="I286" s="85">
        <f t="shared" si="72"/>
        <v>48135357.950000003</v>
      </c>
      <c r="J286" s="174"/>
    </row>
    <row r="287" spans="1:18">
      <c r="A287" s="82" t="s">
        <v>31</v>
      </c>
      <c r="B287" s="145">
        <v>757</v>
      </c>
      <c r="C287" s="84" t="s">
        <v>43</v>
      </c>
      <c r="D287" s="84" t="s">
        <v>18</v>
      </c>
      <c r="E287" s="84" t="s">
        <v>195</v>
      </c>
      <c r="F287" s="84" t="s">
        <v>32</v>
      </c>
      <c r="G287" s="8">
        <v>48019310.350000001</v>
      </c>
      <c r="H287" s="85">
        <v>47968600</v>
      </c>
      <c r="I287" s="85">
        <v>48135357.950000003</v>
      </c>
      <c r="J287" s="174"/>
    </row>
    <row r="288" spans="1:18" ht="36" hidden="1" customHeight="1">
      <c r="A288" s="82" t="s">
        <v>517</v>
      </c>
      <c r="B288" s="145">
        <v>757</v>
      </c>
      <c r="C288" s="84" t="s">
        <v>43</v>
      </c>
      <c r="D288" s="84" t="s">
        <v>18</v>
      </c>
      <c r="E288" s="84" t="s">
        <v>518</v>
      </c>
      <c r="F288" s="84"/>
      <c r="G288" s="87">
        <f>G290</f>
        <v>0</v>
      </c>
      <c r="H288" s="87">
        <v>0</v>
      </c>
      <c r="I288" s="87">
        <v>0</v>
      </c>
      <c r="J288" s="173"/>
    </row>
    <row r="289" spans="1:10" ht="36" hidden="1" customHeight="1">
      <c r="A289" s="82" t="s">
        <v>29</v>
      </c>
      <c r="B289" s="145">
        <v>757</v>
      </c>
      <c r="C289" s="84" t="s">
        <v>43</v>
      </c>
      <c r="D289" s="84" t="s">
        <v>18</v>
      </c>
      <c r="E289" s="84" t="s">
        <v>518</v>
      </c>
      <c r="F289" s="84" t="s">
        <v>30</v>
      </c>
      <c r="G289" s="87">
        <f>G290</f>
        <v>0</v>
      </c>
      <c r="H289" s="87">
        <v>0</v>
      </c>
      <c r="I289" s="87">
        <v>0</v>
      </c>
      <c r="J289" s="173"/>
    </row>
    <row r="290" spans="1:10" ht="19.5" hidden="1" customHeight="1">
      <c r="A290" s="82" t="s">
        <v>31</v>
      </c>
      <c r="B290" s="145">
        <v>757</v>
      </c>
      <c r="C290" s="84" t="s">
        <v>43</v>
      </c>
      <c r="D290" s="84" t="s">
        <v>18</v>
      </c>
      <c r="E290" s="84" t="s">
        <v>518</v>
      </c>
      <c r="F290" s="84" t="s">
        <v>32</v>
      </c>
      <c r="G290" s="87"/>
      <c r="H290" s="87">
        <v>0</v>
      </c>
      <c r="I290" s="87">
        <v>0</v>
      </c>
      <c r="J290" s="173"/>
    </row>
    <row r="291" spans="1:10" ht="79.2" hidden="1">
      <c r="A291" s="82" t="s">
        <v>382</v>
      </c>
      <c r="B291" s="145">
        <v>757</v>
      </c>
      <c r="C291" s="84" t="s">
        <v>43</v>
      </c>
      <c r="D291" s="84" t="s">
        <v>18</v>
      </c>
      <c r="E291" s="84" t="s">
        <v>381</v>
      </c>
      <c r="F291" s="84"/>
      <c r="G291" s="85">
        <f>G292</f>
        <v>0</v>
      </c>
      <c r="H291" s="85">
        <f>H292</f>
        <v>0</v>
      </c>
      <c r="I291" s="85">
        <f>I292</f>
        <v>0</v>
      </c>
      <c r="J291" s="174"/>
    </row>
    <row r="292" spans="1:10" hidden="1">
      <c r="A292" s="82" t="s">
        <v>31</v>
      </c>
      <c r="B292" s="145">
        <v>757</v>
      </c>
      <c r="C292" s="84" t="s">
        <v>43</v>
      </c>
      <c r="D292" s="84" t="s">
        <v>18</v>
      </c>
      <c r="E292" s="84" t="s">
        <v>381</v>
      </c>
      <c r="F292" s="84" t="s">
        <v>32</v>
      </c>
      <c r="G292" s="85"/>
      <c r="H292" s="85"/>
      <c r="I292" s="85"/>
      <c r="J292" s="174"/>
    </row>
    <row r="293" spans="1:10" ht="19.5" hidden="1" customHeight="1">
      <c r="A293" s="82" t="s">
        <v>380</v>
      </c>
      <c r="B293" s="145">
        <v>757</v>
      </c>
      <c r="C293" s="84" t="s">
        <v>43</v>
      </c>
      <c r="D293" s="84" t="s">
        <v>18</v>
      </c>
      <c r="E293" s="84" t="s">
        <v>123</v>
      </c>
      <c r="F293" s="84"/>
      <c r="G293" s="87">
        <f>G294</f>
        <v>0</v>
      </c>
      <c r="H293" s="87">
        <v>0</v>
      </c>
      <c r="I293" s="87">
        <v>0</v>
      </c>
      <c r="J293" s="173"/>
    </row>
    <row r="294" spans="1:10" ht="39.75" hidden="1" customHeight="1">
      <c r="A294" s="82" t="s">
        <v>29</v>
      </c>
      <c r="B294" s="145">
        <v>757</v>
      </c>
      <c r="C294" s="84" t="s">
        <v>43</v>
      </c>
      <c r="D294" s="84" t="s">
        <v>18</v>
      </c>
      <c r="E294" s="84" t="s">
        <v>123</v>
      </c>
      <c r="F294" s="84" t="s">
        <v>30</v>
      </c>
      <c r="G294" s="87">
        <f>G295</f>
        <v>0</v>
      </c>
      <c r="H294" s="87">
        <v>0</v>
      </c>
      <c r="I294" s="87">
        <v>0</v>
      </c>
      <c r="J294" s="173"/>
    </row>
    <row r="295" spans="1:10" ht="20.25" hidden="1" customHeight="1">
      <c r="A295" s="82" t="s">
        <v>31</v>
      </c>
      <c r="B295" s="145">
        <v>757</v>
      </c>
      <c r="C295" s="84" t="s">
        <v>43</v>
      </c>
      <c r="D295" s="84" t="s">
        <v>18</v>
      </c>
      <c r="E295" s="84" t="s">
        <v>123</v>
      </c>
      <c r="F295" s="84" t="s">
        <v>32</v>
      </c>
      <c r="G295" s="87"/>
      <c r="H295" s="87">
        <v>0</v>
      </c>
      <c r="I295" s="87">
        <v>0</v>
      </c>
      <c r="J295" s="173"/>
    </row>
    <row r="296" spans="1:10" ht="39" hidden="1" customHeight="1">
      <c r="A296" s="82" t="s">
        <v>178</v>
      </c>
      <c r="B296" s="145">
        <v>757</v>
      </c>
      <c r="C296" s="84" t="s">
        <v>43</v>
      </c>
      <c r="D296" s="84" t="s">
        <v>18</v>
      </c>
      <c r="E296" s="84" t="s">
        <v>177</v>
      </c>
      <c r="F296" s="84"/>
      <c r="G296" s="87">
        <f>G297</f>
        <v>0</v>
      </c>
      <c r="H296" s="87">
        <f t="shared" ref="H296:I296" si="73">H297</f>
        <v>0</v>
      </c>
      <c r="I296" s="87">
        <f t="shared" si="73"/>
        <v>0</v>
      </c>
      <c r="J296" s="173"/>
    </row>
    <row r="297" spans="1:10" ht="39.75" hidden="1" customHeight="1">
      <c r="A297" s="82" t="s">
        <v>29</v>
      </c>
      <c r="B297" s="145">
        <v>757</v>
      </c>
      <c r="C297" s="84" t="s">
        <v>43</v>
      </c>
      <c r="D297" s="84" t="s">
        <v>18</v>
      </c>
      <c r="E297" s="84" t="s">
        <v>177</v>
      </c>
      <c r="F297" s="84" t="s">
        <v>30</v>
      </c>
      <c r="G297" s="87">
        <f>G298</f>
        <v>0</v>
      </c>
      <c r="H297" s="87">
        <f t="shared" ref="H297:I297" si="74">H298</f>
        <v>0</v>
      </c>
      <c r="I297" s="87">
        <f t="shared" si="74"/>
        <v>0</v>
      </c>
      <c r="J297" s="173"/>
    </row>
    <row r="298" spans="1:10" ht="20.25" hidden="1" customHeight="1">
      <c r="A298" s="82" t="s">
        <v>31</v>
      </c>
      <c r="B298" s="145">
        <v>757</v>
      </c>
      <c r="C298" s="84" t="s">
        <v>43</v>
      </c>
      <c r="D298" s="84" t="s">
        <v>18</v>
      </c>
      <c r="E298" s="84" t="s">
        <v>177</v>
      </c>
      <c r="F298" s="84" t="s">
        <v>32</v>
      </c>
      <c r="G298" s="87">
        <v>0</v>
      </c>
      <c r="H298" s="87"/>
      <c r="I298" s="87">
        <v>0</v>
      </c>
      <c r="J298" s="173"/>
    </row>
    <row r="299" spans="1:10" ht="20.25" hidden="1" customHeight="1">
      <c r="A299" s="303"/>
      <c r="B299" s="145"/>
      <c r="C299" s="84"/>
      <c r="D299" s="84"/>
      <c r="E299" s="84"/>
      <c r="F299" s="84"/>
      <c r="G299" s="70"/>
      <c r="H299" s="87"/>
      <c r="I299" s="87"/>
      <c r="J299" s="173"/>
    </row>
    <row r="300" spans="1:10">
      <c r="A300" s="82" t="s">
        <v>62</v>
      </c>
      <c r="B300" s="145">
        <v>757</v>
      </c>
      <c r="C300" s="84" t="s">
        <v>43</v>
      </c>
      <c r="D300" s="84" t="s">
        <v>18</v>
      </c>
      <c r="E300" s="84" t="s">
        <v>195</v>
      </c>
      <c r="F300" s="84" t="s">
        <v>63</v>
      </c>
      <c r="G300" s="8">
        <f>G301</f>
        <v>0</v>
      </c>
      <c r="H300" s="8">
        <f t="shared" ref="H300" si="75">H301</f>
        <v>0</v>
      </c>
      <c r="I300" s="8">
        <f t="shared" ref="I300" si="76">I301</f>
        <v>0</v>
      </c>
      <c r="J300" s="174"/>
    </row>
    <row r="301" spans="1:10">
      <c r="A301" s="82" t="s">
        <v>174</v>
      </c>
      <c r="B301" s="145">
        <v>757</v>
      </c>
      <c r="C301" s="84" t="s">
        <v>43</v>
      </c>
      <c r="D301" s="84" t="s">
        <v>18</v>
      </c>
      <c r="E301" s="84" t="s">
        <v>195</v>
      </c>
      <c r="F301" s="84" t="s">
        <v>175</v>
      </c>
      <c r="G301" s="8">
        <f>301336.17-301336.17+13254.94+7.25-13262.19</f>
        <v>0</v>
      </c>
      <c r="H301" s="85">
        <v>0</v>
      </c>
      <c r="I301" s="85">
        <v>0</v>
      </c>
      <c r="J301" s="174"/>
    </row>
    <row r="302" spans="1:10" ht="37.5" customHeight="1">
      <c r="A302" s="104" t="s">
        <v>421</v>
      </c>
      <c r="B302" s="145">
        <v>757</v>
      </c>
      <c r="C302" s="84" t="s">
        <v>43</v>
      </c>
      <c r="D302" s="84" t="s">
        <v>18</v>
      </c>
      <c r="E302" s="84" t="s">
        <v>394</v>
      </c>
      <c r="F302" s="84"/>
      <c r="G302" s="85">
        <f t="shared" ref="G302:I303" si="77">G303</f>
        <v>279086.07</v>
      </c>
      <c r="H302" s="85">
        <f t="shared" si="77"/>
        <v>119608.26</v>
      </c>
      <c r="I302" s="85">
        <f t="shared" si="77"/>
        <v>119608.26</v>
      </c>
      <c r="J302" s="174"/>
    </row>
    <row r="303" spans="1:10" ht="26.4">
      <c r="A303" s="82" t="s">
        <v>29</v>
      </c>
      <c r="B303" s="145">
        <v>757</v>
      </c>
      <c r="C303" s="84" t="s">
        <v>43</v>
      </c>
      <c r="D303" s="84" t="s">
        <v>18</v>
      </c>
      <c r="E303" s="84" t="s">
        <v>394</v>
      </c>
      <c r="F303" s="84" t="s">
        <v>30</v>
      </c>
      <c r="G303" s="85">
        <f t="shared" si="77"/>
        <v>279086.07</v>
      </c>
      <c r="H303" s="85">
        <f t="shared" si="77"/>
        <v>119608.26</v>
      </c>
      <c r="I303" s="85">
        <f t="shared" si="77"/>
        <v>119608.26</v>
      </c>
      <c r="J303" s="174"/>
    </row>
    <row r="304" spans="1:10">
      <c r="A304" s="82" t="s">
        <v>31</v>
      </c>
      <c r="B304" s="145">
        <v>757</v>
      </c>
      <c r="C304" s="84" t="s">
        <v>43</v>
      </c>
      <c r="D304" s="84" t="s">
        <v>18</v>
      </c>
      <c r="E304" s="84" t="s">
        <v>394</v>
      </c>
      <c r="F304" s="84" t="s">
        <v>32</v>
      </c>
      <c r="G304" s="85">
        <f>109090.88+10790+144877.44+14327.75</f>
        <v>279086.07</v>
      </c>
      <c r="H304" s="85">
        <v>119608.26</v>
      </c>
      <c r="I304" s="85">
        <v>119608.26</v>
      </c>
      <c r="J304" s="174"/>
    </row>
    <row r="305" spans="1:18" hidden="1">
      <c r="A305" s="82" t="s">
        <v>414</v>
      </c>
      <c r="B305" s="145">
        <v>757</v>
      </c>
      <c r="C305" s="84" t="s">
        <v>43</v>
      </c>
      <c r="D305" s="84" t="s">
        <v>18</v>
      </c>
      <c r="E305" s="84" t="s">
        <v>413</v>
      </c>
      <c r="F305" s="84"/>
      <c r="G305" s="85"/>
      <c r="H305" s="85">
        <f>H306</f>
        <v>0</v>
      </c>
      <c r="I305" s="85">
        <f>I306</f>
        <v>0</v>
      </c>
      <c r="J305" s="174"/>
    </row>
    <row r="306" spans="1:18" hidden="1">
      <c r="A306" s="82" t="s">
        <v>267</v>
      </c>
      <c r="B306" s="145">
        <v>757</v>
      </c>
      <c r="C306" s="84" t="s">
        <v>43</v>
      </c>
      <c r="D306" s="84" t="s">
        <v>18</v>
      </c>
      <c r="E306" s="84" t="s">
        <v>543</v>
      </c>
      <c r="F306" s="84"/>
      <c r="G306" s="85">
        <f>G307</f>
        <v>0</v>
      </c>
      <c r="H306" s="85"/>
      <c r="I306" s="85"/>
      <c r="J306" s="174"/>
    </row>
    <row r="307" spans="1:18" hidden="1">
      <c r="A307" s="82" t="s">
        <v>267</v>
      </c>
      <c r="B307" s="145">
        <v>757</v>
      </c>
      <c r="C307" s="84" t="s">
        <v>43</v>
      </c>
      <c r="D307" s="84" t="s">
        <v>18</v>
      </c>
      <c r="E307" s="84" t="s">
        <v>544</v>
      </c>
      <c r="F307" s="84"/>
      <c r="G307" s="85">
        <f t="shared" ref="G307:I308" si="78">G308</f>
        <v>0</v>
      </c>
      <c r="H307" s="85">
        <f t="shared" si="78"/>
        <v>0</v>
      </c>
      <c r="I307" s="85">
        <f t="shared" si="78"/>
        <v>0</v>
      </c>
      <c r="J307" s="174"/>
    </row>
    <row r="308" spans="1:18" ht="26.4" hidden="1">
      <c r="A308" s="82" t="s">
        <v>29</v>
      </c>
      <c r="B308" s="145">
        <v>757</v>
      </c>
      <c r="C308" s="84" t="s">
        <v>43</v>
      </c>
      <c r="D308" s="84" t="s">
        <v>18</v>
      </c>
      <c r="E308" s="84" t="s">
        <v>544</v>
      </c>
      <c r="F308" s="84" t="s">
        <v>30</v>
      </c>
      <c r="G308" s="85">
        <f t="shared" si="78"/>
        <v>0</v>
      </c>
      <c r="H308" s="85">
        <f t="shared" si="78"/>
        <v>0</v>
      </c>
      <c r="I308" s="85">
        <f t="shared" si="78"/>
        <v>0</v>
      </c>
      <c r="J308" s="174"/>
    </row>
    <row r="309" spans="1:18" hidden="1">
      <c r="A309" s="82" t="s">
        <v>31</v>
      </c>
      <c r="B309" s="145">
        <v>757</v>
      </c>
      <c r="C309" s="84" t="s">
        <v>43</v>
      </c>
      <c r="D309" s="84" t="s">
        <v>18</v>
      </c>
      <c r="E309" s="84" t="s">
        <v>544</v>
      </c>
      <c r="F309" s="84" t="s">
        <v>32</v>
      </c>
      <c r="G309" s="85"/>
      <c r="H309" s="85"/>
      <c r="I309" s="85"/>
      <c r="J309" s="174"/>
    </row>
    <row r="310" spans="1:18" ht="26.4" hidden="1">
      <c r="A310" s="82" t="s">
        <v>163</v>
      </c>
      <c r="B310" s="145">
        <v>757</v>
      </c>
      <c r="C310" s="84" t="s">
        <v>43</v>
      </c>
      <c r="D310" s="84" t="s">
        <v>18</v>
      </c>
      <c r="E310" s="84" t="s">
        <v>396</v>
      </c>
      <c r="F310" s="84"/>
      <c r="G310" s="85">
        <f>G312</f>
        <v>0</v>
      </c>
      <c r="H310" s="85">
        <f>H312</f>
        <v>0</v>
      </c>
      <c r="I310" s="85">
        <f>I312</f>
        <v>0</v>
      </c>
      <c r="J310" s="174"/>
    </row>
    <row r="311" spans="1:18" ht="26.4" hidden="1">
      <c r="A311" s="82" t="s">
        <v>163</v>
      </c>
      <c r="B311" s="145">
        <v>757</v>
      </c>
      <c r="C311" s="84" t="s">
        <v>43</v>
      </c>
      <c r="D311" s="84" t="s">
        <v>18</v>
      </c>
      <c r="E311" s="84" t="s">
        <v>395</v>
      </c>
      <c r="F311" s="84"/>
      <c r="G311" s="85">
        <f t="shared" ref="G311:I312" si="79">G312</f>
        <v>0</v>
      </c>
      <c r="H311" s="85">
        <f t="shared" si="79"/>
        <v>0</v>
      </c>
      <c r="I311" s="85">
        <f t="shared" si="79"/>
        <v>0</v>
      </c>
      <c r="J311" s="174"/>
    </row>
    <row r="312" spans="1:18" ht="26.4" hidden="1">
      <c r="A312" s="82" t="s">
        <v>29</v>
      </c>
      <c r="B312" s="145">
        <v>757</v>
      </c>
      <c r="C312" s="84" t="s">
        <v>43</v>
      </c>
      <c r="D312" s="84" t="s">
        <v>18</v>
      </c>
      <c r="E312" s="84" t="s">
        <v>395</v>
      </c>
      <c r="F312" s="84" t="s">
        <v>30</v>
      </c>
      <c r="G312" s="85">
        <f t="shared" si="79"/>
        <v>0</v>
      </c>
      <c r="H312" s="85">
        <f t="shared" si="79"/>
        <v>0</v>
      </c>
      <c r="I312" s="85">
        <f t="shared" si="79"/>
        <v>0</v>
      </c>
      <c r="J312" s="174"/>
    </row>
    <row r="313" spans="1:18" hidden="1">
      <c r="A313" s="82" t="s">
        <v>31</v>
      </c>
      <c r="B313" s="145">
        <v>757</v>
      </c>
      <c r="C313" s="84" t="s">
        <v>43</v>
      </c>
      <c r="D313" s="84" t="s">
        <v>18</v>
      </c>
      <c r="E313" s="84" t="s">
        <v>395</v>
      </c>
      <c r="F313" s="84" t="s">
        <v>32</v>
      </c>
      <c r="G313" s="85"/>
      <c r="H313" s="85"/>
      <c r="I313" s="85"/>
      <c r="J313" s="174"/>
    </row>
    <row r="314" spans="1:18" s="18" customFormat="1" ht="26.4" hidden="1">
      <c r="A314" s="82" t="s">
        <v>454</v>
      </c>
      <c r="B314" s="145">
        <v>757</v>
      </c>
      <c r="C314" s="84" t="s">
        <v>43</v>
      </c>
      <c r="D314" s="84" t="s">
        <v>18</v>
      </c>
      <c r="E314" s="84" t="s">
        <v>257</v>
      </c>
      <c r="F314" s="84"/>
      <c r="G314" s="87">
        <f>G315</f>
        <v>0</v>
      </c>
      <c r="H314" s="87">
        <f t="shared" ref="H314:I314" si="80">H315</f>
        <v>0</v>
      </c>
      <c r="I314" s="87">
        <f t="shared" si="80"/>
        <v>0</v>
      </c>
      <c r="J314" s="173"/>
      <c r="K314" s="195"/>
      <c r="L314" s="195"/>
      <c r="M314" s="195"/>
      <c r="N314" s="195"/>
      <c r="O314" s="195"/>
      <c r="P314" s="195"/>
      <c r="Q314" s="195"/>
      <c r="R314" s="195"/>
    </row>
    <row r="315" spans="1:18" s="18" customFormat="1" ht="61.5" hidden="1" customHeight="1">
      <c r="A315" s="82" t="s">
        <v>569</v>
      </c>
      <c r="B315" s="145">
        <v>757</v>
      </c>
      <c r="C315" s="84" t="s">
        <v>43</v>
      </c>
      <c r="D315" s="84" t="s">
        <v>18</v>
      </c>
      <c r="E315" s="84" t="s">
        <v>568</v>
      </c>
      <c r="F315" s="84"/>
      <c r="G315" s="87">
        <f>G316</f>
        <v>0</v>
      </c>
      <c r="H315" s="87">
        <f t="shared" ref="H315:I316" si="81">H316</f>
        <v>0</v>
      </c>
      <c r="I315" s="87">
        <f t="shared" si="81"/>
        <v>0</v>
      </c>
      <c r="J315" s="173"/>
      <c r="K315" s="195"/>
      <c r="L315" s="195"/>
      <c r="M315" s="195"/>
      <c r="N315" s="195"/>
      <c r="O315" s="195"/>
      <c r="P315" s="195"/>
      <c r="Q315" s="195"/>
      <c r="R315" s="195"/>
    </row>
    <row r="316" spans="1:18" s="18" customFormat="1" ht="26.4" hidden="1">
      <c r="A316" s="82" t="s">
        <v>29</v>
      </c>
      <c r="B316" s="145">
        <v>757</v>
      </c>
      <c r="C316" s="84" t="s">
        <v>43</v>
      </c>
      <c r="D316" s="84" t="s">
        <v>18</v>
      </c>
      <c r="E316" s="84" t="s">
        <v>568</v>
      </c>
      <c r="F316" s="84" t="s">
        <v>30</v>
      </c>
      <c r="G316" s="87">
        <f>G317</f>
        <v>0</v>
      </c>
      <c r="H316" s="87">
        <f t="shared" si="81"/>
        <v>0</v>
      </c>
      <c r="I316" s="87">
        <f t="shared" si="81"/>
        <v>0</v>
      </c>
      <c r="J316" s="173"/>
      <c r="K316" s="195"/>
      <c r="L316" s="195"/>
      <c r="M316" s="195"/>
      <c r="N316" s="195"/>
      <c r="O316" s="195"/>
      <c r="P316" s="195"/>
      <c r="Q316" s="195"/>
      <c r="R316" s="195"/>
    </row>
    <row r="317" spans="1:18" s="18" customFormat="1" hidden="1">
      <c r="A317" s="82" t="s">
        <v>31</v>
      </c>
      <c r="B317" s="145">
        <v>757</v>
      </c>
      <c r="C317" s="84" t="s">
        <v>43</v>
      </c>
      <c r="D317" s="84" t="s">
        <v>18</v>
      </c>
      <c r="E317" s="84" t="s">
        <v>568</v>
      </c>
      <c r="F317" s="84" t="s">
        <v>32</v>
      </c>
      <c r="G317" s="87"/>
      <c r="H317" s="87">
        <v>0</v>
      </c>
      <c r="I317" s="87">
        <v>0</v>
      </c>
      <c r="J317" s="173"/>
      <c r="K317" s="195"/>
      <c r="L317" s="195"/>
      <c r="M317" s="195"/>
      <c r="N317" s="195"/>
      <c r="O317" s="195"/>
      <c r="P317" s="195"/>
      <c r="Q317" s="195"/>
      <c r="R317" s="195"/>
    </row>
    <row r="318" spans="1:18" ht="41.25" hidden="1" customHeight="1">
      <c r="A318" s="82" t="s">
        <v>496</v>
      </c>
      <c r="B318" s="145">
        <v>757</v>
      </c>
      <c r="C318" s="84" t="s">
        <v>43</v>
      </c>
      <c r="D318" s="84" t="s">
        <v>18</v>
      </c>
      <c r="E318" s="84" t="s">
        <v>495</v>
      </c>
      <c r="F318" s="84"/>
      <c r="G318" s="87">
        <f>G319</f>
        <v>0</v>
      </c>
      <c r="H318" s="87">
        <f t="shared" ref="H318:I319" si="82">H319</f>
        <v>0</v>
      </c>
      <c r="I318" s="87">
        <f t="shared" si="82"/>
        <v>0</v>
      </c>
      <c r="J318" s="173"/>
    </row>
    <row r="319" spans="1:18" ht="45" hidden="1" customHeight="1">
      <c r="A319" s="82" t="s">
        <v>29</v>
      </c>
      <c r="B319" s="145">
        <v>757</v>
      </c>
      <c r="C319" s="84" t="s">
        <v>43</v>
      </c>
      <c r="D319" s="84" t="s">
        <v>18</v>
      </c>
      <c r="E319" s="84" t="s">
        <v>495</v>
      </c>
      <c r="F319" s="84" t="s">
        <v>30</v>
      </c>
      <c r="G319" s="87">
        <f>G320</f>
        <v>0</v>
      </c>
      <c r="H319" s="87">
        <f t="shared" si="82"/>
        <v>0</v>
      </c>
      <c r="I319" s="87">
        <f t="shared" si="82"/>
        <v>0</v>
      </c>
      <c r="J319" s="173"/>
      <c r="K319" s="173"/>
      <c r="L319" s="173"/>
    </row>
    <row r="320" spans="1:18" ht="19.5" hidden="1" customHeight="1">
      <c r="A320" s="82" t="s">
        <v>31</v>
      </c>
      <c r="B320" s="145">
        <v>757</v>
      </c>
      <c r="C320" s="84" t="s">
        <v>43</v>
      </c>
      <c r="D320" s="84" t="s">
        <v>18</v>
      </c>
      <c r="E320" s="84" t="s">
        <v>495</v>
      </c>
      <c r="F320" s="84" t="s">
        <v>32</v>
      </c>
      <c r="G320" s="87">
        <v>0</v>
      </c>
      <c r="H320" s="87"/>
      <c r="I320" s="87"/>
      <c r="J320" s="173"/>
    </row>
    <row r="321" spans="1:12" ht="69" hidden="1" customHeight="1">
      <c r="A321" s="82" t="s">
        <v>989</v>
      </c>
      <c r="B321" s="145">
        <v>757</v>
      </c>
      <c r="C321" s="84" t="s">
        <v>43</v>
      </c>
      <c r="D321" s="84" t="s">
        <v>18</v>
      </c>
      <c r="E321" s="84" t="s">
        <v>988</v>
      </c>
      <c r="F321" s="84"/>
      <c r="G321" s="85">
        <f t="shared" ref="G321:I322" si="83">G322</f>
        <v>0</v>
      </c>
      <c r="H321" s="85">
        <f t="shared" si="83"/>
        <v>0</v>
      </c>
      <c r="I321" s="85">
        <f t="shared" si="83"/>
        <v>0</v>
      </c>
      <c r="J321" s="174"/>
    </row>
    <row r="322" spans="1:12" ht="26.4" hidden="1">
      <c r="A322" s="82" t="s">
        <v>29</v>
      </c>
      <c r="B322" s="145">
        <v>757</v>
      </c>
      <c r="C322" s="84" t="s">
        <v>43</v>
      </c>
      <c r="D322" s="84" t="s">
        <v>18</v>
      </c>
      <c r="E322" s="84" t="s">
        <v>988</v>
      </c>
      <c r="F322" s="84" t="s">
        <v>30</v>
      </c>
      <c r="G322" s="85">
        <f t="shared" si="83"/>
        <v>0</v>
      </c>
      <c r="H322" s="85">
        <f t="shared" si="83"/>
        <v>0</v>
      </c>
      <c r="I322" s="85">
        <f t="shared" si="83"/>
        <v>0</v>
      </c>
      <c r="J322" s="174"/>
    </row>
    <row r="323" spans="1:12" hidden="1">
      <c r="A323" s="82" t="s">
        <v>31</v>
      </c>
      <c r="B323" s="145">
        <v>757</v>
      </c>
      <c r="C323" s="84" t="s">
        <v>43</v>
      </c>
      <c r="D323" s="84" t="s">
        <v>18</v>
      </c>
      <c r="E323" s="84" t="s">
        <v>988</v>
      </c>
      <c r="F323" s="84" t="s">
        <v>32</v>
      </c>
      <c r="G323" s="85"/>
      <c r="H323" s="85"/>
      <c r="I323" s="85"/>
      <c r="J323" s="174"/>
    </row>
    <row r="324" spans="1:12" ht="37.5" customHeight="1">
      <c r="A324" s="82" t="s">
        <v>178</v>
      </c>
      <c r="B324" s="145">
        <v>757</v>
      </c>
      <c r="C324" s="84" t="s">
        <v>43</v>
      </c>
      <c r="D324" s="84" t="s">
        <v>18</v>
      </c>
      <c r="E324" s="84" t="s">
        <v>177</v>
      </c>
      <c r="F324" s="84"/>
      <c r="G324" s="85">
        <f>G325</f>
        <v>1470600</v>
      </c>
      <c r="H324" s="85">
        <f t="shared" ref="H324:I324" si="84">H325</f>
        <v>0</v>
      </c>
      <c r="I324" s="85">
        <f t="shared" si="84"/>
        <v>0</v>
      </c>
      <c r="J324" s="174"/>
    </row>
    <row r="325" spans="1:12" ht="26.4">
      <c r="A325" s="82" t="s">
        <v>29</v>
      </c>
      <c r="B325" s="145">
        <v>757</v>
      </c>
      <c r="C325" s="84" t="s">
        <v>43</v>
      </c>
      <c r="D325" s="84" t="s">
        <v>18</v>
      </c>
      <c r="E325" s="84" t="s">
        <v>177</v>
      </c>
      <c r="F325" s="84" t="s">
        <v>30</v>
      </c>
      <c r="G325" s="85">
        <f>G326</f>
        <v>1470600</v>
      </c>
      <c r="H325" s="85">
        <f t="shared" ref="H325:I325" si="85">H326</f>
        <v>0</v>
      </c>
      <c r="I325" s="85">
        <f t="shared" si="85"/>
        <v>0</v>
      </c>
      <c r="J325" s="174"/>
    </row>
    <row r="326" spans="1:12">
      <c r="A326" s="82" t="s">
        <v>31</v>
      </c>
      <c r="B326" s="145">
        <v>757</v>
      </c>
      <c r="C326" s="84" t="s">
        <v>43</v>
      </c>
      <c r="D326" s="84" t="s">
        <v>18</v>
      </c>
      <c r="E326" s="84" t="s">
        <v>177</v>
      </c>
      <c r="F326" s="84" t="s">
        <v>32</v>
      </c>
      <c r="G326" s="8">
        <v>1470600</v>
      </c>
      <c r="H326" s="85">
        <v>0</v>
      </c>
      <c r="I326" s="85">
        <v>0</v>
      </c>
      <c r="J326" s="174"/>
    </row>
    <row r="327" spans="1:12" ht="26.25" hidden="1" customHeight="1">
      <c r="A327" s="82" t="s">
        <v>881</v>
      </c>
      <c r="B327" s="145">
        <v>757</v>
      </c>
      <c r="C327" s="84" t="s">
        <v>43</v>
      </c>
      <c r="D327" s="84" t="s">
        <v>18</v>
      </c>
      <c r="E327" s="84" t="s">
        <v>880</v>
      </c>
      <c r="F327" s="84"/>
      <c r="G327" s="87">
        <f>G328</f>
        <v>0</v>
      </c>
      <c r="H327" s="87">
        <f t="shared" ref="H327:I327" si="86">H328</f>
        <v>0</v>
      </c>
      <c r="I327" s="87">
        <f t="shared" si="86"/>
        <v>0</v>
      </c>
      <c r="J327" s="173"/>
    </row>
    <row r="328" spans="1:12" ht="43.5" hidden="1" customHeight="1">
      <c r="A328" s="82" t="s">
        <v>29</v>
      </c>
      <c r="B328" s="145">
        <v>757</v>
      </c>
      <c r="C328" s="84" t="s">
        <v>43</v>
      </c>
      <c r="D328" s="84" t="s">
        <v>18</v>
      </c>
      <c r="E328" s="84" t="s">
        <v>880</v>
      </c>
      <c r="F328" s="84" t="s">
        <v>30</v>
      </c>
      <c r="G328" s="87">
        <f>G329</f>
        <v>0</v>
      </c>
      <c r="H328" s="87">
        <f t="shared" ref="H328:I328" si="87">H329</f>
        <v>0</v>
      </c>
      <c r="I328" s="87">
        <f t="shared" si="87"/>
        <v>0</v>
      </c>
      <c r="J328" s="173"/>
      <c r="K328" s="173"/>
      <c r="L328" s="173"/>
    </row>
    <row r="329" spans="1:12" ht="20.25" hidden="1" customHeight="1">
      <c r="A329" s="82" t="s">
        <v>31</v>
      </c>
      <c r="B329" s="145">
        <v>757</v>
      </c>
      <c r="C329" s="84" t="s">
        <v>43</v>
      </c>
      <c r="D329" s="84" t="s">
        <v>18</v>
      </c>
      <c r="E329" s="84" t="s">
        <v>880</v>
      </c>
      <c r="F329" s="84" t="s">
        <v>32</v>
      </c>
      <c r="G329" s="87"/>
      <c r="H329" s="87"/>
      <c r="I329" s="87"/>
      <c r="J329" s="173"/>
    </row>
    <row r="330" spans="1:12" ht="37.5" customHeight="1">
      <c r="A330" s="82" t="s">
        <v>1265</v>
      </c>
      <c r="B330" s="145">
        <v>757</v>
      </c>
      <c r="C330" s="84" t="s">
        <v>43</v>
      </c>
      <c r="D330" s="84" t="s">
        <v>18</v>
      </c>
      <c r="E330" s="84" t="s">
        <v>1264</v>
      </c>
      <c r="F330" s="84"/>
      <c r="G330" s="85">
        <f>G331</f>
        <v>7747252.75</v>
      </c>
      <c r="H330" s="85">
        <f t="shared" ref="H330:I331" si="88">H331</f>
        <v>0</v>
      </c>
      <c r="I330" s="85">
        <f t="shared" si="88"/>
        <v>0</v>
      </c>
      <c r="J330" s="174"/>
    </row>
    <row r="331" spans="1:12" ht="26.4">
      <c r="A331" s="82" t="s">
        <v>29</v>
      </c>
      <c r="B331" s="145">
        <v>757</v>
      </c>
      <c r="C331" s="84" t="s">
        <v>43</v>
      </c>
      <c r="D331" s="84" t="s">
        <v>18</v>
      </c>
      <c r="E331" s="84" t="s">
        <v>1264</v>
      </c>
      <c r="F331" s="84" t="s">
        <v>30</v>
      </c>
      <c r="G331" s="85">
        <f>G332</f>
        <v>7747252.75</v>
      </c>
      <c r="H331" s="85">
        <f t="shared" si="88"/>
        <v>0</v>
      </c>
      <c r="I331" s="85">
        <f t="shared" si="88"/>
        <v>0</v>
      </c>
      <c r="J331" s="174"/>
    </row>
    <row r="332" spans="1:12">
      <c r="A332" s="82" t="s">
        <v>31</v>
      </c>
      <c r="B332" s="145">
        <v>757</v>
      </c>
      <c r="C332" s="84" t="s">
        <v>43</v>
      </c>
      <c r="D332" s="84" t="s">
        <v>18</v>
      </c>
      <c r="E332" s="84" t="s">
        <v>1264</v>
      </c>
      <c r="F332" s="84" t="s">
        <v>32</v>
      </c>
      <c r="G332" s="8">
        <f>7050000+697252.75</f>
        <v>7747252.75</v>
      </c>
      <c r="H332" s="85">
        <v>0</v>
      </c>
      <c r="I332" s="85">
        <v>0</v>
      </c>
      <c r="J332" s="174"/>
    </row>
    <row r="333" spans="1:12" ht="65.25" hidden="1" customHeight="1">
      <c r="A333" s="104" t="s">
        <v>848</v>
      </c>
      <c r="B333" s="145">
        <v>757</v>
      </c>
      <c r="C333" s="84" t="s">
        <v>43</v>
      </c>
      <c r="D333" s="84" t="s">
        <v>18</v>
      </c>
      <c r="E333" s="84" t="s">
        <v>657</v>
      </c>
      <c r="F333" s="84"/>
      <c r="G333" s="87">
        <f>G334</f>
        <v>0</v>
      </c>
      <c r="H333" s="87">
        <f t="shared" ref="H333:H344" si="89">H334</f>
        <v>0</v>
      </c>
      <c r="I333" s="87">
        <f t="shared" ref="I333:I344" si="90">I334</f>
        <v>0</v>
      </c>
      <c r="J333" s="173"/>
    </row>
    <row r="334" spans="1:12" ht="45" hidden="1" customHeight="1">
      <c r="A334" s="82" t="s">
        <v>29</v>
      </c>
      <c r="B334" s="145">
        <v>757</v>
      </c>
      <c r="C334" s="84" t="s">
        <v>43</v>
      </c>
      <c r="D334" s="84" t="s">
        <v>18</v>
      </c>
      <c r="E334" s="84" t="s">
        <v>657</v>
      </c>
      <c r="F334" s="84" t="s">
        <v>30</v>
      </c>
      <c r="G334" s="87">
        <f>G335</f>
        <v>0</v>
      </c>
      <c r="H334" s="87">
        <f t="shared" si="89"/>
        <v>0</v>
      </c>
      <c r="I334" s="87">
        <f t="shared" si="90"/>
        <v>0</v>
      </c>
      <c r="J334" s="173"/>
      <c r="K334" s="173"/>
      <c r="L334" s="173"/>
    </row>
    <row r="335" spans="1:12" ht="28.5" hidden="1" customHeight="1">
      <c r="A335" s="82" t="s">
        <v>31</v>
      </c>
      <c r="B335" s="145">
        <v>757</v>
      </c>
      <c r="C335" s="84" t="s">
        <v>43</v>
      </c>
      <c r="D335" s="84" t="s">
        <v>18</v>
      </c>
      <c r="E335" s="84" t="s">
        <v>657</v>
      </c>
      <c r="F335" s="84" t="s">
        <v>32</v>
      </c>
      <c r="G335" s="87">
        <v>0</v>
      </c>
      <c r="H335" s="87">
        <v>0</v>
      </c>
      <c r="I335" s="87">
        <v>0</v>
      </c>
      <c r="J335" s="173"/>
    </row>
    <row r="336" spans="1:12" ht="28.5" hidden="1" customHeight="1">
      <c r="A336" s="82" t="s">
        <v>887</v>
      </c>
      <c r="B336" s="145">
        <v>757</v>
      </c>
      <c r="C336" s="84" t="s">
        <v>43</v>
      </c>
      <c r="D336" s="84" t="s">
        <v>18</v>
      </c>
      <c r="E336" s="84" t="s">
        <v>886</v>
      </c>
      <c r="F336" s="84"/>
      <c r="G336" s="87">
        <f>G337</f>
        <v>0</v>
      </c>
      <c r="H336" s="87">
        <f t="shared" ref="H336:I336" si="91">H337</f>
        <v>0</v>
      </c>
      <c r="I336" s="87">
        <f t="shared" si="91"/>
        <v>0</v>
      </c>
      <c r="J336" s="173"/>
    </row>
    <row r="337" spans="1:12" ht="36" hidden="1" customHeight="1">
      <c r="A337" s="82" t="s">
        <v>888</v>
      </c>
      <c r="B337" s="145">
        <v>757</v>
      </c>
      <c r="C337" s="84" t="s">
        <v>43</v>
      </c>
      <c r="D337" s="84" t="s">
        <v>18</v>
      </c>
      <c r="E337" s="84" t="s">
        <v>885</v>
      </c>
      <c r="F337" s="84"/>
      <c r="G337" s="87">
        <f>G338</f>
        <v>0</v>
      </c>
      <c r="H337" s="87">
        <f t="shared" si="89"/>
        <v>0</v>
      </c>
      <c r="I337" s="87">
        <f t="shared" si="90"/>
        <v>0</v>
      </c>
      <c r="J337" s="173"/>
    </row>
    <row r="338" spans="1:12" ht="41.25" hidden="1" customHeight="1">
      <c r="A338" s="82" t="s">
        <v>29</v>
      </c>
      <c r="B338" s="145">
        <v>757</v>
      </c>
      <c r="C338" s="84" t="s">
        <v>43</v>
      </c>
      <c r="D338" s="84" t="s">
        <v>18</v>
      </c>
      <c r="E338" s="84" t="s">
        <v>885</v>
      </c>
      <c r="F338" s="84" t="s">
        <v>30</v>
      </c>
      <c r="G338" s="87">
        <f>G339</f>
        <v>0</v>
      </c>
      <c r="H338" s="87">
        <f t="shared" si="89"/>
        <v>0</v>
      </c>
      <c r="I338" s="87">
        <f t="shared" si="90"/>
        <v>0</v>
      </c>
      <c r="J338" s="173"/>
      <c r="K338" s="173"/>
      <c r="L338" s="173"/>
    </row>
    <row r="339" spans="1:12" ht="22.5" hidden="1" customHeight="1">
      <c r="A339" s="82" t="s">
        <v>31</v>
      </c>
      <c r="B339" s="145">
        <v>757</v>
      </c>
      <c r="C339" s="84" t="s">
        <v>43</v>
      </c>
      <c r="D339" s="84" t="s">
        <v>18</v>
      </c>
      <c r="E339" s="84" t="s">
        <v>885</v>
      </c>
      <c r="F339" s="84" t="s">
        <v>32</v>
      </c>
      <c r="G339" s="87"/>
      <c r="H339" s="87"/>
      <c r="I339" s="87"/>
      <c r="J339" s="173"/>
    </row>
    <row r="340" spans="1:12" ht="48" hidden="1" customHeight="1">
      <c r="A340" s="82" t="s">
        <v>737</v>
      </c>
      <c r="B340" s="145">
        <v>757</v>
      </c>
      <c r="C340" s="84" t="s">
        <v>43</v>
      </c>
      <c r="D340" s="84" t="s">
        <v>18</v>
      </c>
      <c r="E340" s="84" t="s">
        <v>736</v>
      </c>
      <c r="F340" s="84"/>
      <c r="G340" s="87">
        <f>G341</f>
        <v>0</v>
      </c>
      <c r="H340" s="87">
        <f t="shared" si="89"/>
        <v>0</v>
      </c>
      <c r="I340" s="87">
        <f t="shared" si="90"/>
        <v>0</v>
      </c>
      <c r="J340" s="173"/>
    </row>
    <row r="341" spans="1:12" ht="24" hidden="1" customHeight="1">
      <c r="A341" s="82" t="s">
        <v>62</v>
      </c>
      <c r="B341" s="145">
        <v>757</v>
      </c>
      <c r="C341" s="84" t="s">
        <v>43</v>
      </c>
      <c r="D341" s="84" t="s">
        <v>18</v>
      </c>
      <c r="E341" s="84" t="s">
        <v>736</v>
      </c>
      <c r="F341" s="84" t="s">
        <v>63</v>
      </c>
      <c r="G341" s="87">
        <f>G342</f>
        <v>0</v>
      </c>
      <c r="H341" s="87">
        <f t="shared" si="89"/>
        <v>0</v>
      </c>
      <c r="I341" s="87">
        <f t="shared" si="90"/>
        <v>0</v>
      </c>
      <c r="J341" s="173"/>
      <c r="K341" s="173"/>
      <c r="L341" s="173"/>
    </row>
    <row r="342" spans="1:12" ht="29.25" hidden="1" customHeight="1">
      <c r="A342" s="82" t="s">
        <v>174</v>
      </c>
      <c r="B342" s="145">
        <v>757</v>
      </c>
      <c r="C342" s="84" t="s">
        <v>43</v>
      </c>
      <c r="D342" s="84" t="s">
        <v>18</v>
      </c>
      <c r="E342" s="84" t="s">
        <v>736</v>
      </c>
      <c r="F342" s="84" t="s">
        <v>175</v>
      </c>
      <c r="G342" s="87"/>
      <c r="H342" s="87"/>
      <c r="I342" s="87"/>
      <c r="J342" s="173"/>
    </row>
    <row r="343" spans="1:12" ht="30" hidden="1" customHeight="1">
      <c r="A343" s="82" t="s">
        <v>737</v>
      </c>
      <c r="B343" s="145">
        <v>757</v>
      </c>
      <c r="C343" s="84" t="s">
        <v>43</v>
      </c>
      <c r="D343" s="84" t="s">
        <v>18</v>
      </c>
      <c r="E343" s="84" t="s">
        <v>547</v>
      </c>
      <c r="F343" s="84"/>
      <c r="G343" s="87">
        <f>G344</f>
        <v>0</v>
      </c>
      <c r="H343" s="87">
        <f t="shared" si="89"/>
        <v>0</v>
      </c>
      <c r="I343" s="87">
        <f t="shared" si="90"/>
        <v>0</v>
      </c>
      <c r="J343" s="173"/>
    </row>
    <row r="344" spans="1:12" ht="41.25" hidden="1" customHeight="1">
      <c r="A344" s="82" t="s">
        <v>29</v>
      </c>
      <c r="B344" s="145">
        <v>757</v>
      </c>
      <c r="C344" s="84" t="s">
        <v>43</v>
      </c>
      <c r="D344" s="84" t="s">
        <v>18</v>
      </c>
      <c r="E344" s="84" t="s">
        <v>547</v>
      </c>
      <c r="F344" s="84" t="s">
        <v>30</v>
      </c>
      <c r="G344" s="87">
        <f>G345</f>
        <v>0</v>
      </c>
      <c r="H344" s="87">
        <f t="shared" si="89"/>
        <v>0</v>
      </c>
      <c r="I344" s="87">
        <f t="shared" si="90"/>
        <v>0</v>
      </c>
      <c r="J344" s="173"/>
      <c r="K344" s="173"/>
      <c r="L344" s="173"/>
    </row>
    <row r="345" spans="1:12" ht="16.5" hidden="1" customHeight="1">
      <c r="A345" s="82" t="s">
        <v>31</v>
      </c>
      <c r="B345" s="145">
        <v>757</v>
      </c>
      <c r="C345" s="84" t="s">
        <v>43</v>
      </c>
      <c r="D345" s="84" t="s">
        <v>18</v>
      </c>
      <c r="E345" s="84" t="s">
        <v>547</v>
      </c>
      <c r="F345" s="84" t="s">
        <v>32</v>
      </c>
      <c r="G345" s="87"/>
      <c r="H345" s="87"/>
      <c r="I345" s="87"/>
      <c r="J345" s="173"/>
    </row>
    <row r="346" spans="1:12" ht="37.5" customHeight="1">
      <c r="A346" s="104" t="s">
        <v>1289</v>
      </c>
      <c r="B346" s="145">
        <v>757</v>
      </c>
      <c r="C346" s="84" t="s">
        <v>43</v>
      </c>
      <c r="D346" s="84" t="s">
        <v>18</v>
      </c>
      <c r="E346" s="84" t="s">
        <v>1288</v>
      </c>
      <c r="F346" s="84"/>
      <c r="G346" s="85">
        <f t="shared" ref="G346:I347" si="92">G347</f>
        <v>3693333.33</v>
      </c>
      <c r="H346" s="85">
        <f t="shared" si="92"/>
        <v>0</v>
      </c>
      <c r="I346" s="85">
        <f t="shared" si="92"/>
        <v>0</v>
      </c>
      <c r="J346" s="174"/>
    </row>
    <row r="347" spans="1:12" ht="26.4">
      <c r="A347" s="82" t="s">
        <v>29</v>
      </c>
      <c r="B347" s="145">
        <v>757</v>
      </c>
      <c r="C347" s="84" t="s">
        <v>43</v>
      </c>
      <c r="D347" s="84" t="s">
        <v>18</v>
      </c>
      <c r="E347" s="84" t="s">
        <v>1288</v>
      </c>
      <c r="F347" s="84" t="s">
        <v>30</v>
      </c>
      <c r="G347" s="85">
        <f t="shared" si="92"/>
        <v>3693333.33</v>
      </c>
      <c r="H347" s="85">
        <f t="shared" si="92"/>
        <v>0</v>
      </c>
      <c r="I347" s="85">
        <f t="shared" si="92"/>
        <v>0</v>
      </c>
      <c r="J347" s="174"/>
    </row>
    <row r="348" spans="1:12">
      <c r="A348" s="82" t="s">
        <v>31</v>
      </c>
      <c r="B348" s="145">
        <v>757</v>
      </c>
      <c r="C348" s="84" t="s">
        <v>43</v>
      </c>
      <c r="D348" s="84" t="s">
        <v>18</v>
      </c>
      <c r="E348" s="84" t="s">
        <v>1288</v>
      </c>
      <c r="F348" s="84" t="s">
        <v>32</v>
      </c>
      <c r="G348" s="85">
        <f>3437500+235833.33+20000</f>
        <v>3693333.33</v>
      </c>
      <c r="H348" s="85"/>
      <c r="I348" s="85"/>
      <c r="J348" s="174"/>
    </row>
    <row r="349" spans="1:12" ht="26.4">
      <c r="A349" s="82" t="s">
        <v>1184</v>
      </c>
      <c r="B349" s="145">
        <v>757</v>
      </c>
      <c r="C349" s="84" t="s">
        <v>43</v>
      </c>
      <c r="D349" s="84" t="s">
        <v>18</v>
      </c>
      <c r="E349" s="84" t="s">
        <v>826</v>
      </c>
      <c r="F349" s="84"/>
      <c r="G349" s="87">
        <f>G350</f>
        <v>452300</v>
      </c>
      <c r="H349" s="87">
        <f t="shared" ref="H349:I349" si="93">H350</f>
        <v>697607.95</v>
      </c>
      <c r="I349" s="87">
        <f t="shared" si="93"/>
        <v>630458.05000000005</v>
      </c>
      <c r="J349" s="173"/>
    </row>
    <row r="350" spans="1:12" ht="27" customHeight="1">
      <c r="A350" s="82" t="s">
        <v>29</v>
      </c>
      <c r="B350" s="145">
        <v>757</v>
      </c>
      <c r="C350" s="84" t="s">
        <v>43</v>
      </c>
      <c r="D350" s="84" t="s">
        <v>18</v>
      </c>
      <c r="E350" s="84" t="s">
        <v>826</v>
      </c>
      <c r="F350" s="84" t="s">
        <v>30</v>
      </c>
      <c r="G350" s="87">
        <f>G351+G352</f>
        <v>452300</v>
      </c>
      <c r="H350" s="87">
        <f t="shared" ref="H350:I350" si="94">H351+H352</f>
        <v>697607.95</v>
      </c>
      <c r="I350" s="87">
        <f t="shared" si="94"/>
        <v>630458.05000000005</v>
      </c>
      <c r="J350" s="173"/>
    </row>
    <row r="351" spans="1:12" ht="19.5" customHeight="1">
      <c r="A351" s="82" t="s">
        <v>31</v>
      </c>
      <c r="B351" s="145">
        <v>757</v>
      </c>
      <c r="C351" s="84" t="s">
        <v>43</v>
      </c>
      <c r="D351" s="84" t="s">
        <v>18</v>
      </c>
      <c r="E351" s="84" t="s">
        <v>826</v>
      </c>
      <c r="F351" s="84" t="s">
        <v>32</v>
      </c>
      <c r="G351" s="70">
        <f>640000-197700-20000</f>
        <v>422300</v>
      </c>
      <c r="H351" s="70">
        <v>667607.94999999995</v>
      </c>
      <c r="I351" s="70">
        <v>600458.05000000005</v>
      </c>
      <c r="J351" s="173"/>
    </row>
    <row r="352" spans="1:12" ht="19.5" customHeight="1">
      <c r="A352" s="82" t="s">
        <v>606</v>
      </c>
      <c r="B352" s="145">
        <v>757</v>
      </c>
      <c r="C352" s="84" t="s">
        <v>43</v>
      </c>
      <c r="D352" s="84" t="s">
        <v>18</v>
      </c>
      <c r="E352" s="84" t="s">
        <v>826</v>
      </c>
      <c r="F352" s="84" t="s">
        <v>605</v>
      </c>
      <c r="G352" s="70">
        <v>30000</v>
      </c>
      <c r="H352" s="70">
        <v>30000</v>
      </c>
      <c r="I352" s="70">
        <v>30000</v>
      </c>
      <c r="J352" s="173"/>
    </row>
    <row r="353" spans="1:10">
      <c r="A353" s="82" t="s">
        <v>816</v>
      </c>
      <c r="B353" s="145">
        <v>757</v>
      </c>
      <c r="C353" s="84" t="s">
        <v>43</v>
      </c>
      <c r="D353" s="84" t="s">
        <v>18</v>
      </c>
      <c r="E353" s="84" t="s">
        <v>815</v>
      </c>
      <c r="F353" s="84"/>
      <c r="G353" s="70">
        <f>G354</f>
        <v>374724.82</v>
      </c>
      <c r="H353" s="70">
        <f t="shared" ref="H353:I353" si="95">H354</f>
        <v>392000</v>
      </c>
      <c r="I353" s="70">
        <f t="shared" si="95"/>
        <v>392000</v>
      </c>
      <c r="J353" s="173"/>
    </row>
    <row r="354" spans="1:10" ht="26.4">
      <c r="A354" s="82" t="s">
        <v>29</v>
      </c>
      <c r="B354" s="145">
        <v>757</v>
      </c>
      <c r="C354" s="84" t="s">
        <v>43</v>
      </c>
      <c r="D354" s="84" t="s">
        <v>18</v>
      </c>
      <c r="E354" s="84" t="s">
        <v>815</v>
      </c>
      <c r="F354" s="84" t="s">
        <v>30</v>
      </c>
      <c r="G354" s="70">
        <f>G355+G356</f>
        <v>374724.82</v>
      </c>
      <c r="H354" s="70">
        <f t="shared" ref="H354:I354" si="96">H355+H356</f>
        <v>392000</v>
      </c>
      <c r="I354" s="70">
        <f t="shared" si="96"/>
        <v>392000</v>
      </c>
      <c r="J354" s="173"/>
    </row>
    <row r="355" spans="1:10" ht="19.5" customHeight="1">
      <c r="A355" s="82" t="s">
        <v>31</v>
      </c>
      <c r="B355" s="145">
        <v>757</v>
      </c>
      <c r="C355" s="84" t="s">
        <v>43</v>
      </c>
      <c r="D355" s="84" t="s">
        <v>18</v>
      </c>
      <c r="E355" s="84" t="s">
        <v>815</v>
      </c>
      <c r="F355" s="84" t="s">
        <v>32</v>
      </c>
      <c r="G355" s="70">
        <f>355135.07-1001.9</f>
        <v>354133.17</v>
      </c>
      <c r="H355" s="70">
        <v>374000</v>
      </c>
      <c r="I355" s="70">
        <v>374000</v>
      </c>
      <c r="J355" s="173"/>
    </row>
    <row r="356" spans="1:10" ht="19.5" customHeight="1">
      <c r="A356" s="82" t="s">
        <v>606</v>
      </c>
      <c r="B356" s="145">
        <v>757</v>
      </c>
      <c r="C356" s="84" t="s">
        <v>43</v>
      </c>
      <c r="D356" s="84" t="s">
        <v>18</v>
      </c>
      <c r="E356" s="84" t="s">
        <v>815</v>
      </c>
      <c r="F356" s="84" t="s">
        <v>605</v>
      </c>
      <c r="G356" s="70">
        <v>20591.650000000001</v>
      </c>
      <c r="H356" s="70">
        <v>18000</v>
      </c>
      <c r="I356" s="70">
        <v>18000</v>
      </c>
      <c r="J356" s="173"/>
    </row>
    <row r="357" spans="1:10" ht="26.4">
      <c r="A357" s="82" t="s">
        <v>812</v>
      </c>
      <c r="B357" s="145">
        <v>757</v>
      </c>
      <c r="C357" s="84" t="s">
        <v>43</v>
      </c>
      <c r="D357" s="84" t="s">
        <v>18</v>
      </c>
      <c r="E357" s="84" t="s">
        <v>811</v>
      </c>
      <c r="F357" s="84"/>
      <c r="G357" s="70">
        <f>G358</f>
        <v>14146.8</v>
      </c>
      <c r="H357" s="70">
        <f t="shared" ref="H357:I357" si="97">H358</f>
        <v>30000</v>
      </c>
      <c r="I357" s="70">
        <f t="shared" si="97"/>
        <v>30000</v>
      </c>
      <c r="J357" s="173"/>
    </row>
    <row r="358" spans="1:10" ht="26.4">
      <c r="A358" s="82" t="s">
        <v>29</v>
      </c>
      <c r="B358" s="145">
        <v>757</v>
      </c>
      <c r="C358" s="84" t="s">
        <v>43</v>
      </c>
      <c r="D358" s="84" t="s">
        <v>18</v>
      </c>
      <c r="E358" s="84" t="s">
        <v>811</v>
      </c>
      <c r="F358" s="84" t="s">
        <v>30</v>
      </c>
      <c r="G358" s="70">
        <f>G359</f>
        <v>14146.8</v>
      </c>
      <c r="H358" s="70">
        <f>H359</f>
        <v>30000</v>
      </c>
      <c r="I358" s="70">
        <f>I359</f>
        <v>30000</v>
      </c>
      <c r="J358" s="173"/>
    </row>
    <row r="359" spans="1:10" ht="19.5" customHeight="1">
      <c r="A359" s="82" t="s">
        <v>31</v>
      </c>
      <c r="B359" s="145">
        <v>757</v>
      </c>
      <c r="C359" s="84" t="s">
        <v>43</v>
      </c>
      <c r="D359" s="84" t="s">
        <v>18</v>
      </c>
      <c r="E359" s="84" t="s">
        <v>811</v>
      </c>
      <c r="F359" s="84" t="s">
        <v>32</v>
      </c>
      <c r="G359" s="70">
        <v>14146.8</v>
      </c>
      <c r="H359" s="70">
        <v>30000</v>
      </c>
      <c r="I359" s="70">
        <v>30000</v>
      </c>
      <c r="J359" s="173"/>
    </row>
    <row r="360" spans="1:10" ht="39.6">
      <c r="A360" s="82" t="s">
        <v>818</v>
      </c>
      <c r="B360" s="145">
        <v>757</v>
      </c>
      <c r="C360" s="84" t="s">
        <v>43</v>
      </c>
      <c r="D360" s="84" t="s">
        <v>18</v>
      </c>
      <c r="E360" s="84" t="s">
        <v>817</v>
      </c>
      <c r="F360" s="84"/>
      <c r="G360" s="70">
        <f>G361</f>
        <v>17200</v>
      </c>
      <c r="H360" s="70">
        <f t="shared" ref="H360:I360" si="98">H361</f>
        <v>0</v>
      </c>
      <c r="I360" s="70">
        <f t="shared" si="98"/>
        <v>0</v>
      </c>
      <c r="J360" s="173"/>
    </row>
    <row r="361" spans="1:10" ht="26.4">
      <c r="A361" s="82" t="s">
        <v>29</v>
      </c>
      <c r="B361" s="145">
        <v>757</v>
      </c>
      <c r="C361" s="84" t="s">
        <v>43</v>
      </c>
      <c r="D361" s="84" t="s">
        <v>18</v>
      </c>
      <c r="E361" s="84" t="s">
        <v>817</v>
      </c>
      <c r="F361" s="84" t="s">
        <v>30</v>
      </c>
      <c r="G361" s="87">
        <f>G362</f>
        <v>17200</v>
      </c>
      <c r="H361" s="87">
        <f>H362</f>
        <v>0</v>
      </c>
      <c r="I361" s="87">
        <f>I362</f>
        <v>0</v>
      </c>
      <c r="J361" s="173"/>
    </row>
    <row r="362" spans="1:10" ht="19.5" customHeight="1">
      <c r="A362" s="82" t="s">
        <v>31</v>
      </c>
      <c r="B362" s="145">
        <v>757</v>
      </c>
      <c r="C362" s="84" t="s">
        <v>43</v>
      </c>
      <c r="D362" s="84" t="s">
        <v>18</v>
      </c>
      <c r="E362" s="84" t="s">
        <v>817</v>
      </c>
      <c r="F362" s="84" t="s">
        <v>32</v>
      </c>
      <c r="G362" s="70">
        <v>17200</v>
      </c>
      <c r="H362" s="87">
        <v>0</v>
      </c>
      <c r="I362" s="87">
        <v>0</v>
      </c>
      <c r="J362" s="173"/>
    </row>
    <row r="363" spans="1:10" ht="26.4" hidden="1">
      <c r="A363" s="82" t="s">
        <v>820</v>
      </c>
      <c r="B363" s="145">
        <v>757</v>
      </c>
      <c r="C363" s="84" t="s">
        <v>43</v>
      </c>
      <c r="D363" s="84" t="s">
        <v>18</v>
      </c>
      <c r="E363" s="84" t="s">
        <v>819</v>
      </c>
      <c r="F363" s="84"/>
      <c r="G363" s="70">
        <f>G364</f>
        <v>0</v>
      </c>
      <c r="H363" s="87">
        <f t="shared" ref="H363:I363" si="99">H364</f>
        <v>0</v>
      </c>
      <c r="I363" s="87">
        <f t="shared" si="99"/>
        <v>0</v>
      </c>
      <c r="J363" s="173"/>
    </row>
    <row r="364" spans="1:10" ht="26.4" hidden="1">
      <c r="A364" s="82" t="s">
        <v>29</v>
      </c>
      <c r="B364" s="145">
        <v>757</v>
      </c>
      <c r="C364" s="84" t="s">
        <v>43</v>
      </c>
      <c r="D364" s="84" t="s">
        <v>18</v>
      </c>
      <c r="E364" s="84" t="s">
        <v>819</v>
      </c>
      <c r="F364" s="84" t="s">
        <v>30</v>
      </c>
      <c r="G364" s="70">
        <f>G365</f>
        <v>0</v>
      </c>
      <c r="H364" s="87">
        <f>H365</f>
        <v>0</v>
      </c>
      <c r="I364" s="87">
        <f>I365</f>
        <v>0</v>
      </c>
      <c r="J364" s="173"/>
    </row>
    <row r="365" spans="1:10" ht="19.5" hidden="1" customHeight="1">
      <c r="A365" s="82" t="s">
        <v>31</v>
      </c>
      <c r="B365" s="145">
        <v>757</v>
      </c>
      <c r="C365" s="84" t="s">
        <v>43</v>
      </c>
      <c r="D365" s="84" t="s">
        <v>18</v>
      </c>
      <c r="E365" s="84" t="s">
        <v>819</v>
      </c>
      <c r="F365" s="84" t="s">
        <v>32</v>
      </c>
      <c r="G365" s="70"/>
      <c r="H365" s="87"/>
      <c r="I365" s="87"/>
      <c r="J365" s="173"/>
    </row>
    <row r="366" spans="1:10" ht="39.6" hidden="1">
      <c r="A366" s="82" t="s">
        <v>822</v>
      </c>
      <c r="B366" s="145">
        <v>757</v>
      </c>
      <c r="C366" s="84" t="s">
        <v>43</v>
      </c>
      <c r="D366" s="84" t="s">
        <v>18</v>
      </c>
      <c r="E366" s="84" t="s">
        <v>821</v>
      </c>
      <c r="F366" s="84"/>
      <c r="G366" s="70">
        <f>G367</f>
        <v>0</v>
      </c>
      <c r="H366" s="87">
        <f t="shared" ref="H366:I366" si="100">H367</f>
        <v>0</v>
      </c>
      <c r="I366" s="87">
        <f t="shared" si="100"/>
        <v>0</v>
      </c>
      <c r="J366" s="173"/>
    </row>
    <row r="367" spans="1:10" ht="26.4" hidden="1">
      <c r="A367" s="82" t="s">
        <v>29</v>
      </c>
      <c r="B367" s="145">
        <v>757</v>
      </c>
      <c r="C367" s="84" t="s">
        <v>43</v>
      </c>
      <c r="D367" s="84" t="s">
        <v>18</v>
      </c>
      <c r="E367" s="84" t="s">
        <v>821</v>
      </c>
      <c r="F367" s="84" t="s">
        <v>30</v>
      </c>
      <c r="G367" s="70">
        <f>G368</f>
        <v>0</v>
      </c>
      <c r="H367" s="87">
        <f>H368</f>
        <v>0</v>
      </c>
      <c r="I367" s="87">
        <f>I368</f>
        <v>0</v>
      </c>
      <c r="J367" s="173"/>
    </row>
    <row r="368" spans="1:10" ht="19.5" hidden="1" customHeight="1">
      <c r="A368" s="82" t="s">
        <v>31</v>
      </c>
      <c r="B368" s="145">
        <v>757</v>
      </c>
      <c r="C368" s="84" t="s">
        <v>43</v>
      </c>
      <c r="D368" s="84" t="s">
        <v>18</v>
      </c>
      <c r="E368" s="84" t="s">
        <v>821</v>
      </c>
      <c r="F368" s="84" t="s">
        <v>32</v>
      </c>
      <c r="G368" s="70"/>
      <c r="H368" s="87"/>
      <c r="I368" s="87"/>
      <c r="J368" s="173"/>
    </row>
    <row r="369" spans="1:18" ht="39.6">
      <c r="A369" s="82" t="s">
        <v>978</v>
      </c>
      <c r="B369" s="145">
        <v>757</v>
      </c>
      <c r="C369" s="84" t="s">
        <v>43</v>
      </c>
      <c r="D369" s="84" t="s">
        <v>18</v>
      </c>
      <c r="E369" s="84" t="s">
        <v>823</v>
      </c>
      <c r="F369" s="84"/>
      <c r="G369" s="70">
        <f>G370</f>
        <v>10000</v>
      </c>
      <c r="H369" s="87">
        <f t="shared" ref="H369:I369" si="101">H370</f>
        <v>20000</v>
      </c>
      <c r="I369" s="87">
        <f t="shared" si="101"/>
        <v>0</v>
      </c>
      <c r="J369" s="173"/>
    </row>
    <row r="370" spans="1:18" ht="26.4">
      <c r="A370" s="82" t="s">
        <v>29</v>
      </c>
      <c r="B370" s="145">
        <v>757</v>
      </c>
      <c r="C370" s="84" t="s">
        <v>43</v>
      </c>
      <c r="D370" s="84" t="s">
        <v>18</v>
      </c>
      <c r="E370" s="84" t="s">
        <v>823</v>
      </c>
      <c r="F370" s="84" t="s">
        <v>30</v>
      </c>
      <c r="G370" s="70">
        <f>G371</f>
        <v>10000</v>
      </c>
      <c r="H370" s="87">
        <f>H371</f>
        <v>20000</v>
      </c>
      <c r="I370" s="87">
        <f>I371</f>
        <v>0</v>
      </c>
      <c r="J370" s="173"/>
    </row>
    <row r="371" spans="1:18" ht="19.5" customHeight="1">
      <c r="A371" s="82" t="s">
        <v>31</v>
      </c>
      <c r="B371" s="145">
        <v>757</v>
      </c>
      <c r="C371" s="84" t="s">
        <v>43</v>
      </c>
      <c r="D371" s="84" t="s">
        <v>18</v>
      </c>
      <c r="E371" s="84" t="s">
        <v>823</v>
      </c>
      <c r="F371" s="84" t="s">
        <v>32</v>
      </c>
      <c r="G371" s="70">
        <v>10000</v>
      </c>
      <c r="H371" s="87">
        <v>20000</v>
      </c>
      <c r="I371" s="87">
        <v>0</v>
      </c>
      <c r="J371" s="173"/>
    </row>
    <row r="372" spans="1:18" ht="26.4">
      <c r="A372" s="82" t="s">
        <v>825</v>
      </c>
      <c r="B372" s="145">
        <v>757</v>
      </c>
      <c r="C372" s="84" t="s">
        <v>43</v>
      </c>
      <c r="D372" s="84" t="s">
        <v>18</v>
      </c>
      <c r="E372" s="84" t="s">
        <v>824</v>
      </c>
      <c r="F372" s="84"/>
      <c r="G372" s="70">
        <f>G373</f>
        <v>13791.41</v>
      </c>
      <c r="H372" s="87">
        <f t="shared" ref="H372:I372" si="102">H373</f>
        <v>16173.7</v>
      </c>
      <c r="I372" s="87">
        <f t="shared" si="102"/>
        <v>16173.7</v>
      </c>
      <c r="J372" s="173"/>
    </row>
    <row r="373" spans="1:18" ht="26.4">
      <c r="A373" s="82" t="s">
        <v>29</v>
      </c>
      <c r="B373" s="145">
        <v>757</v>
      </c>
      <c r="C373" s="84" t="s">
        <v>43</v>
      </c>
      <c r="D373" s="84" t="s">
        <v>18</v>
      </c>
      <c r="E373" s="84" t="s">
        <v>824</v>
      </c>
      <c r="F373" s="84" t="s">
        <v>30</v>
      </c>
      <c r="G373" s="70">
        <f>G374</f>
        <v>13791.41</v>
      </c>
      <c r="H373" s="87">
        <f>H374</f>
        <v>16173.7</v>
      </c>
      <c r="I373" s="87">
        <f>I374</f>
        <v>16173.7</v>
      </c>
      <c r="J373" s="173"/>
    </row>
    <row r="374" spans="1:18" ht="19.5" customHeight="1">
      <c r="A374" s="82" t="s">
        <v>31</v>
      </c>
      <c r="B374" s="145">
        <v>757</v>
      </c>
      <c r="C374" s="84" t="s">
        <v>43</v>
      </c>
      <c r="D374" s="84" t="s">
        <v>18</v>
      </c>
      <c r="E374" s="84" t="s">
        <v>824</v>
      </c>
      <c r="F374" s="84" t="s">
        <v>32</v>
      </c>
      <c r="G374" s="70">
        <f>16173.7-2382.29</f>
        <v>13791.41</v>
      </c>
      <c r="H374" s="87">
        <v>16173.7</v>
      </c>
      <c r="I374" s="87">
        <v>16173.7</v>
      </c>
      <c r="J374" s="173"/>
    </row>
    <row r="375" spans="1:18">
      <c r="A375" s="82" t="s">
        <v>827</v>
      </c>
      <c r="B375" s="145">
        <v>757</v>
      </c>
      <c r="C375" s="84" t="s">
        <v>43</v>
      </c>
      <c r="D375" s="84" t="s">
        <v>18</v>
      </c>
      <c r="E375" s="84" t="s">
        <v>813</v>
      </c>
      <c r="F375" s="84"/>
      <c r="G375" s="70">
        <f>G376</f>
        <v>199320</v>
      </c>
      <c r="H375" s="87">
        <f t="shared" ref="H375:I375" si="103">H376</f>
        <v>100000</v>
      </c>
      <c r="I375" s="87">
        <f t="shared" si="103"/>
        <v>100000</v>
      </c>
      <c r="J375" s="173"/>
    </row>
    <row r="376" spans="1:18" ht="26.4">
      <c r="A376" s="82" t="s">
        <v>29</v>
      </c>
      <c r="B376" s="145">
        <v>757</v>
      </c>
      <c r="C376" s="84" t="s">
        <v>43</v>
      </c>
      <c r="D376" s="84" t="s">
        <v>18</v>
      </c>
      <c r="E376" s="84" t="s">
        <v>813</v>
      </c>
      <c r="F376" s="84" t="s">
        <v>30</v>
      </c>
      <c r="G376" s="70">
        <f>G377</f>
        <v>199320</v>
      </c>
      <c r="H376" s="87">
        <f>H377</f>
        <v>100000</v>
      </c>
      <c r="I376" s="87">
        <f>I377</f>
        <v>100000</v>
      </c>
      <c r="J376" s="173"/>
    </row>
    <row r="377" spans="1:18" ht="19.5" customHeight="1">
      <c r="A377" s="82" t="s">
        <v>31</v>
      </c>
      <c r="B377" s="145">
        <v>757</v>
      </c>
      <c r="C377" s="84" t="s">
        <v>43</v>
      </c>
      <c r="D377" s="84" t="s">
        <v>18</v>
      </c>
      <c r="E377" s="84" t="s">
        <v>813</v>
      </c>
      <c r="F377" s="84" t="s">
        <v>32</v>
      </c>
      <c r="G377" s="70">
        <v>199320</v>
      </c>
      <c r="H377" s="87">
        <f>200000-100000</f>
        <v>100000</v>
      </c>
      <c r="I377" s="87">
        <f>200000-100000</f>
        <v>100000</v>
      </c>
      <c r="J377" s="173"/>
    </row>
    <row r="378" spans="1:18" ht="26.4" hidden="1">
      <c r="A378" s="82" t="s">
        <v>829</v>
      </c>
      <c r="B378" s="145">
        <v>757</v>
      </c>
      <c r="C378" s="84" t="s">
        <v>43</v>
      </c>
      <c r="D378" s="84" t="s">
        <v>18</v>
      </c>
      <c r="E378" s="84" t="s">
        <v>828</v>
      </c>
      <c r="F378" s="84"/>
      <c r="G378" s="70">
        <f>G379</f>
        <v>0</v>
      </c>
      <c r="H378" s="87">
        <f t="shared" ref="H378:I378" si="104">H379</f>
        <v>0</v>
      </c>
      <c r="I378" s="87">
        <f t="shared" si="104"/>
        <v>0</v>
      </c>
      <c r="J378" s="173"/>
    </row>
    <row r="379" spans="1:18" ht="26.4" hidden="1">
      <c r="A379" s="82" t="s">
        <v>29</v>
      </c>
      <c r="B379" s="145">
        <v>757</v>
      </c>
      <c r="C379" s="84" t="s">
        <v>43</v>
      </c>
      <c r="D379" s="84" t="s">
        <v>18</v>
      </c>
      <c r="E379" s="84" t="s">
        <v>828</v>
      </c>
      <c r="F379" s="84" t="s">
        <v>30</v>
      </c>
      <c r="G379" s="70">
        <f>G380</f>
        <v>0</v>
      </c>
      <c r="H379" s="87">
        <f>H380</f>
        <v>0</v>
      </c>
      <c r="I379" s="87">
        <f>I380</f>
        <v>0</v>
      </c>
      <c r="J379" s="173"/>
    </row>
    <row r="380" spans="1:18" ht="19.5" hidden="1" customHeight="1">
      <c r="A380" s="82" t="s">
        <v>31</v>
      </c>
      <c r="B380" s="145">
        <v>757</v>
      </c>
      <c r="C380" s="84" t="s">
        <v>43</v>
      </c>
      <c r="D380" s="84" t="s">
        <v>18</v>
      </c>
      <c r="E380" s="84" t="s">
        <v>828</v>
      </c>
      <c r="F380" s="84" t="s">
        <v>32</v>
      </c>
      <c r="G380" s="70"/>
      <c r="H380" s="87"/>
      <c r="I380" s="87"/>
      <c r="J380" s="173"/>
    </row>
    <row r="381" spans="1:18" s="90" customFormat="1" ht="32.25" hidden="1" customHeight="1">
      <c r="A381" s="82" t="s">
        <v>1031</v>
      </c>
      <c r="B381" s="145">
        <v>757</v>
      </c>
      <c r="C381" s="84" t="s">
        <v>43</v>
      </c>
      <c r="D381" s="84" t="s">
        <v>18</v>
      </c>
      <c r="E381" s="84" t="s">
        <v>1030</v>
      </c>
      <c r="F381" s="84"/>
      <c r="G381" s="70">
        <f>G382</f>
        <v>0</v>
      </c>
      <c r="H381" s="87">
        <f t="shared" ref="H381:I381" si="105">H382</f>
        <v>0</v>
      </c>
      <c r="I381" s="87">
        <f t="shared" si="105"/>
        <v>0</v>
      </c>
      <c r="J381" s="173"/>
      <c r="K381" s="181"/>
      <c r="L381" s="181"/>
      <c r="M381" s="181"/>
      <c r="N381" s="181"/>
      <c r="O381" s="181"/>
      <c r="P381" s="181"/>
      <c r="Q381" s="181"/>
      <c r="R381" s="181"/>
    </row>
    <row r="382" spans="1:18" s="90" customFormat="1" ht="26.4" hidden="1">
      <c r="A382" s="82" t="s">
        <v>29</v>
      </c>
      <c r="B382" s="145">
        <v>757</v>
      </c>
      <c r="C382" s="84" t="s">
        <v>43</v>
      </c>
      <c r="D382" s="84" t="s">
        <v>18</v>
      </c>
      <c r="E382" s="84" t="s">
        <v>1030</v>
      </c>
      <c r="F382" s="84" t="s">
        <v>30</v>
      </c>
      <c r="G382" s="70">
        <f>G383</f>
        <v>0</v>
      </c>
      <c r="H382" s="87">
        <f>H383</f>
        <v>0</v>
      </c>
      <c r="I382" s="87">
        <f>I383</f>
        <v>0</v>
      </c>
      <c r="J382" s="173"/>
      <c r="K382" s="181"/>
      <c r="L382" s="181"/>
      <c r="M382" s="181"/>
      <c r="N382" s="181"/>
      <c r="O382" s="181"/>
      <c r="P382" s="181"/>
      <c r="Q382" s="181"/>
      <c r="R382" s="181"/>
    </row>
    <row r="383" spans="1:18" s="90" customFormat="1" ht="19.5" hidden="1" customHeight="1">
      <c r="A383" s="82" t="s">
        <v>31</v>
      </c>
      <c r="B383" s="145">
        <v>757</v>
      </c>
      <c r="C383" s="84" t="s">
        <v>43</v>
      </c>
      <c r="D383" s="84" t="s">
        <v>18</v>
      </c>
      <c r="E383" s="84" t="s">
        <v>1030</v>
      </c>
      <c r="F383" s="84" t="s">
        <v>32</v>
      </c>
      <c r="G383" s="70"/>
      <c r="H383" s="87"/>
      <c r="I383" s="87"/>
      <c r="J383" s="173"/>
      <c r="K383" s="181"/>
      <c r="L383" s="181"/>
      <c r="M383" s="181"/>
      <c r="N383" s="181"/>
      <c r="O383" s="181"/>
      <c r="P383" s="181"/>
      <c r="Q383" s="181"/>
      <c r="R383" s="181"/>
    </row>
    <row r="384" spans="1:18" s="90" customFormat="1" ht="36.75" hidden="1" customHeight="1">
      <c r="A384" s="295" t="s">
        <v>1033</v>
      </c>
      <c r="B384" s="145">
        <v>757</v>
      </c>
      <c r="C384" s="84" t="s">
        <v>43</v>
      </c>
      <c r="D384" s="84" t="s">
        <v>18</v>
      </c>
      <c r="E384" s="84" t="s">
        <v>1032</v>
      </c>
      <c r="F384" s="84"/>
      <c r="G384" s="70">
        <f>G385</f>
        <v>0</v>
      </c>
      <c r="H384" s="87">
        <f t="shared" ref="H384:I384" si="106">H385</f>
        <v>0</v>
      </c>
      <c r="I384" s="87">
        <f t="shared" si="106"/>
        <v>0</v>
      </c>
      <c r="J384" s="173"/>
      <c r="K384" s="181"/>
      <c r="L384" s="181"/>
      <c r="M384" s="181"/>
      <c r="N384" s="181"/>
      <c r="O384" s="181"/>
      <c r="P384" s="181"/>
      <c r="Q384" s="181"/>
      <c r="R384" s="181"/>
    </row>
    <row r="385" spans="1:18" s="90" customFormat="1" ht="26.4" hidden="1">
      <c r="A385" s="82" t="s">
        <v>29</v>
      </c>
      <c r="B385" s="145">
        <v>757</v>
      </c>
      <c r="C385" s="84" t="s">
        <v>43</v>
      </c>
      <c r="D385" s="84" t="s">
        <v>18</v>
      </c>
      <c r="E385" s="84" t="s">
        <v>1032</v>
      </c>
      <c r="F385" s="84" t="s">
        <v>30</v>
      </c>
      <c r="G385" s="70">
        <f>G386</f>
        <v>0</v>
      </c>
      <c r="H385" s="87">
        <f>H386</f>
        <v>0</v>
      </c>
      <c r="I385" s="87">
        <f>I386</f>
        <v>0</v>
      </c>
      <c r="J385" s="173"/>
      <c r="K385" s="181"/>
      <c r="L385" s="181"/>
      <c r="M385" s="181"/>
      <c r="N385" s="181"/>
      <c r="O385" s="181"/>
      <c r="P385" s="181"/>
      <c r="Q385" s="181"/>
      <c r="R385" s="181"/>
    </row>
    <row r="386" spans="1:18" s="90" customFormat="1" ht="19.5" hidden="1" customHeight="1">
      <c r="A386" s="82" t="s">
        <v>31</v>
      </c>
      <c r="B386" s="145">
        <v>757</v>
      </c>
      <c r="C386" s="84" t="s">
        <v>43</v>
      </c>
      <c r="D386" s="84" t="s">
        <v>18</v>
      </c>
      <c r="E386" s="84" t="s">
        <v>1032</v>
      </c>
      <c r="F386" s="84" t="s">
        <v>32</v>
      </c>
      <c r="G386" s="70"/>
      <c r="H386" s="87">
        <v>0</v>
      </c>
      <c r="I386" s="87">
        <v>0</v>
      </c>
      <c r="J386" s="173"/>
      <c r="K386" s="181"/>
      <c r="L386" s="181"/>
      <c r="M386" s="181"/>
      <c r="N386" s="181"/>
      <c r="O386" s="181"/>
      <c r="P386" s="181"/>
      <c r="Q386" s="181"/>
      <c r="R386" s="181"/>
    </row>
    <row r="387" spans="1:18" s="90" customFormat="1" ht="42" hidden="1" customHeight="1">
      <c r="A387" s="295" t="s">
        <v>1040</v>
      </c>
      <c r="B387" s="145">
        <v>757</v>
      </c>
      <c r="C387" s="84" t="s">
        <v>43</v>
      </c>
      <c r="D387" s="84" t="s">
        <v>18</v>
      </c>
      <c r="E387" s="84" t="s">
        <v>1034</v>
      </c>
      <c r="F387" s="84"/>
      <c r="G387" s="70">
        <f>G388</f>
        <v>0</v>
      </c>
      <c r="H387" s="87">
        <f t="shared" ref="H387:I387" si="107">H388</f>
        <v>0</v>
      </c>
      <c r="I387" s="87">
        <f t="shared" si="107"/>
        <v>0</v>
      </c>
      <c r="J387" s="173"/>
      <c r="K387" s="181"/>
      <c r="L387" s="181"/>
      <c r="M387" s="181"/>
      <c r="N387" s="181"/>
      <c r="O387" s="181"/>
      <c r="P387" s="181"/>
      <c r="Q387" s="181"/>
      <c r="R387" s="181"/>
    </row>
    <row r="388" spans="1:18" s="90" customFormat="1" ht="26.4" hidden="1">
      <c r="A388" s="82" t="s">
        <v>29</v>
      </c>
      <c r="B388" s="145">
        <v>757</v>
      </c>
      <c r="C388" s="84" t="s">
        <v>43</v>
      </c>
      <c r="D388" s="84" t="s">
        <v>18</v>
      </c>
      <c r="E388" s="84" t="s">
        <v>1034</v>
      </c>
      <c r="F388" s="84" t="s">
        <v>30</v>
      </c>
      <c r="G388" s="70">
        <f>G389</f>
        <v>0</v>
      </c>
      <c r="H388" s="87">
        <f>H389</f>
        <v>0</v>
      </c>
      <c r="I388" s="87">
        <f>I389</f>
        <v>0</v>
      </c>
      <c r="J388" s="173"/>
      <c r="K388" s="181"/>
      <c r="L388" s="181"/>
      <c r="M388" s="181"/>
      <c r="N388" s="181"/>
      <c r="O388" s="181"/>
      <c r="P388" s="181"/>
      <c r="Q388" s="181"/>
      <c r="R388" s="181"/>
    </row>
    <row r="389" spans="1:18" s="90" customFormat="1" ht="19.5" hidden="1" customHeight="1">
      <c r="A389" s="82" t="s">
        <v>31</v>
      </c>
      <c r="B389" s="145">
        <v>757</v>
      </c>
      <c r="C389" s="84" t="s">
        <v>43</v>
      </c>
      <c r="D389" s="84" t="s">
        <v>18</v>
      </c>
      <c r="E389" s="84" t="s">
        <v>1034</v>
      </c>
      <c r="F389" s="84" t="s">
        <v>32</v>
      </c>
      <c r="G389" s="70"/>
      <c r="H389" s="87">
        <v>0</v>
      </c>
      <c r="I389" s="87">
        <v>0</v>
      </c>
      <c r="J389" s="173"/>
      <c r="K389" s="181"/>
      <c r="L389" s="181"/>
      <c r="M389" s="181"/>
      <c r="N389" s="181"/>
      <c r="O389" s="181"/>
      <c r="P389" s="181"/>
      <c r="Q389" s="181"/>
      <c r="R389" s="181"/>
    </row>
    <row r="390" spans="1:18" s="90" customFormat="1" ht="21.75" hidden="1" customHeight="1">
      <c r="A390" s="82" t="s">
        <v>1036</v>
      </c>
      <c r="B390" s="145">
        <v>757</v>
      </c>
      <c r="C390" s="84" t="s">
        <v>43</v>
      </c>
      <c r="D390" s="84" t="s">
        <v>18</v>
      </c>
      <c r="E390" s="84" t="s">
        <v>1035</v>
      </c>
      <c r="F390" s="84"/>
      <c r="G390" s="70">
        <f>G391</f>
        <v>0</v>
      </c>
      <c r="H390" s="87">
        <f t="shared" ref="H390:I390" si="108">H391</f>
        <v>0</v>
      </c>
      <c r="I390" s="87">
        <f t="shared" si="108"/>
        <v>0</v>
      </c>
      <c r="J390" s="173"/>
      <c r="K390" s="181"/>
      <c r="L390" s="181"/>
      <c r="M390" s="181"/>
      <c r="N390" s="181"/>
      <c r="O390" s="181"/>
      <c r="P390" s="181"/>
      <c r="Q390" s="181"/>
      <c r="R390" s="181"/>
    </row>
    <row r="391" spans="1:18" s="90" customFormat="1" ht="26.4" hidden="1">
      <c r="A391" s="82" t="s">
        <v>29</v>
      </c>
      <c r="B391" s="145">
        <v>757</v>
      </c>
      <c r="C391" s="84" t="s">
        <v>43</v>
      </c>
      <c r="D391" s="84" t="s">
        <v>18</v>
      </c>
      <c r="E391" s="84" t="s">
        <v>1035</v>
      </c>
      <c r="F391" s="84" t="s">
        <v>30</v>
      </c>
      <c r="G391" s="70">
        <f>G392</f>
        <v>0</v>
      </c>
      <c r="H391" s="87">
        <f>H392</f>
        <v>0</v>
      </c>
      <c r="I391" s="87">
        <f>I392</f>
        <v>0</v>
      </c>
      <c r="J391" s="173"/>
      <c r="K391" s="181"/>
      <c r="L391" s="181"/>
      <c r="M391" s="181"/>
      <c r="N391" s="181"/>
      <c r="O391" s="181"/>
      <c r="P391" s="181"/>
      <c r="Q391" s="181"/>
      <c r="R391" s="181"/>
    </row>
    <row r="392" spans="1:18" s="90" customFormat="1" ht="19.5" hidden="1" customHeight="1">
      <c r="A392" s="82" t="s">
        <v>31</v>
      </c>
      <c r="B392" s="145">
        <v>757</v>
      </c>
      <c r="C392" s="84" t="s">
        <v>43</v>
      </c>
      <c r="D392" s="84" t="s">
        <v>18</v>
      </c>
      <c r="E392" s="84" t="s">
        <v>1035</v>
      </c>
      <c r="F392" s="84" t="s">
        <v>32</v>
      </c>
      <c r="G392" s="70"/>
      <c r="H392" s="87">
        <v>0</v>
      </c>
      <c r="I392" s="87">
        <v>0</v>
      </c>
      <c r="J392" s="173"/>
      <c r="K392" s="181"/>
      <c r="L392" s="181"/>
      <c r="M392" s="181"/>
      <c r="N392" s="181"/>
      <c r="O392" s="181"/>
      <c r="P392" s="181"/>
      <c r="Q392" s="181"/>
      <c r="R392" s="181"/>
    </row>
    <row r="393" spans="1:18" s="90" customFormat="1" ht="33" hidden="1" customHeight="1">
      <c r="A393" s="82" t="s">
        <v>1173</v>
      </c>
      <c r="B393" s="145">
        <v>757</v>
      </c>
      <c r="C393" s="84" t="s">
        <v>43</v>
      </c>
      <c r="D393" s="84" t="s">
        <v>18</v>
      </c>
      <c r="E393" s="84" t="s">
        <v>1070</v>
      </c>
      <c r="F393" s="84"/>
      <c r="G393" s="70">
        <f>G394</f>
        <v>0</v>
      </c>
      <c r="H393" s="87">
        <f t="shared" ref="H393:I393" si="109">H394</f>
        <v>0</v>
      </c>
      <c r="I393" s="87">
        <f t="shared" si="109"/>
        <v>0</v>
      </c>
      <c r="J393" s="173"/>
      <c r="K393" s="181"/>
      <c r="L393" s="181"/>
      <c r="M393" s="181"/>
      <c r="N393" s="181"/>
      <c r="O393" s="181"/>
      <c r="P393" s="181"/>
      <c r="Q393" s="181"/>
      <c r="R393" s="181"/>
    </row>
    <row r="394" spans="1:18" s="90" customFormat="1" ht="26.4" hidden="1">
      <c r="A394" s="82" t="s">
        <v>29</v>
      </c>
      <c r="B394" s="145">
        <v>757</v>
      </c>
      <c r="C394" s="84" t="s">
        <v>43</v>
      </c>
      <c r="D394" s="84" t="s">
        <v>18</v>
      </c>
      <c r="E394" s="84" t="s">
        <v>1070</v>
      </c>
      <c r="F394" s="84" t="s">
        <v>30</v>
      </c>
      <c r="G394" s="87">
        <f>G395</f>
        <v>0</v>
      </c>
      <c r="H394" s="87">
        <f>H395</f>
        <v>0</v>
      </c>
      <c r="I394" s="87">
        <f>I395</f>
        <v>0</v>
      </c>
      <c r="J394" s="173"/>
      <c r="K394" s="181"/>
      <c r="L394" s="181"/>
      <c r="M394" s="181"/>
      <c r="N394" s="181"/>
      <c r="O394" s="181"/>
      <c r="P394" s="181"/>
      <c r="Q394" s="181"/>
      <c r="R394" s="181"/>
    </row>
    <row r="395" spans="1:18" s="90" customFormat="1" ht="19.5" hidden="1" customHeight="1">
      <c r="A395" s="82" t="s">
        <v>31</v>
      </c>
      <c r="B395" s="145">
        <v>757</v>
      </c>
      <c r="C395" s="84" t="s">
        <v>43</v>
      </c>
      <c r="D395" s="84" t="s">
        <v>18</v>
      </c>
      <c r="E395" s="84" t="s">
        <v>1070</v>
      </c>
      <c r="F395" s="84" t="s">
        <v>32</v>
      </c>
      <c r="G395" s="70">
        <f>697260-697252.75-7.25</f>
        <v>0</v>
      </c>
      <c r="H395" s="87">
        <v>0</v>
      </c>
      <c r="I395" s="87">
        <v>0</v>
      </c>
      <c r="J395" s="173"/>
      <c r="K395" s="181"/>
      <c r="L395" s="181"/>
      <c r="M395" s="181"/>
      <c r="N395" s="181"/>
      <c r="O395" s="181"/>
      <c r="P395" s="181"/>
      <c r="Q395" s="181"/>
      <c r="R395" s="181"/>
    </row>
    <row r="396" spans="1:18" s="90" customFormat="1" ht="33.75" customHeight="1">
      <c r="A396" s="82" t="s">
        <v>1174</v>
      </c>
      <c r="B396" s="145">
        <v>757</v>
      </c>
      <c r="C396" s="84" t="s">
        <v>43</v>
      </c>
      <c r="D396" s="84" t="s">
        <v>18</v>
      </c>
      <c r="E396" s="84" t="s">
        <v>1071</v>
      </c>
      <c r="F396" s="84"/>
      <c r="G396" s="70">
        <f>G397</f>
        <v>591840</v>
      </c>
      <c r="H396" s="87">
        <f t="shared" ref="H396:I396" si="110">H397</f>
        <v>0</v>
      </c>
      <c r="I396" s="87">
        <f t="shared" si="110"/>
        <v>0</v>
      </c>
      <c r="J396" s="173"/>
      <c r="K396" s="181"/>
      <c r="L396" s="181"/>
      <c r="M396" s="181"/>
      <c r="N396" s="181"/>
      <c r="O396" s="181"/>
      <c r="P396" s="181"/>
      <c r="Q396" s="181"/>
      <c r="R396" s="181"/>
    </row>
    <row r="397" spans="1:18" s="90" customFormat="1" ht="26.4">
      <c r="A397" s="82" t="s">
        <v>29</v>
      </c>
      <c r="B397" s="145">
        <v>757</v>
      </c>
      <c r="C397" s="84" t="s">
        <v>43</v>
      </c>
      <c r="D397" s="84" t="s">
        <v>18</v>
      </c>
      <c r="E397" s="84" t="s">
        <v>1071</v>
      </c>
      <c r="F397" s="84" t="s">
        <v>30</v>
      </c>
      <c r="G397" s="70">
        <f>G398</f>
        <v>591840</v>
      </c>
      <c r="H397" s="87">
        <f>H398</f>
        <v>0</v>
      </c>
      <c r="I397" s="87">
        <f>I398</f>
        <v>0</v>
      </c>
      <c r="J397" s="173"/>
      <c r="K397" s="181"/>
      <c r="L397" s="181"/>
      <c r="M397" s="181"/>
      <c r="N397" s="181"/>
      <c r="O397" s="181"/>
      <c r="P397" s="181"/>
      <c r="Q397" s="181"/>
      <c r="R397" s="181"/>
    </row>
    <row r="398" spans="1:18" s="90" customFormat="1" ht="19.5" customHeight="1">
      <c r="A398" s="82" t="s">
        <v>31</v>
      </c>
      <c r="B398" s="145">
        <v>757</v>
      </c>
      <c r="C398" s="84" t="s">
        <v>43</v>
      </c>
      <c r="D398" s="84" t="s">
        <v>18</v>
      </c>
      <c r="E398" s="84" t="s">
        <v>1071</v>
      </c>
      <c r="F398" s="84" t="s">
        <v>32</v>
      </c>
      <c r="G398" s="70">
        <v>591840</v>
      </c>
      <c r="H398" s="87">
        <v>0</v>
      </c>
      <c r="I398" s="87">
        <v>0</v>
      </c>
      <c r="J398" s="173"/>
      <c r="K398" s="181"/>
      <c r="L398" s="181"/>
      <c r="M398" s="181"/>
      <c r="N398" s="181"/>
      <c r="O398" s="181"/>
      <c r="P398" s="181"/>
      <c r="Q398" s="181"/>
      <c r="R398" s="181"/>
    </row>
    <row r="399" spans="1:18" s="90" customFormat="1" ht="33.75" customHeight="1">
      <c r="A399" s="304" t="s">
        <v>1204</v>
      </c>
      <c r="B399" s="145">
        <v>757</v>
      </c>
      <c r="C399" s="84" t="s">
        <v>43</v>
      </c>
      <c r="D399" s="84" t="s">
        <v>18</v>
      </c>
      <c r="E399" s="84" t="s">
        <v>1072</v>
      </c>
      <c r="F399" s="84"/>
      <c r="G399" s="70">
        <f>G400</f>
        <v>0</v>
      </c>
      <c r="H399" s="87">
        <f t="shared" ref="H399:I399" si="111">H400</f>
        <v>0</v>
      </c>
      <c r="I399" s="87">
        <f t="shared" si="111"/>
        <v>0</v>
      </c>
      <c r="J399" s="173"/>
      <c r="K399" s="181"/>
      <c r="L399" s="181"/>
      <c r="M399" s="181"/>
      <c r="N399" s="181"/>
      <c r="O399" s="181"/>
      <c r="P399" s="181"/>
      <c r="Q399" s="181"/>
      <c r="R399" s="181"/>
    </row>
    <row r="400" spans="1:18" s="90" customFormat="1" ht="26.4">
      <c r="A400" s="82" t="s">
        <v>29</v>
      </c>
      <c r="B400" s="145">
        <v>757</v>
      </c>
      <c r="C400" s="84" t="s">
        <v>43</v>
      </c>
      <c r="D400" s="84" t="s">
        <v>18</v>
      </c>
      <c r="E400" s="84" t="s">
        <v>1072</v>
      </c>
      <c r="F400" s="84" t="s">
        <v>30</v>
      </c>
      <c r="G400" s="70">
        <f>G401</f>
        <v>0</v>
      </c>
      <c r="H400" s="87">
        <f>H401</f>
        <v>0</v>
      </c>
      <c r="I400" s="87">
        <f>I401</f>
        <v>0</v>
      </c>
      <c r="J400" s="173"/>
      <c r="K400" s="181"/>
      <c r="L400" s="181"/>
      <c r="M400" s="181"/>
      <c r="N400" s="181"/>
      <c r="O400" s="181"/>
      <c r="P400" s="181"/>
      <c r="Q400" s="181"/>
      <c r="R400" s="181"/>
    </row>
    <row r="401" spans="1:18" s="90" customFormat="1" ht="19.5" customHeight="1">
      <c r="A401" s="82" t="s">
        <v>31</v>
      </c>
      <c r="B401" s="145">
        <v>757</v>
      </c>
      <c r="C401" s="84" t="s">
        <v>43</v>
      </c>
      <c r="D401" s="84" t="s">
        <v>18</v>
      </c>
      <c r="E401" s="84" t="s">
        <v>1072</v>
      </c>
      <c r="F401" s="84" t="s">
        <v>32</v>
      </c>
      <c r="G401" s="70"/>
      <c r="H401" s="87">
        <v>0</v>
      </c>
      <c r="I401" s="87">
        <v>0</v>
      </c>
      <c r="J401" s="173"/>
      <c r="K401" s="181"/>
      <c r="L401" s="181"/>
      <c r="M401" s="181"/>
      <c r="N401" s="181"/>
      <c r="O401" s="181"/>
      <c r="P401" s="181"/>
      <c r="Q401" s="181"/>
      <c r="R401" s="181"/>
    </row>
    <row r="402" spans="1:18" s="90" customFormat="1" ht="33.75" hidden="1" customHeight="1">
      <c r="A402" s="304" t="s">
        <v>1074</v>
      </c>
      <c r="B402" s="145">
        <v>757</v>
      </c>
      <c r="C402" s="84" t="s">
        <v>43</v>
      </c>
      <c r="D402" s="84" t="s">
        <v>18</v>
      </c>
      <c r="E402" s="84" t="s">
        <v>1073</v>
      </c>
      <c r="F402" s="84"/>
      <c r="G402" s="70">
        <f>G403</f>
        <v>0</v>
      </c>
      <c r="H402" s="87">
        <f t="shared" ref="H402:I402" si="112">H403</f>
        <v>0</v>
      </c>
      <c r="I402" s="87">
        <f t="shared" si="112"/>
        <v>0</v>
      </c>
      <c r="J402" s="173"/>
      <c r="K402" s="181"/>
      <c r="L402" s="181"/>
      <c r="M402" s="181"/>
      <c r="N402" s="181"/>
      <c r="O402" s="181"/>
      <c r="P402" s="181"/>
      <c r="Q402" s="181"/>
      <c r="R402" s="181"/>
    </row>
    <row r="403" spans="1:18" s="90" customFormat="1" ht="26.4" hidden="1">
      <c r="A403" s="82" t="s">
        <v>29</v>
      </c>
      <c r="B403" s="145">
        <v>757</v>
      </c>
      <c r="C403" s="84" t="s">
        <v>43</v>
      </c>
      <c r="D403" s="84" t="s">
        <v>18</v>
      </c>
      <c r="E403" s="84" t="s">
        <v>1073</v>
      </c>
      <c r="F403" s="84" t="s">
        <v>30</v>
      </c>
      <c r="G403" s="70">
        <f>G404</f>
        <v>0</v>
      </c>
      <c r="H403" s="87">
        <f>H404</f>
        <v>0</v>
      </c>
      <c r="I403" s="87">
        <f>I404</f>
        <v>0</v>
      </c>
      <c r="J403" s="173"/>
      <c r="K403" s="181"/>
      <c r="L403" s="181"/>
      <c r="M403" s="181"/>
      <c r="N403" s="181"/>
      <c r="O403" s="181"/>
      <c r="P403" s="181"/>
      <c r="Q403" s="181"/>
      <c r="R403" s="181"/>
    </row>
    <row r="404" spans="1:18" s="90" customFormat="1" ht="19.5" hidden="1" customHeight="1">
      <c r="A404" s="82" t="s">
        <v>31</v>
      </c>
      <c r="B404" s="145">
        <v>757</v>
      </c>
      <c r="C404" s="84" t="s">
        <v>43</v>
      </c>
      <c r="D404" s="84" t="s">
        <v>18</v>
      </c>
      <c r="E404" s="84" t="s">
        <v>1073</v>
      </c>
      <c r="F404" s="84" t="s">
        <v>32</v>
      </c>
      <c r="G404" s="70"/>
      <c r="H404" s="87">
        <v>0</v>
      </c>
      <c r="I404" s="87">
        <v>0</v>
      </c>
      <c r="J404" s="173"/>
      <c r="K404" s="181"/>
      <c r="L404" s="181"/>
      <c r="M404" s="181"/>
      <c r="N404" s="181"/>
      <c r="O404" s="181"/>
      <c r="P404" s="181"/>
      <c r="Q404" s="181"/>
      <c r="R404" s="181"/>
    </row>
    <row r="405" spans="1:18" s="90" customFormat="1" ht="33.75" customHeight="1">
      <c r="A405" s="304" t="s">
        <v>1076</v>
      </c>
      <c r="B405" s="145">
        <v>757</v>
      </c>
      <c r="C405" s="84" t="s">
        <v>43</v>
      </c>
      <c r="D405" s="84" t="s">
        <v>18</v>
      </c>
      <c r="E405" s="84" t="s">
        <v>1075</v>
      </c>
      <c r="F405" s="84"/>
      <c r="G405" s="70">
        <f>G406</f>
        <v>13606.2</v>
      </c>
      <c r="H405" s="87">
        <f t="shared" ref="H405:I405" si="113">H406</f>
        <v>0</v>
      </c>
      <c r="I405" s="87">
        <f t="shared" si="113"/>
        <v>0</v>
      </c>
      <c r="J405" s="173"/>
      <c r="K405" s="181"/>
      <c r="L405" s="181"/>
      <c r="M405" s="181"/>
      <c r="N405" s="181"/>
      <c r="O405" s="181"/>
      <c r="P405" s="181"/>
      <c r="Q405" s="181"/>
      <c r="R405" s="181"/>
    </row>
    <row r="406" spans="1:18" s="90" customFormat="1" ht="26.4">
      <c r="A406" s="82" t="s">
        <v>29</v>
      </c>
      <c r="B406" s="145">
        <v>757</v>
      </c>
      <c r="C406" s="84" t="s">
        <v>43</v>
      </c>
      <c r="D406" s="84" t="s">
        <v>18</v>
      </c>
      <c r="E406" s="84" t="s">
        <v>1075</v>
      </c>
      <c r="F406" s="84" t="s">
        <v>30</v>
      </c>
      <c r="G406" s="87">
        <f>G407</f>
        <v>13606.2</v>
      </c>
      <c r="H406" s="87">
        <f>H407</f>
        <v>0</v>
      </c>
      <c r="I406" s="87">
        <f>I407</f>
        <v>0</v>
      </c>
      <c r="J406" s="173"/>
      <c r="K406" s="181"/>
      <c r="L406" s="181"/>
      <c r="M406" s="181"/>
      <c r="N406" s="181"/>
      <c r="O406" s="181"/>
      <c r="P406" s="181"/>
      <c r="Q406" s="181"/>
      <c r="R406" s="181"/>
    </row>
    <row r="407" spans="1:18" s="90" customFormat="1" ht="19.5" customHeight="1">
      <c r="A407" s="82" t="s">
        <v>31</v>
      </c>
      <c r="B407" s="145">
        <v>757</v>
      </c>
      <c r="C407" s="84" t="s">
        <v>43</v>
      </c>
      <c r="D407" s="84" t="s">
        <v>18</v>
      </c>
      <c r="E407" s="84" t="s">
        <v>1075</v>
      </c>
      <c r="F407" s="84" t="s">
        <v>32</v>
      </c>
      <c r="G407" s="70">
        <v>13606.2</v>
      </c>
      <c r="H407" s="87">
        <v>0</v>
      </c>
      <c r="I407" s="87">
        <v>0</v>
      </c>
      <c r="J407" s="173"/>
      <c r="K407" s="181"/>
      <c r="L407" s="181"/>
      <c r="M407" s="181"/>
      <c r="N407" s="181"/>
      <c r="O407" s="181"/>
      <c r="P407" s="181"/>
      <c r="Q407" s="181"/>
      <c r="R407" s="181"/>
    </row>
    <row r="408" spans="1:18" s="90" customFormat="1" ht="33.75" customHeight="1">
      <c r="A408" s="304" t="s">
        <v>1078</v>
      </c>
      <c r="B408" s="145">
        <v>757</v>
      </c>
      <c r="C408" s="84" t="s">
        <v>43</v>
      </c>
      <c r="D408" s="84" t="s">
        <v>18</v>
      </c>
      <c r="E408" s="84" t="s">
        <v>1077</v>
      </c>
      <c r="F408" s="84"/>
      <c r="G408" s="70">
        <f>G409</f>
        <v>28709.81</v>
      </c>
      <c r="H408" s="87">
        <f t="shared" ref="H408:I408" si="114">H409</f>
        <v>0</v>
      </c>
      <c r="I408" s="87">
        <f t="shared" si="114"/>
        <v>0</v>
      </c>
      <c r="J408" s="173"/>
      <c r="K408" s="181"/>
      <c r="L408" s="181"/>
      <c r="M408" s="181"/>
      <c r="N408" s="181"/>
      <c r="O408" s="181"/>
      <c r="P408" s="181"/>
      <c r="Q408" s="181"/>
      <c r="R408" s="181"/>
    </row>
    <row r="409" spans="1:18" s="90" customFormat="1" ht="26.4">
      <c r="A409" s="82" t="s">
        <v>29</v>
      </c>
      <c r="B409" s="145">
        <v>757</v>
      </c>
      <c r="C409" s="84" t="s">
        <v>43</v>
      </c>
      <c r="D409" s="84" t="s">
        <v>18</v>
      </c>
      <c r="E409" s="84" t="s">
        <v>1077</v>
      </c>
      <c r="F409" s="84" t="s">
        <v>30</v>
      </c>
      <c r="G409" s="70">
        <f>G410</f>
        <v>28709.81</v>
      </c>
      <c r="H409" s="87">
        <f>H410</f>
        <v>0</v>
      </c>
      <c r="I409" s="87">
        <f>I410</f>
        <v>0</v>
      </c>
      <c r="J409" s="173"/>
      <c r="K409" s="181"/>
      <c r="L409" s="181"/>
      <c r="M409" s="181"/>
      <c r="N409" s="181"/>
      <c r="O409" s="181"/>
      <c r="P409" s="181"/>
      <c r="Q409" s="181"/>
      <c r="R409" s="181"/>
    </row>
    <row r="410" spans="1:18" s="90" customFormat="1" ht="19.5" customHeight="1">
      <c r="A410" s="82" t="s">
        <v>31</v>
      </c>
      <c r="B410" s="145">
        <v>757</v>
      </c>
      <c r="C410" s="84" t="s">
        <v>43</v>
      </c>
      <c r="D410" s="84" t="s">
        <v>18</v>
      </c>
      <c r="E410" s="84" t="s">
        <v>1077</v>
      </c>
      <c r="F410" s="84" t="s">
        <v>32</v>
      </c>
      <c r="G410" s="70">
        <v>28709.81</v>
      </c>
      <c r="H410" s="87">
        <v>0</v>
      </c>
      <c r="I410" s="87">
        <v>0</v>
      </c>
      <c r="J410" s="173"/>
      <c r="K410" s="181"/>
      <c r="L410" s="181"/>
      <c r="M410" s="181"/>
      <c r="N410" s="181"/>
      <c r="O410" s="181"/>
      <c r="P410" s="181"/>
      <c r="Q410" s="181"/>
      <c r="R410" s="181"/>
    </row>
    <row r="411" spans="1:18" s="90" customFormat="1" ht="42" customHeight="1">
      <c r="A411" s="82" t="s">
        <v>1038</v>
      </c>
      <c r="B411" s="145">
        <v>757</v>
      </c>
      <c r="C411" s="84" t="s">
        <v>43</v>
      </c>
      <c r="D411" s="84" t="s">
        <v>18</v>
      </c>
      <c r="E411" s="84" t="s">
        <v>1039</v>
      </c>
      <c r="F411" s="84"/>
      <c r="G411" s="70">
        <f>G412</f>
        <v>50460</v>
      </c>
      <c r="H411" s="87">
        <f t="shared" ref="H411:I411" si="115">H412</f>
        <v>0</v>
      </c>
      <c r="I411" s="87">
        <f t="shared" si="115"/>
        <v>0</v>
      </c>
      <c r="J411" s="173"/>
      <c r="K411" s="181"/>
      <c r="L411" s="181"/>
      <c r="M411" s="181"/>
      <c r="N411" s="181"/>
      <c r="O411" s="181"/>
      <c r="P411" s="181"/>
      <c r="Q411" s="181"/>
      <c r="R411" s="181"/>
    </row>
    <row r="412" spans="1:18" s="90" customFormat="1" ht="26.4">
      <c r="A412" s="82" t="s">
        <v>29</v>
      </c>
      <c r="B412" s="145">
        <v>757</v>
      </c>
      <c r="C412" s="84" t="s">
        <v>43</v>
      </c>
      <c r="D412" s="84" t="s">
        <v>18</v>
      </c>
      <c r="E412" s="84" t="s">
        <v>1039</v>
      </c>
      <c r="F412" s="84" t="s">
        <v>30</v>
      </c>
      <c r="G412" s="70">
        <f>G413</f>
        <v>50460</v>
      </c>
      <c r="H412" s="87">
        <f>H413</f>
        <v>0</v>
      </c>
      <c r="I412" s="87">
        <f>I413</f>
        <v>0</v>
      </c>
      <c r="J412" s="173"/>
      <c r="K412" s="181"/>
      <c r="L412" s="181"/>
      <c r="M412" s="181"/>
      <c r="N412" s="181"/>
      <c r="O412" s="181"/>
      <c r="P412" s="181"/>
      <c r="Q412" s="181"/>
      <c r="R412" s="181"/>
    </row>
    <row r="413" spans="1:18" s="90" customFormat="1" ht="19.5" customHeight="1">
      <c r="A413" s="82" t="s">
        <v>31</v>
      </c>
      <c r="B413" s="145">
        <v>757</v>
      </c>
      <c r="C413" s="84" t="s">
        <v>43</v>
      </c>
      <c r="D413" s="84" t="s">
        <v>18</v>
      </c>
      <c r="E413" s="84" t="s">
        <v>1039</v>
      </c>
      <c r="F413" s="84" t="s">
        <v>32</v>
      </c>
      <c r="G413" s="70">
        <v>50460</v>
      </c>
      <c r="H413" s="87">
        <v>0</v>
      </c>
      <c r="I413" s="87">
        <v>0</v>
      </c>
      <c r="J413" s="173"/>
      <c r="K413" s="181"/>
      <c r="L413" s="181"/>
      <c r="M413" s="181"/>
      <c r="N413" s="181"/>
      <c r="O413" s="181"/>
      <c r="P413" s="181"/>
      <c r="Q413" s="181"/>
      <c r="R413" s="181"/>
    </row>
    <row r="414" spans="1:18" s="90" customFormat="1" ht="79.5" hidden="1" customHeight="1">
      <c r="A414" s="82" t="s">
        <v>548</v>
      </c>
      <c r="B414" s="145">
        <v>757</v>
      </c>
      <c r="C414" s="84" t="s">
        <v>43</v>
      </c>
      <c r="D414" s="84" t="s">
        <v>18</v>
      </c>
      <c r="E414" s="84" t="s">
        <v>954</v>
      </c>
      <c r="F414" s="84"/>
      <c r="G414" s="87">
        <f>G415</f>
        <v>0</v>
      </c>
      <c r="H414" s="87">
        <f t="shared" ref="H414:I414" si="116">H415</f>
        <v>0</v>
      </c>
      <c r="I414" s="87">
        <f t="shared" si="116"/>
        <v>0</v>
      </c>
      <c r="J414" s="173"/>
      <c r="K414" s="181"/>
      <c r="L414" s="181"/>
      <c r="M414" s="181"/>
      <c r="N414" s="181"/>
      <c r="O414" s="181"/>
      <c r="P414" s="181"/>
      <c r="Q414" s="181"/>
      <c r="R414" s="181"/>
    </row>
    <row r="415" spans="1:18" s="90" customFormat="1" ht="26.4" hidden="1">
      <c r="A415" s="82" t="s">
        <v>29</v>
      </c>
      <c r="B415" s="145">
        <v>757</v>
      </c>
      <c r="C415" s="84" t="s">
        <v>43</v>
      </c>
      <c r="D415" s="84" t="s">
        <v>18</v>
      </c>
      <c r="E415" s="84" t="s">
        <v>954</v>
      </c>
      <c r="F415" s="84" t="s">
        <v>30</v>
      </c>
      <c r="G415" s="87">
        <f>G416</f>
        <v>0</v>
      </c>
      <c r="H415" s="87">
        <f>H416</f>
        <v>0</v>
      </c>
      <c r="I415" s="87">
        <f>I416</f>
        <v>0</v>
      </c>
      <c r="J415" s="173"/>
      <c r="K415" s="181"/>
      <c r="L415" s="181"/>
      <c r="M415" s="181"/>
      <c r="N415" s="181"/>
      <c r="O415" s="181"/>
      <c r="P415" s="181"/>
      <c r="Q415" s="181"/>
      <c r="R415" s="181"/>
    </row>
    <row r="416" spans="1:18" s="90" customFormat="1" ht="19.5" hidden="1" customHeight="1">
      <c r="A416" s="82" t="s">
        <v>31</v>
      </c>
      <c r="B416" s="145">
        <v>757</v>
      </c>
      <c r="C416" s="84" t="s">
        <v>43</v>
      </c>
      <c r="D416" s="84" t="s">
        <v>18</v>
      </c>
      <c r="E416" s="84" t="s">
        <v>954</v>
      </c>
      <c r="F416" s="84" t="s">
        <v>32</v>
      </c>
      <c r="G416" s="87"/>
      <c r="H416" s="87"/>
      <c r="I416" s="87"/>
      <c r="J416" s="173"/>
      <c r="K416" s="181"/>
      <c r="L416" s="181"/>
      <c r="M416" s="181"/>
      <c r="N416" s="181"/>
      <c r="O416" s="181"/>
      <c r="P416" s="181"/>
      <c r="Q416" s="181"/>
      <c r="R416" s="181"/>
    </row>
    <row r="417" spans="1:20" s="90" customFormat="1" ht="71.25" hidden="1" customHeight="1">
      <c r="A417" s="82" t="s">
        <v>918</v>
      </c>
      <c r="B417" s="145">
        <v>757</v>
      </c>
      <c r="C417" s="84" t="s">
        <v>43</v>
      </c>
      <c r="D417" s="84" t="s">
        <v>18</v>
      </c>
      <c r="E417" s="84" t="s">
        <v>917</v>
      </c>
      <c r="F417" s="84"/>
      <c r="G417" s="87">
        <f>G418</f>
        <v>0</v>
      </c>
      <c r="H417" s="87">
        <f t="shared" ref="H417:I417" si="117">H418</f>
        <v>0</v>
      </c>
      <c r="I417" s="87">
        <f t="shared" si="117"/>
        <v>0</v>
      </c>
      <c r="J417" s="173"/>
      <c r="K417" s="181"/>
      <c r="L417" s="181"/>
      <c r="M417" s="181"/>
      <c r="N417" s="181"/>
      <c r="O417" s="181"/>
      <c r="P417" s="181"/>
      <c r="Q417" s="181"/>
      <c r="R417" s="181"/>
    </row>
    <row r="418" spans="1:20" s="90" customFormat="1" ht="26.4" hidden="1">
      <c r="A418" s="82" t="s">
        <v>29</v>
      </c>
      <c r="B418" s="145">
        <v>757</v>
      </c>
      <c r="C418" s="84" t="s">
        <v>43</v>
      </c>
      <c r="D418" s="84" t="s">
        <v>18</v>
      </c>
      <c r="E418" s="84" t="s">
        <v>917</v>
      </c>
      <c r="F418" s="84" t="s">
        <v>30</v>
      </c>
      <c r="G418" s="87">
        <f>G419</f>
        <v>0</v>
      </c>
      <c r="H418" s="87">
        <f>H419</f>
        <v>0</v>
      </c>
      <c r="I418" s="87">
        <f>I419</f>
        <v>0</v>
      </c>
      <c r="J418" s="173"/>
      <c r="K418" s="181"/>
      <c r="L418" s="181"/>
      <c r="M418" s="181"/>
      <c r="N418" s="181"/>
      <c r="O418" s="181"/>
      <c r="P418" s="181"/>
      <c r="Q418" s="181"/>
      <c r="R418" s="181"/>
    </row>
    <row r="419" spans="1:20" s="90" customFormat="1" ht="19.5" hidden="1" customHeight="1">
      <c r="A419" s="82" t="s">
        <v>31</v>
      </c>
      <c r="B419" s="145">
        <v>757</v>
      </c>
      <c r="C419" s="84" t="s">
        <v>43</v>
      </c>
      <c r="D419" s="84" t="s">
        <v>18</v>
      </c>
      <c r="E419" s="84" t="s">
        <v>917</v>
      </c>
      <c r="F419" s="84" t="s">
        <v>32</v>
      </c>
      <c r="G419" s="87"/>
      <c r="H419" s="87"/>
      <c r="I419" s="87"/>
      <c r="J419" s="173"/>
      <c r="K419" s="181"/>
      <c r="L419" s="181"/>
      <c r="M419" s="181"/>
      <c r="N419" s="181"/>
      <c r="O419" s="181"/>
      <c r="P419" s="181"/>
      <c r="Q419" s="181"/>
      <c r="R419" s="181"/>
    </row>
    <row r="420" spans="1:20" s="90" customFormat="1" ht="42" hidden="1" customHeight="1">
      <c r="A420" s="82" t="s">
        <v>984</v>
      </c>
      <c r="B420" s="145">
        <v>757</v>
      </c>
      <c r="C420" s="84" t="s">
        <v>43</v>
      </c>
      <c r="D420" s="84" t="s">
        <v>18</v>
      </c>
      <c r="E420" s="84" t="s">
        <v>830</v>
      </c>
      <c r="F420" s="84"/>
      <c r="G420" s="87">
        <f>G421</f>
        <v>0</v>
      </c>
      <c r="H420" s="87">
        <f t="shared" ref="H420:I420" si="118">H421</f>
        <v>0</v>
      </c>
      <c r="I420" s="87">
        <f t="shared" si="118"/>
        <v>0</v>
      </c>
      <c r="J420" s="173"/>
      <c r="K420" s="181"/>
      <c r="L420" s="181"/>
      <c r="M420" s="181"/>
      <c r="N420" s="181"/>
      <c r="O420" s="181"/>
      <c r="P420" s="181"/>
      <c r="Q420" s="181"/>
      <c r="R420" s="181"/>
    </row>
    <row r="421" spans="1:20" s="90" customFormat="1" ht="26.4" hidden="1">
      <c r="A421" s="82" t="s">
        <v>29</v>
      </c>
      <c r="B421" s="145">
        <v>757</v>
      </c>
      <c r="C421" s="84" t="s">
        <v>43</v>
      </c>
      <c r="D421" s="84" t="s">
        <v>18</v>
      </c>
      <c r="E421" s="84" t="s">
        <v>830</v>
      </c>
      <c r="F421" s="84" t="s">
        <v>30</v>
      </c>
      <c r="G421" s="87">
        <f>G422</f>
        <v>0</v>
      </c>
      <c r="H421" s="87">
        <f>H422</f>
        <v>0</v>
      </c>
      <c r="I421" s="87">
        <f>I422</f>
        <v>0</v>
      </c>
      <c r="J421" s="173"/>
      <c r="K421" s="181"/>
      <c r="L421" s="181"/>
      <c r="M421" s="181"/>
      <c r="N421" s="181"/>
      <c r="O421" s="181"/>
      <c r="P421" s="181"/>
      <c r="Q421" s="181"/>
      <c r="R421" s="181"/>
    </row>
    <row r="422" spans="1:20" s="90" customFormat="1" ht="19.5" hidden="1" customHeight="1">
      <c r="A422" s="82" t="s">
        <v>31</v>
      </c>
      <c r="B422" s="145">
        <v>757</v>
      </c>
      <c r="C422" s="84" t="s">
        <v>43</v>
      </c>
      <c r="D422" s="84" t="s">
        <v>18</v>
      </c>
      <c r="E422" s="84" t="s">
        <v>830</v>
      </c>
      <c r="F422" s="84" t="s">
        <v>32</v>
      </c>
      <c r="G422" s="87"/>
      <c r="H422" s="87">
        <v>0</v>
      </c>
      <c r="I422" s="87">
        <v>0</v>
      </c>
      <c r="J422" s="173"/>
      <c r="K422" s="181"/>
      <c r="L422" s="181"/>
      <c r="M422" s="181"/>
      <c r="N422" s="181"/>
      <c r="O422" s="181"/>
      <c r="P422" s="181"/>
      <c r="Q422" s="181"/>
      <c r="R422" s="181"/>
    </row>
    <row r="423" spans="1:20" s="90" customFormat="1" ht="39.75" hidden="1" customHeight="1">
      <c r="A423" s="140" t="s">
        <v>718</v>
      </c>
      <c r="B423" s="145">
        <v>757</v>
      </c>
      <c r="C423" s="84" t="s">
        <v>43</v>
      </c>
      <c r="D423" s="84" t="s">
        <v>18</v>
      </c>
      <c r="E423" s="84" t="s">
        <v>985</v>
      </c>
      <c r="F423" s="145"/>
      <c r="G423" s="85">
        <f>G424</f>
        <v>0</v>
      </c>
      <c r="H423" s="85">
        <f t="shared" ref="H423:I423" si="119">H424</f>
        <v>0</v>
      </c>
      <c r="I423" s="85">
        <f t="shared" si="119"/>
        <v>0</v>
      </c>
      <c r="P423" s="123"/>
      <c r="Q423" s="123"/>
      <c r="R423" s="123"/>
      <c r="S423" s="123"/>
      <c r="T423" s="123"/>
    </row>
    <row r="424" spans="1:20" ht="49.5" hidden="1" customHeight="1">
      <c r="A424" s="82" t="s">
        <v>29</v>
      </c>
      <c r="B424" s="145">
        <v>757</v>
      </c>
      <c r="C424" s="84" t="s">
        <v>43</v>
      </c>
      <c r="D424" s="84" t="s">
        <v>18</v>
      </c>
      <c r="E424" s="84" t="s">
        <v>985</v>
      </c>
      <c r="F424" s="84" t="s">
        <v>30</v>
      </c>
      <c r="G424" s="85">
        <f>G425</f>
        <v>0</v>
      </c>
      <c r="H424" s="85">
        <f>H425</f>
        <v>0</v>
      </c>
      <c r="I424" s="85">
        <f>I425</f>
        <v>0</v>
      </c>
      <c r="J424" s="90"/>
      <c r="K424" s="1"/>
      <c r="L424" s="1"/>
      <c r="M424" s="1"/>
      <c r="N424" s="1"/>
      <c r="O424" s="1"/>
      <c r="P424" s="2"/>
      <c r="Q424" s="2"/>
      <c r="R424" s="2"/>
      <c r="S424" s="2"/>
      <c r="T424" s="2"/>
    </row>
    <row r="425" spans="1:20" hidden="1">
      <c r="A425" s="82" t="s">
        <v>31</v>
      </c>
      <c r="B425" s="145">
        <v>757</v>
      </c>
      <c r="C425" s="84" t="s">
        <v>43</v>
      </c>
      <c r="D425" s="84" t="s">
        <v>18</v>
      </c>
      <c r="E425" s="84" t="s">
        <v>985</v>
      </c>
      <c r="F425" s="84" t="s">
        <v>32</v>
      </c>
      <c r="G425" s="85"/>
      <c r="H425" s="85"/>
      <c r="I425" s="85"/>
      <c r="J425" s="90"/>
      <c r="K425" s="1"/>
      <c r="L425" s="1"/>
      <c r="M425" s="1"/>
      <c r="N425" s="1"/>
      <c r="O425" s="1"/>
      <c r="P425" s="2"/>
      <c r="Q425" s="2"/>
      <c r="R425" s="2"/>
      <c r="S425" s="2"/>
      <c r="T425" s="2"/>
    </row>
    <row r="426" spans="1:20" s="161" customFormat="1" ht="30.75" hidden="1" customHeight="1">
      <c r="A426" s="136" t="s">
        <v>267</v>
      </c>
      <c r="B426" s="145">
        <v>757</v>
      </c>
      <c r="C426" s="84" t="s">
        <v>43</v>
      </c>
      <c r="D426" s="84" t="s">
        <v>18</v>
      </c>
      <c r="E426" s="84" t="s">
        <v>543</v>
      </c>
      <c r="F426" s="84"/>
      <c r="G426" s="87">
        <f>G427</f>
        <v>0</v>
      </c>
      <c r="H426" s="263">
        <v>0</v>
      </c>
      <c r="I426" s="263">
        <v>0</v>
      </c>
      <c r="J426" s="188"/>
      <c r="K426" s="201"/>
      <c r="L426" s="201"/>
      <c r="M426" s="201"/>
      <c r="N426" s="201"/>
      <c r="O426" s="201"/>
      <c r="P426" s="201"/>
      <c r="Q426" s="201"/>
      <c r="R426" s="201"/>
    </row>
    <row r="427" spans="1:20" ht="30.75" hidden="1" customHeight="1">
      <c r="A427" s="82" t="s">
        <v>267</v>
      </c>
      <c r="B427" s="145">
        <v>757</v>
      </c>
      <c r="C427" s="84" t="s">
        <v>43</v>
      </c>
      <c r="D427" s="84" t="s">
        <v>18</v>
      </c>
      <c r="E427" s="84" t="s">
        <v>544</v>
      </c>
      <c r="F427" s="84"/>
      <c r="G427" s="87">
        <f>G434</f>
        <v>0</v>
      </c>
      <c r="H427" s="87">
        <v>0</v>
      </c>
      <c r="I427" s="87">
        <v>0</v>
      </c>
      <c r="J427" s="173"/>
    </row>
    <row r="428" spans="1:20" ht="30.75" hidden="1" customHeight="1">
      <c r="A428" s="82" t="s">
        <v>35</v>
      </c>
      <c r="B428" s="83">
        <v>757</v>
      </c>
      <c r="C428" s="84" t="s">
        <v>167</v>
      </c>
      <c r="D428" s="84" t="s">
        <v>27</v>
      </c>
      <c r="E428" s="84" t="s">
        <v>544</v>
      </c>
      <c r="F428" s="84" t="s">
        <v>36</v>
      </c>
      <c r="G428" s="87">
        <f>G429</f>
        <v>0</v>
      </c>
      <c r="H428" s="87">
        <v>0</v>
      </c>
      <c r="I428" s="87">
        <v>0</v>
      </c>
      <c r="J428" s="173"/>
    </row>
    <row r="429" spans="1:20" ht="30.75" hidden="1" customHeight="1">
      <c r="A429" s="82" t="s">
        <v>37</v>
      </c>
      <c r="B429" s="83">
        <v>757</v>
      </c>
      <c r="C429" s="84" t="s">
        <v>167</v>
      </c>
      <c r="D429" s="84" t="s">
        <v>27</v>
      </c>
      <c r="E429" s="84" t="s">
        <v>544</v>
      </c>
      <c r="F429" s="84" t="s">
        <v>38</v>
      </c>
      <c r="G429" s="87">
        <f>прил4!G1066</f>
        <v>0</v>
      </c>
      <c r="H429" s="87">
        <v>0</v>
      </c>
      <c r="I429" s="87">
        <v>0</v>
      </c>
      <c r="J429" s="173"/>
    </row>
    <row r="430" spans="1:20" ht="23.25" hidden="1" customHeight="1">
      <c r="A430" s="82" t="s">
        <v>144</v>
      </c>
      <c r="B430" s="145">
        <v>757</v>
      </c>
      <c r="C430" s="84" t="s">
        <v>69</v>
      </c>
      <c r="D430" s="84" t="s">
        <v>120</v>
      </c>
      <c r="E430" s="84" t="s">
        <v>544</v>
      </c>
      <c r="F430" s="84" t="s">
        <v>145</v>
      </c>
      <c r="G430" s="87">
        <f>G431</f>
        <v>0</v>
      </c>
      <c r="H430" s="87">
        <v>0</v>
      </c>
      <c r="I430" s="87">
        <v>0</v>
      </c>
      <c r="J430" s="173"/>
    </row>
    <row r="431" spans="1:20" ht="30.75" hidden="1" customHeight="1">
      <c r="A431" s="82" t="s">
        <v>146</v>
      </c>
      <c r="B431" s="145">
        <v>757</v>
      </c>
      <c r="C431" s="84" t="s">
        <v>69</v>
      </c>
      <c r="D431" s="84" t="s">
        <v>120</v>
      </c>
      <c r="E431" s="84" t="s">
        <v>544</v>
      </c>
      <c r="F431" s="84" t="s">
        <v>147</v>
      </c>
      <c r="G431" s="87"/>
      <c r="H431" s="87">
        <v>0</v>
      </c>
      <c r="I431" s="87">
        <v>0</v>
      </c>
      <c r="J431" s="173"/>
    </row>
    <row r="432" spans="1:20" ht="21.75" hidden="1" customHeight="1">
      <c r="A432" s="82" t="s">
        <v>152</v>
      </c>
      <c r="B432" s="145">
        <v>757</v>
      </c>
      <c r="C432" s="84" t="s">
        <v>167</v>
      </c>
      <c r="D432" s="84" t="s">
        <v>69</v>
      </c>
      <c r="E432" s="84" t="s">
        <v>544</v>
      </c>
      <c r="F432" s="84" t="s">
        <v>153</v>
      </c>
      <c r="G432" s="87">
        <f>G433</f>
        <v>0</v>
      </c>
      <c r="H432" s="87">
        <v>0</v>
      </c>
      <c r="I432" s="87">
        <v>0</v>
      </c>
      <c r="J432" s="173"/>
    </row>
    <row r="433" spans="1:18" ht="22.5" hidden="1" customHeight="1">
      <c r="A433" s="82" t="s">
        <v>172</v>
      </c>
      <c r="B433" s="145">
        <v>757</v>
      </c>
      <c r="C433" s="84" t="s">
        <v>167</v>
      </c>
      <c r="D433" s="84" t="s">
        <v>69</v>
      </c>
      <c r="E433" s="84" t="s">
        <v>544</v>
      </c>
      <c r="F433" s="84" t="s">
        <v>173</v>
      </c>
      <c r="G433" s="87"/>
      <c r="H433" s="87">
        <v>0</v>
      </c>
      <c r="I433" s="87">
        <v>0</v>
      </c>
      <c r="J433" s="173"/>
    </row>
    <row r="434" spans="1:18" ht="26.4" hidden="1">
      <c r="A434" s="82" t="s">
        <v>29</v>
      </c>
      <c r="B434" s="145">
        <v>757</v>
      </c>
      <c r="C434" s="84" t="s">
        <v>43</v>
      </c>
      <c r="D434" s="84" t="s">
        <v>18</v>
      </c>
      <c r="E434" s="84" t="s">
        <v>544</v>
      </c>
      <c r="F434" s="84" t="s">
        <v>30</v>
      </c>
      <c r="G434" s="85">
        <f t="shared" ref="G434:I434" si="120">G435</f>
        <v>0</v>
      </c>
      <c r="H434" s="85">
        <f t="shared" si="120"/>
        <v>0</v>
      </c>
      <c r="I434" s="85">
        <f t="shared" si="120"/>
        <v>0</v>
      </c>
      <c r="J434" s="174"/>
    </row>
    <row r="435" spans="1:18" hidden="1">
      <c r="A435" s="82" t="s">
        <v>31</v>
      </c>
      <c r="B435" s="145">
        <v>757</v>
      </c>
      <c r="C435" s="84" t="s">
        <v>43</v>
      </c>
      <c r="D435" s="84" t="s">
        <v>18</v>
      </c>
      <c r="E435" s="84" t="s">
        <v>544</v>
      </c>
      <c r="F435" s="84" t="s">
        <v>32</v>
      </c>
      <c r="G435" s="85"/>
      <c r="H435" s="85"/>
      <c r="I435" s="85"/>
      <c r="J435" s="174"/>
    </row>
    <row r="436" spans="1:18" s="165" customFormat="1" ht="34.5" hidden="1" customHeight="1">
      <c r="A436" s="136" t="s">
        <v>163</v>
      </c>
      <c r="B436" s="145">
        <v>757</v>
      </c>
      <c r="C436" s="84" t="s">
        <v>43</v>
      </c>
      <c r="D436" s="84" t="s">
        <v>18</v>
      </c>
      <c r="E436" s="84" t="s">
        <v>228</v>
      </c>
      <c r="F436" s="164"/>
      <c r="G436" s="87">
        <f>G437</f>
        <v>0</v>
      </c>
      <c r="H436" s="87">
        <f t="shared" ref="H436:I437" si="121">H437</f>
        <v>0</v>
      </c>
      <c r="I436" s="87">
        <f t="shared" si="121"/>
        <v>0</v>
      </c>
      <c r="J436" s="173"/>
      <c r="K436" s="205"/>
      <c r="L436" s="199"/>
      <c r="M436" s="199"/>
      <c r="N436" s="199"/>
      <c r="O436" s="199"/>
      <c r="P436" s="199"/>
      <c r="Q436" s="199"/>
      <c r="R436" s="199"/>
    </row>
    <row r="437" spans="1:18" s="90" customFormat="1" ht="26.4" hidden="1">
      <c r="A437" s="136" t="s">
        <v>163</v>
      </c>
      <c r="B437" s="145">
        <v>757</v>
      </c>
      <c r="C437" s="84" t="s">
        <v>43</v>
      </c>
      <c r="D437" s="84" t="s">
        <v>18</v>
      </c>
      <c r="E437" s="84" t="s">
        <v>270</v>
      </c>
      <c r="F437" s="145"/>
      <c r="G437" s="87">
        <f>G438</f>
        <v>0</v>
      </c>
      <c r="H437" s="87">
        <f t="shared" si="121"/>
        <v>0</v>
      </c>
      <c r="I437" s="87">
        <f t="shared" si="121"/>
        <v>0</v>
      </c>
      <c r="J437" s="173"/>
      <c r="K437" s="204"/>
      <c r="L437" s="181"/>
      <c r="M437" s="181"/>
      <c r="N437" s="181"/>
      <c r="O437" s="181"/>
      <c r="P437" s="181"/>
      <c r="Q437" s="181"/>
      <c r="R437" s="181"/>
    </row>
    <row r="438" spans="1:18" ht="24" hidden="1" customHeight="1">
      <c r="A438" s="82" t="s">
        <v>29</v>
      </c>
      <c r="B438" s="145">
        <v>757</v>
      </c>
      <c r="C438" s="84" t="s">
        <v>43</v>
      </c>
      <c r="D438" s="84" t="s">
        <v>18</v>
      </c>
      <c r="E438" s="84" t="s">
        <v>270</v>
      </c>
      <c r="F438" s="84" t="s">
        <v>30</v>
      </c>
      <c r="G438" s="87">
        <f>G439</f>
        <v>0</v>
      </c>
      <c r="H438" s="87">
        <f>H439</f>
        <v>0</v>
      </c>
      <c r="I438" s="87">
        <f>I439</f>
        <v>0</v>
      </c>
      <c r="J438" s="173"/>
    </row>
    <row r="439" spans="1:18" ht="18" hidden="1" customHeight="1">
      <c r="A439" s="82" t="s">
        <v>31</v>
      </c>
      <c r="B439" s="145">
        <v>757</v>
      </c>
      <c r="C439" s="84" t="s">
        <v>43</v>
      </c>
      <c r="D439" s="84" t="s">
        <v>18</v>
      </c>
      <c r="E439" s="84" t="s">
        <v>270</v>
      </c>
      <c r="F439" s="84" t="s">
        <v>32</v>
      </c>
      <c r="G439" s="87"/>
      <c r="H439" s="87"/>
      <c r="I439" s="87"/>
      <c r="J439" s="173"/>
    </row>
    <row r="440" spans="1:18" s="3" customFormat="1" ht="26.4" hidden="1">
      <c r="A440" s="82" t="s">
        <v>1066</v>
      </c>
      <c r="B440" s="145">
        <v>757</v>
      </c>
      <c r="C440" s="84" t="s">
        <v>43</v>
      </c>
      <c r="D440" s="84" t="s">
        <v>18</v>
      </c>
      <c r="E440" s="84" t="s">
        <v>1081</v>
      </c>
      <c r="F440" s="84"/>
      <c r="G440" s="87">
        <f t="shared" ref="G440:I441" si="122">G441</f>
        <v>0</v>
      </c>
      <c r="H440" s="87">
        <f t="shared" si="122"/>
        <v>0</v>
      </c>
      <c r="I440" s="87">
        <f t="shared" si="122"/>
        <v>0</v>
      </c>
      <c r="J440" s="173"/>
      <c r="K440" s="194"/>
      <c r="L440" s="194"/>
      <c r="M440" s="194"/>
      <c r="N440" s="194"/>
      <c r="O440" s="194"/>
      <c r="P440" s="194"/>
      <c r="Q440" s="194"/>
      <c r="R440" s="194"/>
    </row>
    <row r="441" spans="1:18" s="3" customFormat="1" ht="26.4" hidden="1">
      <c r="A441" s="82" t="s">
        <v>29</v>
      </c>
      <c r="B441" s="145">
        <v>757</v>
      </c>
      <c r="C441" s="84" t="s">
        <v>43</v>
      </c>
      <c r="D441" s="84" t="s">
        <v>18</v>
      </c>
      <c r="E441" s="84" t="s">
        <v>1081</v>
      </c>
      <c r="F441" s="84" t="s">
        <v>30</v>
      </c>
      <c r="G441" s="87">
        <f t="shared" si="122"/>
        <v>0</v>
      </c>
      <c r="H441" s="87">
        <f t="shared" si="122"/>
        <v>0</v>
      </c>
      <c r="I441" s="87">
        <f t="shared" si="122"/>
        <v>0</v>
      </c>
      <c r="J441" s="173"/>
      <c r="K441" s="194"/>
      <c r="L441" s="194"/>
      <c r="M441" s="194"/>
      <c r="N441" s="194"/>
      <c r="O441" s="194"/>
      <c r="P441" s="194"/>
      <c r="Q441" s="194"/>
      <c r="R441" s="194"/>
    </row>
    <row r="442" spans="1:18" s="3" customFormat="1" hidden="1">
      <c r="A442" s="82" t="s">
        <v>31</v>
      </c>
      <c r="B442" s="145">
        <v>757</v>
      </c>
      <c r="C442" s="84" t="s">
        <v>43</v>
      </c>
      <c r="D442" s="84" t="s">
        <v>18</v>
      </c>
      <c r="E442" s="84" t="s">
        <v>1081</v>
      </c>
      <c r="F442" s="84" t="s">
        <v>32</v>
      </c>
      <c r="G442" s="87"/>
      <c r="H442" s="87">
        <v>0</v>
      </c>
      <c r="I442" s="87">
        <v>0</v>
      </c>
      <c r="J442" s="173">
        <f>G442+G118</f>
        <v>0</v>
      </c>
      <c r="K442" s="194"/>
      <c r="L442" s="194"/>
      <c r="M442" s="194"/>
      <c r="N442" s="194"/>
      <c r="O442" s="194"/>
      <c r="P442" s="194"/>
      <c r="Q442" s="194"/>
      <c r="R442" s="194"/>
    </row>
    <row r="443" spans="1:18" ht="34.950000000000003" hidden="1" customHeight="1">
      <c r="A443" s="136" t="s">
        <v>163</v>
      </c>
      <c r="B443" s="145">
        <v>757</v>
      </c>
      <c r="C443" s="84" t="s">
        <v>43</v>
      </c>
      <c r="D443" s="84" t="s">
        <v>18</v>
      </c>
      <c r="E443" s="84" t="s">
        <v>228</v>
      </c>
      <c r="F443" s="164"/>
      <c r="G443" s="87">
        <f>G444</f>
        <v>0</v>
      </c>
      <c r="H443" s="87"/>
      <c r="I443" s="87"/>
      <c r="J443" s="173"/>
    </row>
    <row r="444" spans="1:18" ht="30.6" hidden="1" customHeight="1">
      <c r="A444" s="82" t="s">
        <v>29</v>
      </c>
      <c r="B444" s="145">
        <v>757</v>
      </c>
      <c r="C444" s="84" t="s">
        <v>43</v>
      </c>
      <c r="D444" s="84" t="s">
        <v>18</v>
      </c>
      <c r="E444" s="84" t="s">
        <v>270</v>
      </c>
      <c r="F444" s="145"/>
      <c r="G444" s="87">
        <f>G445</f>
        <v>0</v>
      </c>
      <c r="H444" s="87"/>
      <c r="I444" s="87"/>
      <c r="J444" s="173"/>
    </row>
    <row r="445" spans="1:18" ht="18" hidden="1" customHeight="1">
      <c r="A445" s="82" t="s">
        <v>31</v>
      </c>
      <c r="B445" s="145">
        <v>757</v>
      </c>
      <c r="C445" s="84" t="s">
        <v>43</v>
      </c>
      <c r="D445" s="84" t="s">
        <v>18</v>
      </c>
      <c r="E445" s="84" t="s">
        <v>270</v>
      </c>
      <c r="F445" s="84" t="s">
        <v>32</v>
      </c>
      <c r="G445" s="87"/>
      <c r="H445" s="87"/>
      <c r="I445" s="87"/>
      <c r="J445" s="173"/>
    </row>
    <row r="446" spans="1:18" s="90" customFormat="1" ht="42" hidden="1" customHeight="1">
      <c r="A446" s="82"/>
      <c r="B446" s="145"/>
      <c r="C446" s="84"/>
      <c r="D446" s="84"/>
      <c r="E446" s="84"/>
      <c r="F446" s="84"/>
      <c r="G446" s="70"/>
      <c r="H446" s="87"/>
      <c r="I446" s="87"/>
      <c r="J446" s="173"/>
      <c r="K446" s="181"/>
      <c r="L446" s="181"/>
      <c r="M446" s="181"/>
      <c r="N446" s="181"/>
      <c r="O446" s="181"/>
      <c r="P446" s="181"/>
      <c r="Q446" s="181"/>
      <c r="R446" s="181"/>
    </row>
    <row r="447" spans="1:18" s="90" customFormat="1" hidden="1">
      <c r="A447" s="82"/>
      <c r="B447" s="145"/>
      <c r="C447" s="84"/>
      <c r="D447" s="84"/>
      <c r="E447" s="84"/>
      <c r="F447" s="84"/>
      <c r="G447" s="70"/>
      <c r="H447" s="87"/>
      <c r="I447" s="87"/>
      <c r="J447" s="173"/>
      <c r="K447" s="181"/>
      <c r="L447" s="181"/>
      <c r="M447" s="181"/>
      <c r="N447" s="181"/>
      <c r="O447" s="181"/>
      <c r="P447" s="181"/>
      <c r="Q447" s="181"/>
      <c r="R447" s="181"/>
    </row>
    <row r="448" spans="1:18" s="90" customFormat="1" ht="19.5" hidden="1" customHeight="1">
      <c r="A448" s="82"/>
      <c r="B448" s="145"/>
      <c r="C448" s="84"/>
      <c r="D448" s="84"/>
      <c r="E448" s="84"/>
      <c r="F448" s="84"/>
      <c r="G448" s="70"/>
      <c r="H448" s="87"/>
      <c r="I448" s="87"/>
      <c r="J448" s="173"/>
      <c r="K448" s="181"/>
      <c r="L448" s="181"/>
      <c r="M448" s="181"/>
      <c r="N448" s="181"/>
      <c r="O448" s="181"/>
      <c r="P448" s="181"/>
      <c r="Q448" s="181"/>
      <c r="R448" s="181"/>
    </row>
    <row r="449" spans="1:20" s="3" customFormat="1" ht="82.2" customHeight="1">
      <c r="A449" s="82" t="s">
        <v>1546</v>
      </c>
      <c r="B449" s="145">
        <v>757</v>
      </c>
      <c r="C449" s="84" t="s">
        <v>43</v>
      </c>
      <c r="D449" s="84" t="s">
        <v>18</v>
      </c>
      <c r="E449" s="84" t="s">
        <v>1220</v>
      </c>
      <c r="F449" s="84"/>
      <c r="G449" s="87">
        <f t="shared" ref="G449:I450" si="123">G450</f>
        <v>462570</v>
      </c>
      <c r="H449" s="87">
        <f t="shared" si="123"/>
        <v>0</v>
      </c>
      <c r="I449" s="87">
        <f t="shared" si="123"/>
        <v>0</v>
      </c>
      <c r="J449" s="173"/>
      <c r="K449" s="194"/>
      <c r="L449" s="194"/>
      <c r="M449" s="194"/>
      <c r="N449" s="194"/>
      <c r="O449" s="194"/>
      <c r="P449" s="194"/>
      <c r="Q449" s="194"/>
      <c r="R449" s="194"/>
    </row>
    <row r="450" spans="1:20" s="3" customFormat="1" ht="26.4">
      <c r="A450" s="82" t="s">
        <v>29</v>
      </c>
      <c r="B450" s="145">
        <v>757</v>
      </c>
      <c r="C450" s="84" t="s">
        <v>43</v>
      </c>
      <c r="D450" s="84" t="s">
        <v>18</v>
      </c>
      <c r="E450" s="84" t="s">
        <v>1220</v>
      </c>
      <c r="F450" s="84" t="s">
        <v>30</v>
      </c>
      <c r="G450" s="87">
        <f t="shared" si="123"/>
        <v>462570</v>
      </c>
      <c r="H450" s="87">
        <f t="shared" si="123"/>
        <v>0</v>
      </c>
      <c r="I450" s="87">
        <f t="shared" si="123"/>
        <v>0</v>
      </c>
      <c r="J450" s="173"/>
      <c r="K450" s="194"/>
      <c r="L450" s="194"/>
      <c r="M450" s="194"/>
      <c r="N450" s="194"/>
      <c r="O450" s="194"/>
      <c r="P450" s="194"/>
      <c r="Q450" s="194"/>
      <c r="R450" s="194"/>
    </row>
    <row r="451" spans="1:20" s="3" customFormat="1">
      <c r="A451" s="82" t="s">
        <v>31</v>
      </c>
      <c r="B451" s="145">
        <v>757</v>
      </c>
      <c r="C451" s="84" t="s">
        <v>43</v>
      </c>
      <c r="D451" s="84" t="s">
        <v>18</v>
      </c>
      <c r="E451" s="84" t="s">
        <v>1220</v>
      </c>
      <c r="F451" s="84" t="s">
        <v>32</v>
      </c>
      <c r="G451" s="87">
        <v>462570</v>
      </c>
      <c r="H451" s="87">
        <v>0</v>
      </c>
      <c r="I451" s="87">
        <v>0</v>
      </c>
      <c r="J451" s="173">
        <f>G451+G127</f>
        <v>1969090</v>
      </c>
      <c r="K451" s="194"/>
      <c r="L451" s="194"/>
      <c r="M451" s="194"/>
      <c r="N451" s="194"/>
      <c r="O451" s="194"/>
      <c r="P451" s="194"/>
      <c r="Q451" s="194"/>
      <c r="R451" s="194"/>
    </row>
    <row r="452" spans="1:20" s="3" customFormat="1" ht="118.8">
      <c r="A452" s="82" t="s">
        <v>1222</v>
      </c>
      <c r="B452" s="145">
        <v>757</v>
      </c>
      <c r="C452" s="84" t="s">
        <v>43</v>
      </c>
      <c r="D452" s="84" t="s">
        <v>18</v>
      </c>
      <c r="E452" s="84" t="s">
        <v>1221</v>
      </c>
      <c r="F452" s="84"/>
      <c r="G452" s="87">
        <f t="shared" ref="G452:I453" si="124">G453</f>
        <v>394500</v>
      </c>
      <c r="H452" s="87">
        <f t="shared" si="124"/>
        <v>0</v>
      </c>
      <c r="I452" s="87">
        <f t="shared" si="124"/>
        <v>0</v>
      </c>
      <c r="J452" s="173"/>
      <c r="K452" s="194"/>
      <c r="L452" s="194"/>
      <c r="M452" s="194"/>
      <c r="N452" s="194"/>
      <c r="O452" s="194"/>
      <c r="P452" s="194"/>
      <c r="Q452" s="194"/>
      <c r="R452" s="194"/>
    </row>
    <row r="453" spans="1:20" s="3" customFormat="1" ht="26.4">
      <c r="A453" s="82" t="s">
        <v>29</v>
      </c>
      <c r="B453" s="145">
        <v>757</v>
      </c>
      <c r="C453" s="84" t="s">
        <v>43</v>
      </c>
      <c r="D453" s="84" t="s">
        <v>18</v>
      </c>
      <c r="E453" s="84" t="s">
        <v>1221</v>
      </c>
      <c r="F453" s="84" t="s">
        <v>30</v>
      </c>
      <c r="G453" s="87">
        <f t="shared" si="124"/>
        <v>394500</v>
      </c>
      <c r="H453" s="87">
        <f t="shared" si="124"/>
        <v>0</v>
      </c>
      <c r="I453" s="87">
        <f t="shared" si="124"/>
        <v>0</v>
      </c>
      <c r="J453" s="173"/>
      <c r="K453" s="194"/>
      <c r="L453" s="194"/>
      <c r="M453" s="194"/>
      <c r="N453" s="194"/>
      <c r="O453" s="194"/>
      <c r="P453" s="194"/>
      <c r="Q453" s="194"/>
      <c r="R453" s="194"/>
    </row>
    <row r="454" spans="1:20" s="3" customFormat="1">
      <c r="A454" s="82" t="s">
        <v>31</v>
      </c>
      <c r="B454" s="145">
        <v>757</v>
      </c>
      <c r="C454" s="84" t="s">
        <v>43</v>
      </c>
      <c r="D454" s="84" t="s">
        <v>18</v>
      </c>
      <c r="E454" s="84" t="s">
        <v>1221</v>
      </c>
      <c r="F454" s="84" t="s">
        <v>32</v>
      </c>
      <c r="G454" s="87">
        <f>500000-105500</f>
        <v>394500</v>
      </c>
      <c r="H454" s="87">
        <v>0</v>
      </c>
      <c r="I454" s="87">
        <v>0</v>
      </c>
      <c r="J454" s="173">
        <f>G454+G130</f>
        <v>3731363.12</v>
      </c>
      <c r="K454" s="194"/>
      <c r="L454" s="194"/>
      <c r="M454" s="194"/>
      <c r="N454" s="194"/>
      <c r="O454" s="194"/>
      <c r="P454" s="194"/>
      <c r="Q454" s="194"/>
      <c r="R454" s="194"/>
    </row>
    <row r="455" spans="1:20" s="3" customFormat="1" ht="72.599999999999994" customHeight="1">
      <c r="A455" s="82" t="s">
        <v>1547</v>
      </c>
      <c r="B455" s="145">
        <v>757</v>
      </c>
      <c r="C455" s="84" t="s">
        <v>43</v>
      </c>
      <c r="D455" s="84" t="s">
        <v>18</v>
      </c>
      <c r="E455" s="84" t="s">
        <v>1223</v>
      </c>
      <c r="F455" s="84"/>
      <c r="G455" s="87">
        <f t="shared" ref="G455:I456" si="125">G456</f>
        <v>4577870</v>
      </c>
      <c r="H455" s="87">
        <f t="shared" si="125"/>
        <v>0</v>
      </c>
      <c r="I455" s="87">
        <f t="shared" si="125"/>
        <v>0</v>
      </c>
      <c r="J455" s="173"/>
      <c r="K455" s="194"/>
      <c r="L455" s="194"/>
      <c r="M455" s="194"/>
      <c r="N455" s="194"/>
      <c r="O455" s="194"/>
      <c r="P455" s="194"/>
      <c r="Q455" s="194"/>
      <c r="R455" s="194"/>
    </row>
    <row r="456" spans="1:20" s="3" customFormat="1" ht="26.4">
      <c r="A456" s="82" t="s">
        <v>29</v>
      </c>
      <c r="B456" s="145">
        <v>757</v>
      </c>
      <c r="C456" s="84" t="s">
        <v>43</v>
      </c>
      <c r="D456" s="84" t="s">
        <v>18</v>
      </c>
      <c r="E456" s="84" t="s">
        <v>1223</v>
      </c>
      <c r="F456" s="84" t="s">
        <v>30</v>
      </c>
      <c r="G456" s="87">
        <f t="shared" si="125"/>
        <v>4577870</v>
      </c>
      <c r="H456" s="87">
        <f t="shared" si="125"/>
        <v>0</v>
      </c>
      <c r="I456" s="87">
        <f t="shared" si="125"/>
        <v>0</v>
      </c>
      <c r="J456" s="173"/>
      <c r="K456" s="194"/>
      <c r="L456" s="194"/>
      <c r="M456" s="194"/>
      <c r="N456" s="194"/>
      <c r="O456" s="194"/>
      <c r="P456" s="194"/>
      <c r="Q456" s="194"/>
      <c r="R456" s="194"/>
    </row>
    <row r="457" spans="1:20" s="3" customFormat="1">
      <c r="A457" s="82" t="s">
        <v>31</v>
      </c>
      <c r="B457" s="145">
        <v>757</v>
      </c>
      <c r="C457" s="84" t="s">
        <v>43</v>
      </c>
      <c r="D457" s="84" t="s">
        <v>18</v>
      </c>
      <c r="E457" s="84" t="s">
        <v>1223</v>
      </c>
      <c r="F457" s="84" t="s">
        <v>32</v>
      </c>
      <c r="G457" s="87">
        <f>4000000+577870</f>
        <v>4577870</v>
      </c>
      <c r="H457" s="87">
        <v>0</v>
      </c>
      <c r="I457" s="87">
        <v>0</v>
      </c>
      <c r="J457" s="173">
        <f>G457+G133</f>
        <v>4577870</v>
      </c>
      <c r="K457" s="194"/>
      <c r="L457" s="194"/>
      <c r="M457" s="194"/>
      <c r="N457" s="194"/>
      <c r="O457" s="194"/>
      <c r="P457" s="194"/>
      <c r="Q457" s="194"/>
      <c r="R457" s="194"/>
    </row>
    <row r="458" spans="1:20" s="3" customFormat="1" ht="66">
      <c r="A458" s="82" t="s">
        <v>1225</v>
      </c>
      <c r="B458" s="145">
        <v>757</v>
      </c>
      <c r="C458" s="84" t="s">
        <v>43</v>
      </c>
      <c r="D458" s="84" t="s">
        <v>18</v>
      </c>
      <c r="E458" s="84" t="s">
        <v>1224</v>
      </c>
      <c r="F458" s="84"/>
      <c r="G458" s="87">
        <f t="shared" ref="G458:I459" si="126">G459</f>
        <v>250000</v>
      </c>
      <c r="H458" s="87">
        <f t="shared" si="126"/>
        <v>0</v>
      </c>
      <c r="I458" s="87">
        <f t="shared" si="126"/>
        <v>0</v>
      </c>
      <c r="J458" s="173"/>
      <c r="K458" s="194"/>
      <c r="L458" s="194"/>
      <c r="M458" s="194"/>
      <c r="N458" s="194"/>
      <c r="O458" s="194"/>
      <c r="P458" s="194"/>
      <c r="Q458" s="194"/>
      <c r="R458" s="194"/>
    </row>
    <row r="459" spans="1:20" s="3" customFormat="1" ht="26.4">
      <c r="A459" s="82" t="s">
        <v>29</v>
      </c>
      <c r="B459" s="145">
        <v>757</v>
      </c>
      <c r="C459" s="84" t="s">
        <v>43</v>
      </c>
      <c r="D459" s="84" t="s">
        <v>18</v>
      </c>
      <c r="E459" s="84" t="s">
        <v>1224</v>
      </c>
      <c r="F459" s="84" t="s">
        <v>30</v>
      </c>
      <c r="G459" s="87">
        <f t="shared" si="126"/>
        <v>250000</v>
      </c>
      <c r="H459" s="87">
        <f t="shared" si="126"/>
        <v>0</v>
      </c>
      <c r="I459" s="87">
        <f t="shared" si="126"/>
        <v>0</v>
      </c>
      <c r="J459" s="173"/>
      <c r="K459" s="194"/>
      <c r="L459" s="194"/>
      <c r="M459" s="194"/>
      <c r="N459" s="194"/>
      <c r="O459" s="194"/>
      <c r="P459" s="194"/>
      <c r="Q459" s="194"/>
      <c r="R459" s="194"/>
    </row>
    <row r="460" spans="1:20" s="3" customFormat="1">
      <c r="A460" s="82" t="s">
        <v>31</v>
      </c>
      <c r="B460" s="145">
        <v>757</v>
      </c>
      <c r="C460" s="84" t="s">
        <v>43</v>
      </c>
      <c r="D460" s="84" t="s">
        <v>18</v>
      </c>
      <c r="E460" s="84" t="s">
        <v>1224</v>
      </c>
      <c r="F460" s="84" t="s">
        <v>32</v>
      </c>
      <c r="G460" s="87">
        <v>250000</v>
      </c>
      <c r="H460" s="87">
        <v>0</v>
      </c>
      <c r="I460" s="87">
        <v>0</v>
      </c>
      <c r="J460" s="173">
        <f>G460+G136</f>
        <v>2037576</v>
      </c>
      <c r="K460" s="194"/>
      <c r="L460" s="194"/>
      <c r="M460" s="194"/>
      <c r="N460" s="194"/>
      <c r="O460" s="194"/>
      <c r="P460" s="194"/>
      <c r="Q460" s="194"/>
      <c r="R460" s="194"/>
    </row>
    <row r="461" spans="1:20" s="146" customFormat="1" ht="26.25" customHeight="1">
      <c r="A461" s="82" t="s">
        <v>158</v>
      </c>
      <c r="B461" s="145">
        <v>757</v>
      </c>
      <c r="C461" s="84" t="s">
        <v>43</v>
      </c>
      <c r="D461" s="84" t="s">
        <v>18</v>
      </c>
      <c r="E461" s="143" t="s">
        <v>204</v>
      </c>
      <c r="F461" s="84"/>
      <c r="G461" s="87">
        <f>G465</f>
        <v>503287.54</v>
      </c>
      <c r="H461" s="87">
        <f t="shared" ref="H461:I461" si="127">H465</f>
        <v>0</v>
      </c>
      <c r="I461" s="87">
        <f t="shared" si="127"/>
        <v>0</v>
      </c>
      <c r="J461" s="148">
        <v>1487719</v>
      </c>
      <c r="P461" s="148"/>
      <c r="Q461" s="148"/>
      <c r="R461" s="148"/>
      <c r="S461" s="148"/>
      <c r="T461" s="148"/>
    </row>
    <row r="462" spans="1:20" s="122" customFormat="1" ht="51.75" hidden="1" customHeight="1">
      <c r="A462" s="82" t="s">
        <v>612</v>
      </c>
      <c r="B462" s="145">
        <v>757</v>
      </c>
      <c r="C462" s="84" t="s">
        <v>43</v>
      </c>
      <c r="D462" s="84" t="s">
        <v>18</v>
      </c>
      <c r="E462" s="84" t="s">
        <v>613</v>
      </c>
      <c r="F462" s="84"/>
      <c r="G462" s="87">
        <f t="shared" ref="G462:I463" si="128">G463</f>
        <v>0</v>
      </c>
      <c r="H462" s="87">
        <f t="shared" si="128"/>
        <v>0</v>
      </c>
      <c r="I462" s="87">
        <f t="shared" si="128"/>
        <v>0</v>
      </c>
      <c r="J462" s="121"/>
      <c r="P462" s="121"/>
      <c r="Q462" s="121"/>
      <c r="R462" s="121"/>
      <c r="S462" s="121"/>
      <c r="T462" s="121"/>
    </row>
    <row r="463" spans="1:20" s="122" customFormat="1" ht="26.25" hidden="1" customHeight="1">
      <c r="A463" s="82" t="s">
        <v>316</v>
      </c>
      <c r="B463" s="145">
        <v>757</v>
      </c>
      <c r="C463" s="84" t="s">
        <v>43</v>
      </c>
      <c r="D463" s="84" t="s">
        <v>18</v>
      </c>
      <c r="E463" s="84" t="s">
        <v>613</v>
      </c>
      <c r="F463" s="84" t="s">
        <v>36</v>
      </c>
      <c r="G463" s="87">
        <f t="shared" si="128"/>
        <v>0</v>
      </c>
      <c r="H463" s="87">
        <f t="shared" si="128"/>
        <v>0</v>
      </c>
      <c r="I463" s="87">
        <f t="shared" si="128"/>
        <v>0</v>
      </c>
      <c r="J463" s="121"/>
      <c r="P463" s="121"/>
      <c r="Q463" s="121"/>
      <c r="R463" s="121"/>
      <c r="S463" s="121"/>
      <c r="T463" s="121"/>
    </row>
    <row r="464" spans="1:20" s="122" customFormat="1" ht="26.25" hidden="1" customHeight="1">
      <c r="A464" s="82" t="s">
        <v>37</v>
      </c>
      <c r="B464" s="145">
        <v>757</v>
      </c>
      <c r="C464" s="84" t="s">
        <v>43</v>
      </c>
      <c r="D464" s="84" t="s">
        <v>18</v>
      </c>
      <c r="E464" s="84" t="s">
        <v>613</v>
      </c>
      <c r="F464" s="84" t="s">
        <v>38</v>
      </c>
      <c r="G464" s="87">
        <f>прил4!G101</f>
        <v>0</v>
      </c>
      <c r="H464" s="87"/>
      <c r="I464" s="87"/>
      <c r="J464" s="121"/>
      <c r="P464" s="121"/>
      <c r="Q464" s="121"/>
      <c r="R464" s="121"/>
      <c r="S464" s="121"/>
      <c r="T464" s="121"/>
    </row>
    <row r="465" spans="1:20" ht="39" customHeight="1">
      <c r="A465" s="16" t="s">
        <v>1271</v>
      </c>
      <c r="B465" s="145">
        <v>757</v>
      </c>
      <c r="C465" s="84" t="s">
        <v>43</v>
      </c>
      <c r="D465" s="84" t="s">
        <v>18</v>
      </c>
      <c r="E465" s="15" t="s">
        <v>1274</v>
      </c>
      <c r="F465" s="15"/>
      <c r="G465" s="70">
        <f>G468</f>
        <v>503287.54</v>
      </c>
      <c r="H465" s="70">
        <f t="shared" ref="H465:I465" si="129">H466+H468</f>
        <v>0</v>
      </c>
      <c r="I465" s="70">
        <f t="shared" si="129"/>
        <v>0</v>
      </c>
      <c r="J465" s="2"/>
      <c r="K465" s="1"/>
      <c r="L465" s="1"/>
      <c r="M465" s="1"/>
      <c r="N465" s="1"/>
      <c r="O465" s="1"/>
      <c r="P465" s="2"/>
      <c r="Q465" s="2"/>
      <c r="R465" s="2"/>
      <c r="S465" s="2"/>
      <c r="T465" s="2"/>
    </row>
    <row r="466" spans="1:20" ht="29.25" hidden="1" customHeight="1">
      <c r="A466" s="16" t="s">
        <v>316</v>
      </c>
      <c r="B466" s="145">
        <v>757</v>
      </c>
      <c r="C466" s="84" t="s">
        <v>43</v>
      </c>
      <c r="D466" s="84" t="s">
        <v>18</v>
      </c>
      <c r="E466" s="15" t="s">
        <v>205</v>
      </c>
      <c r="F466" s="15" t="s">
        <v>36</v>
      </c>
      <c r="G466" s="70">
        <f>G467</f>
        <v>35000</v>
      </c>
      <c r="H466" s="70"/>
      <c r="I466" s="70"/>
      <c r="J466" s="2"/>
      <c r="K466" s="1"/>
      <c r="L466" s="1"/>
      <c r="M466" s="1"/>
      <c r="N466" s="1"/>
      <c r="O466" s="1"/>
      <c r="P466" s="2"/>
      <c r="Q466" s="2"/>
      <c r="R466" s="2"/>
      <c r="S466" s="2"/>
      <c r="T466" s="2"/>
    </row>
    <row r="467" spans="1:20" ht="36.75" hidden="1" customHeight="1">
      <c r="A467" s="16" t="s">
        <v>37</v>
      </c>
      <c r="B467" s="145">
        <v>757</v>
      </c>
      <c r="C467" s="84" t="s">
        <v>43</v>
      </c>
      <c r="D467" s="84" t="s">
        <v>18</v>
      </c>
      <c r="E467" s="15" t="s">
        <v>205</v>
      </c>
      <c r="F467" s="15" t="s">
        <v>38</v>
      </c>
      <c r="G467" s="70">
        <f>прил4!G1506</f>
        <v>35000</v>
      </c>
      <c r="H467" s="70"/>
      <c r="I467" s="70"/>
      <c r="J467" s="2"/>
      <c r="K467" s="1"/>
      <c r="L467" s="1"/>
      <c r="M467" s="1"/>
      <c r="N467" s="1"/>
      <c r="O467" s="1"/>
      <c r="P467" s="2"/>
      <c r="Q467" s="2"/>
      <c r="R467" s="2"/>
      <c r="S467" s="2"/>
      <c r="T467" s="2"/>
    </row>
    <row r="468" spans="1:20" ht="26.4">
      <c r="A468" s="82" t="s">
        <v>29</v>
      </c>
      <c r="B468" s="145">
        <v>757</v>
      </c>
      <c r="C468" s="84" t="s">
        <v>43</v>
      </c>
      <c r="D468" s="84" t="s">
        <v>18</v>
      </c>
      <c r="E468" s="15" t="s">
        <v>1274</v>
      </c>
      <c r="F468" s="15" t="s">
        <v>30</v>
      </c>
      <c r="G468" s="70">
        <f>G469+G470</f>
        <v>503287.54</v>
      </c>
      <c r="H468" s="70">
        <v>0</v>
      </c>
      <c r="I468" s="70">
        <v>0</v>
      </c>
      <c r="J468" s="2"/>
      <c r="K468" s="1"/>
      <c r="L468" s="1"/>
      <c r="M468" s="1"/>
      <c r="N468" s="1"/>
      <c r="O468" s="1"/>
      <c r="P468" s="2"/>
      <c r="Q468" s="2"/>
      <c r="R468" s="2"/>
      <c r="S468" s="2"/>
      <c r="T468" s="2"/>
    </row>
    <row r="469" spans="1:20" ht="18.75" customHeight="1">
      <c r="A469" s="82" t="s">
        <v>31</v>
      </c>
      <c r="B469" s="145">
        <v>757</v>
      </c>
      <c r="C469" s="84" t="s">
        <v>43</v>
      </c>
      <c r="D469" s="84" t="s">
        <v>18</v>
      </c>
      <c r="E469" s="15" t="s">
        <v>1274</v>
      </c>
      <c r="F469" s="15" t="s">
        <v>32</v>
      </c>
      <c r="G469" s="70">
        <v>448432.47</v>
      </c>
      <c r="H469" s="70">
        <v>0</v>
      </c>
      <c r="I469" s="70">
        <v>0</v>
      </c>
      <c r="J469" s="2"/>
      <c r="K469" s="1"/>
      <c r="L469" s="1"/>
      <c r="M469" s="1"/>
      <c r="N469" s="1"/>
      <c r="O469" s="1"/>
      <c r="P469" s="2"/>
      <c r="Q469" s="2"/>
      <c r="R469" s="2"/>
      <c r="S469" s="2"/>
      <c r="T469" s="2"/>
    </row>
    <row r="470" spans="1:20" ht="18.75" customHeight="1">
      <c r="A470" s="82" t="s">
        <v>606</v>
      </c>
      <c r="B470" s="145">
        <v>757</v>
      </c>
      <c r="C470" s="84" t="s">
        <v>43</v>
      </c>
      <c r="D470" s="84" t="s">
        <v>18</v>
      </c>
      <c r="E470" s="15" t="s">
        <v>1274</v>
      </c>
      <c r="F470" s="15" t="s">
        <v>605</v>
      </c>
      <c r="G470" s="70">
        <v>54855.07</v>
      </c>
      <c r="H470" s="70"/>
      <c r="I470" s="70"/>
      <c r="J470" s="2"/>
      <c r="K470" s="1"/>
      <c r="L470" s="1"/>
      <c r="M470" s="1"/>
      <c r="N470" s="1"/>
      <c r="O470" s="1"/>
      <c r="P470" s="2"/>
      <c r="Q470" s="2"/>
      <c r="R470" s="2"/>
      <c r="S470" s="2"/>
      <c r="T470" s="2"/>
    </row>
    <row r="471" spans="1:20" s="28" customFormat="1" ht="22.5" customHeight="1">
      <c r="A471" s="132" t="s">
        <v>52</v>
      </c>
      <c r="B471" s="145">
        <v>757</v>
      </c>
      <c r="C471" s="84" t="s">
        <v>43</v>
      </c>
      <c r="D471" s="84" t="s">
        <v>53</v>
      </c>
      <c r="E471" s="84"/>
      <c r="F471" s="84"/>
      <c r="G471" s="94">
        <f t="shared" ref="G471:I472" si="130">G472</f>
        <v>11663098.109999999</v>
      </c>
      <c r="H471" s="94">
        <f t="shared" si="130"/>
        <v>11981906.949999999</v>
      </c>
      <c r="I471" s="94">
        <f t="shared" si="130"/>
        <v>12447339.989999998</v>
      </c>
      <c r="J471" s="189"/>
      <c r="K471" s="199"/>
      <c r="L471" s="199"/>
      <c r="M471" s="199"/>
      <c r="N471" s="199"/>
      <c r="O471" s="199"/>
      <c r="P471" s="199"/>
      <c r="Q471" s="199"/>
      <c r="R471" s="199"/>
    </row>
    <row r="472" spans="1:20" ht="37.5" customHeight="1">
      <c r="A472" s="16" t="s">
        <v>1136</v>
      </c>
      <c r="B472" s="145">
        <v>757</v>
      </c>
      <c r="C472" s="84" t="s">
        <v>43</v>
      </c>
      <c r="D472" s="84" t="s">
        <v>53</v>
      </c>
      <c r="E472" s="84" t="s">
        <v>187</v>
      </c>
      <c r="F472" s="84"/>
      <c r="G472" s="93">
        <f>G473+G507</f>
        <v>11663098.109999999</v>
      </c>
      <c r="H472" s="93">
        <f t="shared" si="130"/>
        <v>11981906.949999999</v>
      </c>
      <c r="I472" s="93">
        <f t="shared" si="130"/>
        <v>12447339.989999998</v>
      </c>
      <c r="J472" s="190"/>
    </row>
    <row r="473" spans="1:20" s="28" customFormat="1" ht="26.4">
      <c r="A473" s="13" t="s">
        <v>75</v>
      </c>
      <c r="B473" s="145">
        <v>757</v>
      </c>
      <c r="C473" s="84" t="s">
        <v>43</v>
      </c>
      <c r="D473" s="84" t="s">
        <v>53</v>
      </c>
      <c r="E473" s="84" t="s">
        <v>198</v>
      </c>
      <c r="F473" s="84"/>
      <c r="G473" s="93">
        <f>G474+G476+G478</f>
        <v>11537959.389999999</v>
      </c>
      <c r="H473" s="93">
        <f>H474+H476+H478</f>
        <v>11981906.949999999</v>
      </c>
      <c r="I473" s="93">
        <f>I474+I476+I478</f>
        <v>12447339.989999998</v>
      </c>
      <c r="J473" s="190"/>
      <c r="K473" s="199"/>
      <c r="L473" s="199"/>
      <c r="M473" s="199"/>
      <c r="N473" s="199"/>
      <c r="O473" s="199"/>
      <c r="P473" s="199"/>
      <c r="Q473" s="199"/>
      <c r="R473" s="199"/>
    </row>
    <row r="474" spans="1:20" s="32" customFormat="1" ht="66">
      <c r="A474" s="16" t="s">
        <v>54</v>
      </c>
      <c r="B474" s="145">
        <v>757</v>
      </c>
      <c r="C474" s="84" t="s">
        <v>43</v>
      </c>
      <c r="D474" s="84" t="s">
        <v>53</v>
      </c>
      <c r="E474" s="84" t="s">
        <v>198</v>
      </c>
      <c r="F474" s="84" t="s">
        <v>57</v>
      </c>
      <c r="G474" s="87">
        <f>G475</f>
        <v>11335798.189999999</v>
      </c>
      <c r="H474" s="87">
        <f>H475</f>
        <v>11813745.75</v>
      </c>
      <c r="I474" s="87">
        <f>I475</f>
        <v>12279178.789999999</v>
      </c>
      <c r="J474" s="173"/>
      <c r="K474" s="198"/>
      <c r="L474" s="198"/>
      <c r="M474" s="198"/>
      <c r="N474" s="198"/>
      <c r="O474" s="198"/>
      <c r="P474" s="198"/>
      <c r="Q474" s="198"/>
      <c r="R474" s="198"/>
    </row>
    <row r="475" spans="1:20" s="32" customFormat="1" ht="26.4">
      <c r="A475" s="16" t="s">
        <v>55</v>
      </c>
      <c r="B475" s="145">
        <v>757</v>
      </c>
      <c r="C475" s="84" t="s">
        <v>43</v>
      </c>
      <c r="D475" s="84" t="s">
        <v>53</v>
      </c>
      <c r="E475" s="84" t="s">
        <v>198</v>
      </c>
      <c r="F475" s="84" t="s">
        <v>58</v>
      </c>
      <c r="G475" s="70">
        <f>11332214+3584.19</f>
        <v>11335798.189999999</v>
      </c>
      <c r="H475" s="87">
        <v>11813745.75</v>
      </c>
      <c r="I475" s="87">
        <v>12279178.789999999</v>
      </c>
      <c r="J475" s="173"/>
      <c r="K475" s="198"/>
      <c r="L475" s="198"/>
      <c r="M475" s="198"/>
      <c r="N475" s="198"/>
      <c r="O475" s="198"/>
      <c r="P475" s="198"/>
      <c r="Q475" s="198"/>
      <c r="R475" s="198"/>
    </row>
    <row r="476" spans="1:20" s="32" customFormat="1" ht="28.5" customHeight="1">
      <c r="A476" s="16" t="s">
        <v>35</v>
      </c>
      <c r="B476" s="145">
        <v>757</v>
      </c>
      <c r="C476" s="84" t="s">
        <v>43</v>
      </c>
      <c r="D476" s="84" t="s">
        <v>53</v>
      </c>
      <c r="E476" s="84" t="s">
        <v>198</v>
      </c>
      <c r="F476" s="84" t="s">
        <v>36</v>
      </c>
      <c r="G476" s="70">
        <f>G477</f>
        <v>202161.2</v>
      </c>
      <c r="H476" s="87">
        <f>H477</f>
        <v>168161.2</v>
      </c>
      <c r="I476" s="87">
        <f>I477</f>
        <v>168161.2</v>
      </c>
      <c r="J476" s="173"/>
      <c r="K476" s="198"/>
      <c r="L476" s="198"/>
      <c r="M476" s="198"/>
      <c r="N476" s="198"/>
      <c r="O476" s="198"/>
      <c r="P476" s="198"/>
      <c r="Q476" s="198"/>
      <c r="R476" s="198"/>
    </row>
    <row r="477" spans="1:20" s="32" customFormat="1" ht="26.4">
      <c r="A477" s="16" t="s">
        <v>37</v>
      </c>
      <c r="B477" s="145">
        <v>757</v>
      </c>
      <c r="C477" s="84" t="s">
        <v>43</v>
      </c>
      <c r="D477" s="84" t="s">
        <v>53</v>
      </c>
      <c r="E477" s="84" t="s">
        <v>198</v>
      </c>
      <c r="F477" s="84" t="s">
        <v>38</v>
      </c>
      <c r="G477" s="70">
        <v>202161.2</v>
      </c>
      <c r="H477" s="87">
        <f>155002+13159.2</f>
        <v>168161.2</v>
      </c>
      <c r="I477" s="87">
        <f>155002+13159.2</f>
        <v>168161.2</v>
      </c>
      <c r="J477" s="173"/>
      <c r="K477" s="198"/>
      <c r="L477" s="198"/>
      <c r="M477" s="198"/>
      <c r="N477" s="198"/>
      <c r="O477" s="198"/>
      <c r="P477" s="198"/>
      <c r="Q477" s="198"/>
      <c r="R477" s="198"/>
    </row>
    <row r="478" spans="1:20" hidden="1">
      <c r="A478" s="16" t="s">
        <v>62</v>
      </c>
      <c r="B478" s="145">
        <v>757</v>
      </c>
      <c r="C478" s="84" t="s">
        <v>43</v>
      </c>
      <c r="D478" s="84" t="s">
        <v>53</v>
      </c>
      <c r="E478" s="84" t="s">
        <v>198</v>
      </c>
      <c r="F478" s="84" t="s">
        <v>63</v>
      </c>
      <c r="G478" s="27">
        <f>G479</f>
        <v>0</v>
      </c>
      <c r="H478" s="94">
        <f>H479</f>
        <v>0</v>
      </c>
      <c r="I478" s="94">
        <f>I479</f>
        <v>0</v>
      </c>
      <c r="J478" s="189"/>
    </row>
    <row r="479" spans="1:20" hidden="1">
      <c r="A479" s="16" t="s">
        <v>65</v>
      </c>
      <c r="B479" s="145">
        <v>757</v>
      </c>
      <c r="C479" s="84" t="s">
        <v>43</v>
      </c>
      <c r="D479" s="84" t="s">
        <v>53</v>
      </c>
      <c r="E479" s="84" t="s">
        <v>198</v>
      </c>
      <c r="F479" s="84" t="s">
        <v>66</v>
      </c>
      <c r="G479" s="27"/>
      <c r="H479" s="94"/>
      <c r="I479" s="94"/>
      <c r="J479" s="189"/>
    </row>
    <row r="480" spans="1:20" ht="33" hidden="1" customHeight="1">
      <c r="A480" s="16" t="s">
        <v>785</v>
      </c>
      <c r="B480" s="145">
        <v>757</v>
      </c>
      <c r="C480" s="84" t="s">
        <v>68</v>
      </c>
      <c r="D480" s="84" t="s">
        <v>53</v>
      </c>
      <c r="E480" s="84" t="s">
        <v>784</v>
      </c>
      <c r="F480" s="84"/>
      <c r="G480" s="70">
        <f t="shared" ref="G480:I481" si="131">G481</f>
        <v>0</v>
      </c>
      <c r="H480" s="87">
        <f t="shared" si="131"/>
        <v>0</v>
      </c>
      <c r="I480" s="87">
        <f t="shared" si="131"/>
        <v>0</v>
      </c>
      <c r="J480" s="173"/>
    </row>
    <row r="481" spans="1:18" ht="33" hidden="1" customHeight="1">
      <c r="A481" s="16" t="s">
        <v>144</v>
      </c>
      <c r="B481" s="145">
        <v>757</v>
      </c>
      <c r="C481" s="84" t="s">
        <v>68</v>
      </c>
      <c r="D481" s="84" t="s">
        <v>53</v>
      </c>
      <c r="E481" s="84" t="s">
        <v>784</v>
      </c>
      <c r="F481" s="84" t="s">
        <v>145</v>
      </c>
      <c r="G481" s="70">
        <f t="shared" si="131"/>
        <v>0</v>
      </c>
      <c r="H481" s="87">
        <f t="shared" si="131"/>
        <v>0</v>
      </c>
      <c r="I481" s="87">
        <f t="shared" si="131"/>
        <v>0</v>
      </c>
      <c r="J481" s="173"/>
    </row>
    <row r="482" spans="1:18" ht="33" hidden="1" customHeight="1">
      <c r="A482" s="16" t="s">
        <v>146</v>
      </c>
      <c r="B482" s="145">
        <v>757</v>
      </c>
      <c r="C482" s="84" t="s">
        <v>68</v>
      </c>
      <c r="D482" s="84" t="s">
        <v>53</v>
      </c>
      <c r="E482" s="84" t="s">
        <v>784</v>
      </c>
      <c r="F482" s="84" t="s">
        <v>147</v>
      </c>
      <c r="G482" s="70">
        <v>0</v>
      </c>
      <c r="H482" s="87">
        <v>0</v>
      </c>
      <c r="I482" s="87">
        <v>0</v>
      </c>
      <c r="J482" s="173"/>
    </row>
    <row r="483" spans="1:18" ht="82.5" hidden="1" customHeight="1">
      <c r="A483" s="50" t="s">
        <v>399</v>
      </c>
      <c r="B483" s="145">
        <v>757</v>
      </c>
      <c r="C483" s="84" t="s">
        <v>68</v>
      </c>
      <c r="D483" s="84" t="s">
        <v>53</v>
      </c>
      <c r="E483" s="84" t="s">
        <v>398</v>
      </c>
      <c r="F483" s="84"/>
      <c r="G483" s="70">
        <f t="shared" ref="G483:I484" si="132">G484</f>
        <v>0</v>
      </c>
      <c r="H483" s="87">
        <f t="shared" si="132"/>
        <v>0</v>
      </c>
      <c r="I483" s="87">
        <f t="shared" si="132"/>
        <v>0</v>
      </c>
      <c r="J483" s="173"/>
    </row>
    <row r="484" spans="1:18" ht="33" hidden="1" customHeight="1">
      <c r="A484" s="16" t="s">
        <v>144</v>
      </c>
      <c r="B484" s="145">
        <v>757</v>
      </c>
      <c r="C484" s="84" t="s">
        <v>68</v>
      </c>
      <c r="D484" s="84" t="s">
        <v>53</v>
      </c>
      <c r="E484" s="84" t="s">
        <v>398</v>
      </c>
      <c r="F484" s="84" t="s">
        <v>145</v>
      </c>
      <c r="G484" s="70">
        <f t="shared" si="132"/>
        <v>0</v>
      </c>
      <c r="H484" s="87">
        <f t="shared" si="132"/>
        <v>0</v>
      </c>
      <c r="I484" s="87">
        <f t="shared" si="132"/>
        <v>0</v>
      </c>
      <c r="J484" s="173"/>
    </row>
    <row r="485" spans="1:18" ht="33" hidden="1" customHeight="1">
      <c r="A485" s="16" t="s">
        <v>146</v>
      </c>
      <c r="B485" s="145">
        <v>757</v>
      </c>
      <c r="C485" s="84" t="s">
        <v>68</v>
      </c>
      <c r="D485" s="84" t="s">
        <v>53</v>
      </c>
      <c r="E485" s="84" t="s">
        <v>398</v>
      </c>
      <c r="F485" s="84" t="s">
        <v>147</v>
      </c>
      <c r="G485" s="70"/>
      <c r="H485" s="87"/>
      <c r="I485" s="87"/>
      <c r="J485" s="173"/>
    </row>
    <row r="486" spans="1:18" s="32" customFormat="1" ht="17.25" hidden="1" customHeight="1">
      <c r="A486" s="5" t="s">
        <v>350</v>
      </c>
      <c r="B486" s="151">
        <v>757</v>
      </c>
      <c r="C486" s="152" t="s">
        <v>71</v>
      </c>
      <c r="D486" s="152"/>
      <c r="E486" s="152"/>
      <c r="F486" s="152"/>
      <c r="G486" s="71">
        <f>G502+G487</f>
        <v>0</v>
      </c>
      <c r="H486" s="153">
        <f>H502+H487</f>
        <v>0</v>
      </c>
      <c r="I486" s="153">
        <f>I502+I487</f>
        <v>0</v>
      </c>
      <c r="J486" s="191"/>
      <c r="K486" s="198"/>
      <c r="L486" s="198"/>
      <c r="M486" s="198"/>
      <c r="N486" s="198"/>
      <c r="O486" s="198"/>
      <c r="P486" s="198"/>
      <c r="Q486" s="198"/>
      <c r="R486" s="198"/>
    </row>
    <row r="487" spans="1:18" s="32" customFormat="1" ht="17.25" hidden="1" customHeight="1">
      <c r="A487" s="115" t="s">
        <v>468</v>
      </c>
      <c r="B487" s="145">
        <v>757</v>
      </c>
      <c r="C487" s="84" t="s">
        <v>71</v>
      </c>
      <c r="D487" s="84" t="s">
        <v>18</v>
      </c>
      <c r="E487" s="152"/>
      <c r="F487" s="152"/>
      <c r="G487" s="71">
        <f>G488+G498</f>
        <v>0</v>
      </c>
      <c r="H487" s="153">
        <f>H488+H498</f>
        <v>0</v>
      </c>
      <c r="I487" s="153">
        <f>I488+I498</f>
        <v>0</v>
      </c>
      <c r="J487" s="191"/>
      <c r="K487" s="198"/>
      <c r="L487" s="198"/>
      <c r="M487" s="198"/>
      <c r="N487" s="198"/>
      <c r="O487" s="198"/>
      <c r="P487" s="198"/>
      <c r="Q487" s="198"/>
      <c r="R487" s="198"/>
    </row>
    <row r="488" spans="1:18" ht="27.75" hidden="1" customHeight="1">
      <c r="A488" s="37" t="s">
        <v>460</v>
      </c>
      <c r="B488" s="145">
        <v>757</v>
      </c>
      <c r="C488" s="84" t="s">
        <v>71</v>
      </c>
      <c r="D488" s="84" t="s">
        <v>18</v>
      </c>
      <c r="E488" s="84" t="s">
        <v>189</v>
      </c>
      <c r="F488" s="84"/>
      <c r="G488" s="70">
        <f>G490+G493+G495</f>
        <v>0</v>
      </c>
      <c r="H488" s="87">
        <f>H490+H493+H495</f>
        <v>0</v>
      </c>
      <c r="I488" s="87">
        <f>I490+I493+I495</f>
        <v>0</v>
      </c>
      <c r="J488" s="173"/>
    </row>
    <row r="489" spans="1:18" ht="19.5" hidden="1" customHeight="1">
      <c r="A489" s="16" t="s">
        <v>31</v>
      </c>
      <c r="B489" s="145">
        <v>757</v>
      </c>
      <c r="C489" s="84" t="s">
        <v>71</v>
      </c>
      <c r="D489" s="84" t="s">
        <v>18</v>
      </c>
      <c r="E489" s="84" t="s">
        <v>39</v>
      </c>
      <c r="F489" s="84" t="s">
        <v>32</v>
      </c>
      <c r="G489" s="70"/>
      <c r="H489" s="87"/>
      <c r="I489" s="87"/>
      <c r="J489" s="173"/>
    </row>
    <row r="490" spans="1:18" ht="39" hidden="1" customHeight="1">
      <c r="A490" s="16" t="s">
        <v>109</v>
      </c>
      <c r="B490" s="145">
        <v>757</v>
      </c>
      <c r="C490" s="84" t="s">
        <v>71</v>
      </c>
      <c r="D490" s="84" t="s">
        <v>18</v>
      </c>
      <c r="E490" s="84" t="s">
        <v>190</v>
      </c>
      <c r="F490" s="84"/>
      <c r="G490" s="70">
        <f>G491</f>
        <v>0</v>
      </c>
      <c r="H490" s="87">
        <f t="shared" ref="H490:I490" si="133">H491</f>
        <v>0</v>
      </c>
      <c r="I490" s="87">
        <f t="shared" si="133"/>
        <v>0</v>
      </c>
      <c r="J490" s="173"/>
    </row>
    <row r="491" spans="1:18" ht="26.4" hidden="1">
      <c r="A491" s="16" t="s">
        <v>29</v>
      </c>
      <c r="B491" s="145">
        <v>757</v>
      </c>
      <c r="C491" s="84" t="s">
        <v>71</v>
      </c>
      <c r="D491" s="84" t="s">
        <v>18</v>
      </c>
      <c r="E491" s="84" t="s">
        <v>190</v>
      </c>
      <c r="F491" s="84" t="s">
        <v>30</v>
      </c>
      <c r="G491" s="70">
        <f>G492</f>
        <v>0</v>
      </c>
      <c r="H491" s="87">
        <f>H492</f>
        <v>0</v>
      </c>
      <c r="I491" s="87">
        <f>I492</f>
        <v>0</v>
      </c>
      <c r="J491" s="173"/>
    </row>
    <row r="492" spans="1:18" ht="19.5" hidden="1" customHeight="1">
      <c r="A492" s="16" t="s">
        <v>31</v>
      </c>
      <c r="B492" s="145">
        <v>757</v>
      </c>
      <c r="C492" s="84" t="s">
        <v>71</v>
      </c>
      <c r="D492" s="84" t="s">
        <v>18</v>
      </c>
      <c r="E492" s="84" t="s">
        <v>190</v>
      </c>
      <c r="F492" s="84" t="s">
        <v>32</v>
      </c>
      <c r="G492" s="70"/>
      <c r="H492" s="87"/>
      <c r="I492" s="87"/>
      <c r="J492" s="173"/>
    </row>
    <row r="493" spans="1:18" s="32" customFormat="1" ht="25.5" hidden="1" customHeight="1">
      <c r="A493" s="16" t="s">
        <v>29</v>
      </c>
      <c r="B493" s="145">
        <v>757</v>
      </c>
      <c r="C493" s="84" t="s">
        <v>71</v>
      </c>
      <c r="D493" s="84" t="s">
        <v>18</v>
      </c>
      <c r="E493" s="84" t="s">
        <v>519</v>
      </c>
      <c r="F493" s="84" t="s">
        <v>30</v>
      </c>
      <c r="G493" s="70">
        <f>G494</f>
        <v>0</v>
      </c>
      <c r="H493" s="87">
        <v>0</v>
      </c>
      <c r="I493" s="87">
        <v>0</v>
      </c>
      <c r="J493" s="173"/>
      <c r="K493" s="198"/>
      <c r="L493" s="198"/>
      <c r="M493" s="198"/>
      <c r="N493" s="198"/>
      <c r="O493" s="198"/>
      <c r="P493" s="198"/>
      <c r="Q493" s="198"/>
      <c r="R493" s="198"/>
    </row>
    <row r="494" spans="1:18" s="32" customFormat="1" ht="17.25" hidden="1" customHeight="1">
      <c r="A494" s="16" t="s">
        <v>31</v>
      </c>
      <c r="B494" s="145">
        <v>757</v>
      </c>
      <c r="C494" s="84" t="s">
        <v>71</v>
      </c>
      <c r="D494" s="84" t="s">
        <v>18</v>
      </c>
      <c r="E494" s="84" t="s">
        <v>519</v>
      </c>
      <c r="F494" s="84" t="s">
        <v>32</v>
      </c>
      <c r="G494" s="70"/>
      <c r="H494" s="87">
        <v>0</v>
      </c>
      <c r="I494" s="87">
        <v>0</v>
      </c>
      <c r="J494" s="173"/>
      <c r="K494" s="198"/>
      <c r="L494" s="198"/>
      <c r="M494" s="198"/>
      <c r="N494" s="198"/>
      <c r="O494" s="198"/>
      <c r="P494" s="198"/>
      <c r="Q494" s="198"/>
      <c r="R494" s="198"/>
    </row>
    <row r="495" spans="1:18" s="32" customFormat="1" ht="65.25" hidden="1" customHeight="1">
      <c r="A495" s="16" t="s">
        <v>587</v>
      </c>
      <c r="B495" s="145">
        <v>757</v>
      </c>
      <c r="C495" s="84" t="s">
        <v>71</v>
      </c>
      <c r="D495" s="84" t="s">
        <v>18</v>
      </c>
      <c r="E495" s="84" t="s">
        <v>586</v>
      </c>
      <c r="F495" s="84"/>
      <c r="G495" s="70">
        <f>G496</f>
        <v>0</v>
      </c>
      <c r="H495" s="87">
        <f t="shared" ref="H495:I495" si="134">H496</f>
        <v>0</v>
      </c>
      <c r="I495" s="87">
        <f t="shared" si="134"/>
        <v>0</v>
      </c>
      <c r="J495" s="173"/>
      <c r="K495" s="198"/>
      <c r="L495" s="198"/>
      <c r="M495" s="198"/>
      <c r="N495" s="198"/>
      <c r="O495" s="198"/>
      <c r="P495" s="198"/>
      <c r="Q495" s="198"/>
      <c r="R495" s="198"/>
    </row>
    <row r="496" spans="1:18" s="32" customFormat="1" ht="25.5" hidden="1" customHeight="1">
      <c r="A496" s="16" t="s">
        <v>29</v>
      </c>
      <c r="B496" s="145">
        <v>757</v>
      </c>
      <c r="C496" s="84" t="s">
        <v>71</v>
      </c>
      <c r="D496" s="84" t="s">
        <v>18</v>
      </c>
      <c r="E496" s="84" t="s">
        <v>586</v>
      </c>
      <c r="F496" s="84" t="s">
        <v>30</v>
      </c>
      <c r="G496" s="70">
        <f>G497</f>
        <v>0</v>
      </c>
      <c r="H496" s="87">
        <v>0</v>
      </c>
      <c r="I496" s="87">
        <v>0</v>
      </c>
      <c r="J496" s="173"/>
      <c r="K496" s="198"/>
      <c r="L496" s="198"/>
      <c r="M496" s="198"/>
      <c r="N496" s="198"/>
      <c r="O496" s="198"/>
      <c r="P496" s="198"/>
      <c r="Q496" s="198"/>
      <c r="R496" s="198"/>
    </row>
    <row r="497" spans="1:18" s="32" customFormat="1" ht="17.25" hidden="1" customHeight="1">
      <c r="A497" s="16" t="s">
        <v>31</v>
      </c>
      <c r="B497" s="145">
        <v>757</v>
      </c>
      <c r="C497" s="84" t="s">
        <v>71</v>
      </c>
      <c r="D497" s="84" t="s">
        <v>18</v>
      </c>
      <c r="E497" s="84" t="s">
        <v>586</v>
      </c>
      <c r="F497" s="84" t="s">
        <v>32</v>
      </c>
      <c r="G497" s="70"/>
      <c r="H497" s="87">
        <v>0</v>
      </c>
      <c r="I497" s="87">
        <v>0</v>
      </c>
      <c r="J497" s="173"/>
      <c r="K497" s="198"/>
      <c r="L497" s="198"/>
      <c r="M497" s="198"/>
      <c r="N497" s="198"/>
      <c r="O497" s="198"/>
      <c r="P497" s="198"/>
      <c r="Q497" s="198"/>
      <c r="R497" s="198"/>
    </row>
    <row r="498" spans="1:18" s="18" customFormat="1" ht="26.4" hidden="1">
      <c r="A498" s="16" t="s">
        <v>454</v>
      </c>
      <c r="B498" s="145">
        <v>757</v>
      </c>
      <c r="C498" s="84" t="s">
        <v>71</v>
      </c>
      <c r="D498" s="84" t="s">
        <v>18</v>
      </c>
      <c r="E498" s="84" t="s">
        <v>257</v>
      </c>
      <c r="F498" s="84"/>
      <c r="G498" s="70">
        <f>G499</f>
        <v>0</v>
      </c>
      <c r="H498" s="87">
        <f t="shared" ref="H498:I500" si="135">H499</f>
        <v>0</v>
      </c>
      <c r="I498" s="87">
        <f t="shared" si="135"/>
        <v>0</v>
      </c>
      <c r="J498" s="173"/>
      <c r="K498" s="195"/>
      <c r="L498" s="195"/>
      <c r="M498" s="195"/>
      <c r="N498" s="195"/>
      <c r="O498" s="195"/>
      <c r="P498" s="195"/>
      <c r="Q498" s="195"/>
      <c r="R498" s="195"/>
    </row>
    <row r="499" spans="1:18" s="18" customFormat="1" ht="26.4" hidden="1">
      <c r="A499" s="16" t="s">
        <v>453</v>
      </c>
      <c r="B499" s="145">
        <v>757</v>
      </c>
      <c r="C499" s="84" t="s">
        <v>71</v>
      </c>
      <c r="D499" s="84" t="s">
        <v>18</v>
      </c>
      <c r="E499" s="84" t="s">
        <v>428</v>
      </c>
      <c r="F499" s="84"/>
      <c r="G499" s="70">
        <f>G500</f>
        <v>0</v>
      </c>
      <c r="H499" s="87">
        <f t="shared" si="135"/>
        <v>0</v>
      </c>
      <c r="I499" s="87">
        <f t="shared" si="135"/>
        <v>0</v>
      </c>
      <c r="J499" s="173"/>
      <c r="K499" s="195"/>
      <c r="L499" s="195"/>
      <c r="M499" s="195"/>
      <c r="N499" s="195"/>
      <c r="O499" s="195"/>
      <c r="P499" s="195"/>
      <c r="Q499" s="195"/>
      <c r="R499" s="195"/>
    </row>
    <row r="500" spans="1:18" s="18" customFormat="1" ht="26.4" hidden="1">
      <c r="A500" s="16" t="s">
        <v>94</v>
      </c>
      <c r="B500" s="145">
        <v>757</v>
      </c>
      <c r="C500" s="84" t="s">
        <v>71</v>
      </c>
      <c r="D500" s="84" t="s">
        <v>18</v>
      </c>
      <c r="E500" s="84" t="s">
        <v>428</v>
      </c>
      <c r="F500" s="84" t="s">
        <v>338</v>
      </c>
      <c r="G500" s="70">
        <f>G501</f>
        <v>0</v>
      </c>
      <c r="H500" s="87">
        <f t="shared" si="135"/>
        <v>0</v>
      </c>
      <c r="I500" s="87">
        <f t="shared" si="135"/>
        <v>0</v>
      </c>
      <c r="J500" s="173"/>
      <c r="K500" s="195"/>
      <c r="L500" s="195"/>
      <c r="M500" s="195"/>
      <c r="N500" s="195"/>
      <c r="O500" s="195"/>
      <c r="P500" s="195"/>
      <c r="Q500" s="195"/>
      <c r="R500" s="195"/>
    </row>
    <row r="501" spans="1:18" s="18" customFormat="1" ht="92.4" hidden="1">
      <c r="A501" s="50" t="s">
        <v>407</v>
      </c>
      <c r="B501" s="145">
        <v>757</v>
      </c>
      <c r="C501" s="84" t="s">
        <v>71</v>
      </c>
      <c r="D501" s="84" t="s">
        <v>18</v>
      </c>
      <c r="E501" s="84" t="s">
        <v>428</v>
      </c>
      <c r="F501" s="84" t="s">
        <v>406</v>
      </c>
      <c r="G501" s="70">
        <f>50000-50000</f>
        <v>0</v>
      </c>
      <c r="H501" s="87"/>
      <c r="I501" s="87"/>
      <c r="J501" s="173"/>
      <c r="K501" s="195"/>
      <c r="L501" s="195"/>
      <c r="M501" s="195"/>
      <c r="N501" s="195"/>
      <c r="O501" s="195"/>
      <c r="P501" s="195"/>
      <c r="Q501" s="195"/>
      <c r="R501" s="195"/>
    </row>
    <row r="502" spans="1:18" s="33" customFormat="1" ht="15" hidden="1" customHeight="1">
      <c r="A502" s="16" t="s">
        <v>70</v>
      </c>
      <c r="B502" s="145">
        <v>757</v>
      </c>
      <c r="C502" s="84" t="s">
        <v>71</v>
      </c>
      <c r="D502" s="84" t="s">
        <v>27</v>
      </c>
      <c r="E502" s="164"/>
      <c r="F502" s="164"/>
      <c r="G502" s="29">
        <f>G503</f>
        <v>0</v>
      </c>
      <c r="H502" s="93">
        <f>H503+H148</f>
        <v>0</v>
      </c>
      <c r="I502" s="93">
        <f>I503+I148</f>
        <v>0</v>
      </c>
      <c r="J502" s="190"/>
      <c r="K502" s="206"/>
      <c r="L502" s="206"/>
      <c r="M502" s="206"/>
      <c r="N502" s="206"/>
      <c r="O502" s="206"/>
      <c r="P502" s="206"/>
      <c r="Q502" s="206"/>
      <c r="R502" s="206"/>
    </row>
    <row r="503" spans="1:18" s="28" customFormat="1" ht="28.5" hidden="1" customHeight="1">
      <c r="A503" s="37" t="s">
        <v>460</v>
      </c>
      <c r="B503" s="145">
        <v>757</v>
      </c>
      <c r="C503" s="84" t="s">
        <v>71</v>
      </c>
      <c r="D503" s="84" t="s">
        <v>27</v>
      </c>
      <c r="E503" s="84" t="s">
        <v>189</v>
      </c>
      <c r="F503" s="84"/>
      <c r="G503" s="70">
        <f>G504</f>
        <v>0</v>
      </c>
      <c r="H503" s="87">
        <f>H504</f>
        <v>0</v>
      </c>
      <c r="I503" s="87">
        <f>I504</f>
        <v>0</v>
      </c>
      <c r="J503" s="173"/>
      <c r="K503" s="199"/>
      <c r="L503" s="199"/>
      <c r="M503" s="199"/>
      <c r="N503" s="199"/>
      <c r="O503" s="199"/>
      <c r="P503" s="199"/>
      <c r="Q503" s="199"/>
      <c r="R503" s="199"/>
    </row>
    <row r="504" spans="1:18" s="28" customFormat="1" ht="27.75" hidden="1" customHeight="1">
      <c r="A504" s="37" t="s">
        <v>72</v>
      </c>
      <c r="B504" s="145">
        <v>757</v>
      </c>
      <c r="C504" s="84" t="s">
        <v>71</v>
      </c>
      <c r="D504" s="84" t="s">
        <v>27</v>
      </c>
      <c r="E504" s="84" t="s">
        <v>200</v>
      </c>
      <c r="F504" s="84"/>
      <c r="G504" s="70">
        <f>G505</f>
        <v>0</v>
      </c>
      <c r="H504" s="87">
        <f t="shared" ref="H504:I504" si="136">H505</f>
        <v>0</v>
      </c>
      <c r="I504" s="87">
        <f t="shared" si="136"/>
        <v>0</v>
      </c>
      <c r="J504" s="173"/>
      <c r="K504" s="199"/>
      <c r="L504" s="199"/>
      <c r="M504" s="199"/>
      <c r="N504" s="199"/>
      <c r="O504" s="199"/>
      <c r="P504" s="199"/>
      <c r="Q504" s="199"/>
      <c r="R504" s="199"/>
    </row>
    <row r="505" spans="1:18" s="32" customFormat="1" ht="28.5" hidden="1" customHeight="1">
      <c r="A505" s="16" t="s">
        <v>35</v>
      </c>
      <c r="B505" s="145">
        <v>757</v>
      </c>
      <c r="C505" s="84" t="s">
        <v>71</v>
      </c>
      <c r="D505" s="84" t="s">
        <v>27</v>
      </c>
      <c r="E505" s="84" t="s">
        <v>200</v>
      </c>
      <c r="F505" s="84" t="s">
        <v>36</v>
      </c>
      <c r="G505" s="70">
        <f>G506</f>
        <v>0</v>
      </c>
      <c r="H505" s="87">
        <f>H506</f>
        <v>0</v>
      </c>
      <c r="I505" s="87">
        <f>I506</f>
        <v>0</v>
      </c>
      <c r="J505" s="173"/>
      <c r="K505" s="198"/>
      <c r="L505" s="198"/>
      <c r="M505" s="198"/>
      <c r="N505" s="198"/>
      <c r="O505" s="198"/>
      <c r="P505" s="198"/>
      <c r="Q505" s="198"/>
      <c r="R505" s="198"/>
    </row>
    <row r="506" spans="1:18" s="32" customFormat="1" ht="26.4" hidden="1">
      <c r="A506" s="16" t="s">
        <v>37</v>
      </c>
      <c r="B506" s="145">
        <v>757</v>
      </c>
      <c r="C506" s="84" t="s">
        <v>71</v>
      </c>
      <c r="D506" s="84" t="s">
        <v>27</v>
      </c>
      <c r="E506" s="84" t="s">
        <v>200</v>
      </c>
      <c r="F506" s="84" t="s">
        <v>38</v>
      </c>
      <c r="G506" s="70"/>
      <c r="H506" s="87"/>
      <c r="I506" s="87"/>
      <c r="J506" s="173"/>
      <c r="K506" s="200"/>
      <c r="L506" s="198"/>
      <c r="M506" s="198"/>
      <c r="N506" s="198"/>
      <c r="O506" s="198"/>
      <c r="P506" s="198"/>
      <c r="Q506" s="198"/>
      <c r="R506" s="198"/>
    </row>
    <row r="507" spans="1:18" ht="84.75" customHeight="1">
      <c r="A507" s="82" t="s">
        <v>1435</v>
      </c>
      <c r="B507" s="145">
        <v>757</v>
      </c>
      <c r="C507" s="84" t="s">
        <v>43</v>
      </c>
      <c r="D507" s="84" t="s">
        <v>53</v>
      </c>
      <c r="E507" s="84" t="s">
        <v>1530</v>
      </c>
      <c r="F507" s="84"/>
      <c r="G507" s="87">
        <f>G508</f>
        <v>125138.72</v>
      </c>
      <c r="H507" s="87">
        <f t="shared" ref="H507:I507" si="137">H508</f>
        <v>0</v>
      </c>
      <c r="I507" s="87">
        <f t="shared" si="137"/>
        <v>0</v>
      </c>
      <c r="J507" s="173"/>
    </row>
    <row r="508" spans="1:18" ht="29.25" customHeight="1">
      <c r="A508" s="82" t="s">
        <v>54</v>
      </c>
      <c r="B508" s="145">
        <v>757</v>
      </c>
      <c r="C508" s="84" t="s">
        <v>43</v>
      </c>
      <c r="D508" s="84" t="s">
        <v>53</v>
      </c>
      <c r="E508" s="84" t="s">
        <v>1530</v>
      </c>
      <c r="F508" s="84" t="s">
        <v>57</v>
      </c>
      <c r="G508" s="87">
        <f>G509</f>
        <v>125138.72</v>
      </c>
      <c r="H508" s="87">
        <f>H509</f>
        <v>0</v>
      </c>
      <c r="I508" s="87">
        <f>I509</f>
        <v>0</v>
      </c>
      <c r="J508" s="173"/>
    </row>
    <row r="509" spans="1:18" ht="36.75" customHeight="1">
      <c r="A509" s="82" t="s">
        <v>55</v>
      </c>
      <c r="B509" s="145">
        <v>757</v>
      </c>
      <c r="C509" s="84" t="s">
        <v>43</v>
      </c>
      <c r="D509" s="84" t="s">
        <v>53</v>
      </c>
      <c r="E509" s="84" t="s">
        <v>1530</v>
      </c>
      <c r="F509" s="84" t="s">
        <v>58</v>
      </c>
      <c r="G509" s="70">
        <v>125138.72</v>
      </c>
      <c r="H509" s="87">
        <v>0</v>
      </c>
      <c r="I509" s="87">
        <v>0</v>
      </c>
      <c r="J509" s="173"/>
    </row>
    <row r="510" spans="1:18">
      <c r="A510" s="11" t="s">
        <v>141</v>
      </c>
      <c r="B510" s="264">
        <v>757</v>
      </c>
      <c r="C510" s="261" t="s">
        <v>68</v>
      </c>
      <c r="D510" s="261"/>
      <c r="E510" s="84"/>
      <c r="F510" s="261"/>
      <c r="G510" s="38">
        <f>G511</f>
        <v>22477120.189999998</v>
      </c>
      <c r="H510" s="258">
        <f t="shared" ref="H510:I510" si="138">H511</f>
        <v>0</v>
      </c>
      <c r="I510" s="258">
        <f t="shared" si="138"/>
        <v>0</v>
      </c>
      <c r="J510" s="186"/>
    </row>
    <row r="511" spans="1:18">
      <c r="A511" s="13" t="s">
        <v>149</v>
      </c>
      <c r="B511" s="145">
        <v>757</v>
      </c>
      <c r="C511" s="84" t="s">
        <v>68</v>
      </c>
      <c r="D511" s="84" t="s">
        <v>53</v>
      </c>
      <c r="E511" s="84"/>
      <c r="F511" s="84"/>
      <c r="G511" s="70">
        <f>G513</f>
        <v>22477120.189999998</v>
      </c>
      <c r="H511" s="87">
        <f t="shared" ref="H511:I511" si="139">H513</f>
        <v>0</v>
      </c>
      <c r="I511" s="87">
        <f t="shared" si="139"/>
        <v>0</v>
      </c>
      <c r="J511" s="173"/>
    </row>
    <row r="512" spans="1:18" s="32" customFormat="1" ht="12.75" customHeight="1">
      <c r="A512" s="11"/>
      <c r="B512" s="145">
        <v>757</v>
      </c>
      <c r="C512" s="261"/>
      <c r="D512" s="84"/>
      <c r="E512" s="84"/>
      <c r="F512" s="84"/>
      <c r="G512" s="70"/>
      <c r="H512" s="87"/>
      <c r="I512" s="87"/>
      <c r="J512" s="173"/>
      <c r="K512" s="198"/>
      <c r="L512" s="198"/>
      <c r="M512" s="198"/>
      <c r="N512" s="198"/>
      <c r="O512" s="198"/>
      <c r="P512" s="198"/>
      <c r="Q512" s="198"/>
      <c r="R512" s="198"/>
    </row>
    <row r="513" spans="1:18" s="32" customFormat="1" ht="30.75" customHeight="1">
      <c r="A513" s="337" t="s">
        <v>1127</v>
      </c>
      <c r="B513" s="145">
        <v>757</v>
      </c>
      <c r="C513" s="84" t="s">
        <v>68</v>
      </c>
      <c r="D513" s="84" t="s">
        <v>53</v>
      </c>
      <c r="E513" s="84" t="s">
        <v>199</v>
      </c>
      <c r="F513" s="84"/>
      <c r="G513" s="70">
        <f>G514+G517</f>
        <v>22477120.189999998</v>
      </c>
      <c r="H513" s="87">
        <f t="shared" ref="H513:I513" si="140">H514</f>
        <v>0</v>
      </c>
      <c r="I513" s="87">
        <f t="shared" si="140"/>
        <v>0</v>
      </c>
      <c r="J513" s="173"/>
      <c r="K513" s="198"/>
      <c r="L513" s="198"/>
      <c r="M513" s="198"/>
      <c r="N513" s="198"/>
      <c r="O513" s="198"/>
      <c r="P513" s="198"/>
      <c r="Q513" s="198"/>
      <c r="R513" s="198"/>
    </row>
    <row r="514" spans="1:18" ht="33" customHeight="1">
      <c r="A514" s="16" t="s">
        <v>179</v>
      </c>
      <c r="B514" s="145">
        <v>757</v>
      </c>
      <c r="C514" s="84" t="s">
        <v>68</v>
      </c>
      <c r="D514" s="84" t="s">
        <v>53</v>
      </c>
      <c r="E514" s="84" t="s">
        <v>397</v>
      </c>
      <c r="F514" s="84"/>
      <c r="G514" s="70">
        <f t="shared" ref="G514:I518" si="141">G515</f>
        <v>22477120.189999998</v>
      </c>
      <c r="H514" s="87">
        <f t="shared" si="141"/>
        <v>0</v>
      </c>
      <c r="I514" s="87">
        <f t="shared" si="141"/>
        <v>0</v>
      </c>
      <c r="J514" s="173"/>
    </row>
    <row r="515" spans="1:18" ht="33" customHeight="1">
      <c r="A515" s="16" t="s">
        <v>144</v>
      </c>
      <c r="B515" s="145">
        <v>757</v>
      </c>
      <c r="C515" s="84" t="s">
        <v>68</v>
      </c>
      <c r="D515" s="84" t="s">
        <v>53</v>
      </c>
      <c r="E515" s="84" t="s">
        <v>397</v>
      </c>
      <c r="F515" s="84" t="s">
        <v>145</v>
      </c>
      <c r="G515" s="70">
        <f t="shared" si="141"/>
        <v>22477120.189999998</v>
      </c>
      <c r="H515" s="87">
        <f t="shared" si="141"/>
        <v>0</v>
      </c>
      <c r="I515" s="87">
        <f t="shared" si="141"/>
        <v>0</v>
      </c>
      <c r="J515" s="173"/>
    </row>
    <row r="516" spans="1:18" ht="33" customHeight="1">
      <c r="A516" s="16" t="s">
        <v>146</v>
      </c>
      <c r="B516" s="145">
        <v>757</v>
      </c>
      <c r="C516" s="84" t="s">
        <v>68</v>
      </c>
      <c r="D516" s="84" t="s">
        <v>53</v>
      </c>
      <c r="E516" s="84" t="s">
        <v>397</v>
      </c>
      <c r="F516" s="84" t="s">
        <v>147</v>
      </c>
      <c r="G516" s="70">
        <f>24003000-829268.78-615877.85+122146.63-202879.81</f>
        <v>22477120.189999998</v>
      </c>
      <c r="H516" s="87">
        <v>0</v>
      </c>
      <c r="I516" s="87">
        <v>0</v>
      </c>
      <c r="J516" s="173"/>
    </row>
    <row r="517" spans="1:18" ht="33" hidden="1" customHeight="1">
      <c r="A517" s="16" t="s">
        <v>785</v>
      </c>
      <c r="B517" s="145">
        <v>757</v>
      </c>
      <c r="C517" s="84" t="s">
        <v>68</v>
      </c>
      <c r="D517" s="84" t="s">
        <v>53</v>
      </c>
      <c r="E517" s="84" t="s">
        <v>1281</v>
      </c>
      <c r="F517" s="84"/>
      <c r="G517" s="70">
        <f t="shared" si="141"/>
        <v>0</v>
      </c>
      <c r="H517" s="87">
        <f t="shared" si="141"/>
        <v>0</v>
      </c>
      <c r="I517" s="87">
        <f t="shared" si="141"/>
        <v>0</v>
      </c>
      <c r="J517" s="173"/>
    </row>
    <row r="518" spans="1:18" ht="33" hidden="1" customHeight="1">
      <c r="A518" s="16" t="s">
        <v>144</v>
      </c>
      <c r="B518" s="145">
        <v>757</v>
      </c>
      <c r="C518" s="84" t="s">
        <v>68</v>
      </c>
      <c r="D518" s="84" t="s">
        <v>53</v>
      </c>
      <c r="E518" s="84" t="s">
        <v>1281</v>
      </c>
      <c r="F518" s="84" t="s">
        <v>145</v>
      </c>
      <c r="G518" s="70">
        <f t="shared" si="141"/>
        <v>0</v>
      </c>
      <c r="H518" s="87">
        <f t="shared" si="141"/>
        <v>0</v>
      </c>
      <c r="I518" s="87">
        <f t="shared" si="141"/>
        <v>0</v>
      </c>
      <c r="J518" s="173"/>
    </row>
    <row r="519" spans="1:18" ht="33" hidden="1" customHeight="1">
      <c r="A519" s="16" t="s">
        <v>146</v>
      </c>
      <c r="B519" s="145">
        <v>757</v>
      </c>
      <c r="C519" s="84" t="s">
        <v>68</v>
      </c>
      <c r="D519" s="84" t="s">
        <v>53</v>
      </c>
      <c r="E519" s="84" t="s">
        <v>1281</v>
      </c>
      <c r="F519" s="84" t="s">
        <v>147</v>
      </c>
      <c r="G519" s="70">
        <f>122146.63-122146.63</f>
        <v>0</v>
      </c>
      <c r="H519" s="87">
        <v>0</v>
      </c>
      <c r="I519" s="87">
        <v>0</v>
      </c>
      <c r="J519" s="173"/>
    </row>
    <row r="520" spans="1:18" s="32" customFormat="1" ht="17.25" customHeight="1">
      <c r="A520" s="5" t="s">
        <v>350</v>
      </c>
      <c r="B520" s="151">
        <v>757</v>
      </c>
      <c r="C520" s="152" t="s">
        <v>71</v>
      </c>
      <c r="D520" s="152"/>
      <c r="E520" s="152"/>
      <c r="F520" s="152"/>
      <c r="G520" s="71">
        <f>G536+G521</f>
        <v>550000</v>
      </c>
      <c r="H520" s="153">
        <f>H536+H521</f>
        <v>550000</v>
      </c>
      <c r="I520" s="153">
        <f>I536+I521</f>
        <v>550000</v>
      </c>
      <c r="J520" s="191"/>
      <c r="K520" s="198"/>
      <c r="L520" s="198"/>
      <c r="M520" s="198"/>
      <c r="N520" s="198"/>
      <c r="O520" s="198"/>
      <c r="P520" s="198"/>
      <c r="Q520" s="198"/>
      <c r="R520" s="198"/>
    </row>
    <row r="521" spans="1:18" s="32" customFormat="1" ht="17.25" customHeight="1">
      <c r="A521" s="115" t="s">
        <v>468</v>
      </c>
      <c r="B521" s="145">
        <v>757</v>
      </c>
      <c r="C521" s="84" t="s">
        <v>71</v>
      </c>
      <c r="D521" s="84" t="s">
        <v>18</v>
      </c>
      <c r="E521" s="152"/>
      <c r="F521" s="152"/>
      <c r="G521" s="71">
        <f>G522+G532</f>
        <v>0</v>
      </c>
      <c r="H521" s="153">
        <f>H522+H532</f>
        <v>0</v>
      </c>
      <c r="I521" s="153">
        <f>I522+I532</f>
        <v>0</v>
      </c>
      <c r="J521" s="191"/>
      <c r="K521" s="198"/>
      <c r="L521" s="198"/>
      <c r="M521" s="198"/>
      <c r="N521" s="198"/>
      <c r="O521" s="198"/>
      <c r="P521" s="198"/>
      <c r="Q521" s="198"/>
      <c r="R521" s="198"/>
    </row>
    <row r="522" spans="1:18" ht="27.75" hidden="1" customHeight="1">
      <c r="A522" s="37" t="s">
        <v>460</v>
      </c>
      <c r="B522" s="145">
        <v>757</v>
      </c>
      <c r="C522" s="84" t="s">
        <v>71</v>
      </c>
      <c r="D522" s="84" t="s">
        <v>18</v>
      </c>
      <c r="E522" s="84" t="s">
        <v>189</v>
      </c>
      <c r="F522" s="84"/>
      <c r="G522" s="70">
        <f>G524+G527+G529</f>
        <v>0</v>
      </c>
      <c r="H522" s="87">
        <f>H524+H527+H529</f>
        <v>0</v>
      </c>
      <c r="I522" s="87">
        <f>I524+I527+I529</f>
        <v>0</v>
      </c>
      <c r="J522" s="173"/>
    </row>
    <row r="523" spans="1:18" ht="19.5" hidden="1" customHeight="1">
      <c r="A523" s="16" t="s">
        <v>31</v>
      </c>
      <c r="B523" s="145">
        <v>757</v>
      </c>
      <c r="C523" s="84" t="s">
        <v>71</v>
      </c>
      <c r="D523" s="84" t="s">
        <v>18</v>
      </c>
      <c r="E523" s="84" t="s">
        <v>39</v>
      </c>
      <c r="F523" s="84" t="s">
        <v>32</v>
      </c>
      <c r="G523" s="70"/>
      <c r="H523" s="87"/>
      <c r="I523" s="87"/>
      <c r="J523" s="173"/>
    </row>
    <row r="524" spans="1:18" ht="39" customHeight="1">
      <c r="A524" s="16" t="s">
        <v>1334</v>
      </c>
      <c r="B524" s="145">
        <v>757</v>
      </c>
      <c r="C524" s="84" t="s">
        <v>71</v>
      </c>
      <c r="D524" s="84" t="s">
        <v>18</v>
      </c>
      <c r="E524" s="84" t="s">
        <v>190</v>
      </c>
      <c r="F524" s="84"/>
      <c r="G524" s="70">
        <f>G525</f>
        <v>0</v>
      </c>
      <c r="H524" s="87">
        <f t="shared" ref="H524:I524" si="142">H525</f>
        <v>0</v>
      </c>
      <c r="I524" s="87">
        <f t="shared" si="142"/>
        <v>0</v>
      </c>
      <c r="J524" s="173"/>
    </row>
    <row r="525" spans="1:18" ht="26.4">
      <c r="A525" s="16" t="s">
        <v>29</v>
      </c>
      <c r="B525" s="145">
        <v>757</v>
      </c>
      <c r="C525" s="84" t="s">
        <v>71</v>
      </c>
      <c r="D525" s="84" t="s">
        <v>18</v>
      </c>
      <c r="E525" s="84" t="s">
        <v>190</v>
      </c>
      <c r="F525" s="84" t="s">
        <v>30</v>
      </c>
      <c r="G525" s="70">
        <f>G526</f>
        <v>0</v>
      </c>
      <c r="H525" s="87">
        <f>H526</f>
        <v>0</v>
      </c>
      <c r="I525" s="87">
        <f>I526</f>
        <v>0</v>
      </c>
      <c r="J525" s="173"/>
    </row>
    <row r="526" spans="1:18" ht="19.5" customHeight="1">
      <c r="A526" s="16" t="s">
        <v>31</v>
      </c>
      <c r="B526" s="145">
        <v>757</v>
      </c>
      <c r="C526" s="84" t="s">
        <v>71</v>
      </c>
      <c r="D526" s="84" t="s">
        <v>18</v>
      </c>
      <c r="E526" s="84" t="s">
        <v>190</v>
      </c>
      <c r="F526" s="84" t="s">
        <v>32</v>
      </c>
      <c r="G526" s="70"/>
      <c r="H526" s="87">
        <v>0</v>
      </c>
      <c r="I526" s="87">
        <v>0</v>
      </c>
      <c r="J526" s="173"/>
    </row>
    <row r="527" spans="1:18" s="32" customFormat="1" ht="25.5" hidden="1" customHeight="1">
      <c r="A527" s="16" t="s">
        <v>29</v>
      </c>
      <c r="B527" s="145">
        <v>757</v>
      </c>
      <c r="C527" s="84" t="s">
        <v>71</v>
      </c>
      <c r="D527" s="84" t="s">
        <v>18</v>
      </c>
      <c r="E527" s="84" t="s">
        <v>519</v>
      </c>
      <c r="F527" s="84" t="s">
        <v>30</v>
      </c>
      <c r="G527" s="70">
        <f>G528</f>
        <v>0</v>
      </c>
      <c r="H527" s="87">
        <v>0</v>
      </c>
      <c r="I527" s="87">
        <v>0</v>
      </c>
      <c r="J527" s="173"/>
      <c r="K527" s="198"/>
      <c r="L527" s="198"/>
      <c r="M527" s="198"/>
      <c r="N527" s="198"/>
      <c r="O527" s="198"/>
      <c r="P527" s="198"/>
      <c r="Q527" s="198"/>
      <c r="R527" s="198"/>
    </row>
    <row r="528" spans="1:18" s="32" customFormat="1" ht="17.25" hidden="1" customHeight="1">
      <c r="A528" s="16" t="s">
        <v>31</v>
      </c>
      <c r="B528" s="145">
        <v>757</v>
      </c>
      <c r="C528" s="84" t="s">
        <v>71</v>
      </c>
      <c r="D528" s="84" t="s">
        <v>18</v>
      </c>
      <c r="E528" s="84" t="s">
        <v>519</v>
      </c>
      <c r="F528" s="84" t="s">
        <v>32</v>
      </c>
      <c r="G528" s="70"/>
      <c r="H528" s="87">
        <v>0</v>
      </c>
      <c r="I528" s="87">
        <v>0</v>
      </c>
      <c r="J528" s="173"/>
      <c r="K528" s="198"/>
      <c r="L528" s="198"/>
      <c r="M528" s="198"/>
      <c r="N528" s="198"/>
      <c r="O528" s="198"/>
      <c r="P528" s="198"/>
      <c r="Q528" s="198"/>
      <c r="R528" s="198"/>
    </row>
    <row r="529" spans="1:18" s="32" customFormat="1" ht="65.25" hidden="1" customHeight="1">
      <c r="A529" s="16" t="s">
        <v>587</v>
      </c>
      <c r="B529" s="145">
        <v>757</v>
      </c>
      <c r="C529" s="84" t="s">
        <v>71</v>
      </c>
      <c r="D529" s="84" t="s">
        <v>18</v>
      </c>
      <c r="E529" s="84" t="s">
        <v>586</v>
      </c>
      <c r="F529" s="84"/>
      <c r="G529" s="70">
        <f>G530</f>
        <v>0</v>
      </c>
      <c r="H529" s="87">
        <f t="shared" ref="H529:I529" si="143">H530</f>
        <v>0</v>
      </c>
      <c r="I529" s="87">
        <f t="shared" si="143"/>
        <v>0</v>
      </c>
      <c r="J529" s="173"/>
      <c r="K529" s="198"/>
      <c r="L529" s="198"/>
      <c r="M529" s="198"/>
      <c r="N529" s="198"/>
      <c r="O529" s="198"/>
      <c r="P529" s="198"/>
      <c r="Q529" s="198"/>
      <c r="R529" s="198"/>
    </row>
    <row r="530" spans="1:18" s="32" customFormat="1" ht="25.5" hidden="1" customHeight="1">
      <c r="A530" s="16" t="s">
        <v>29</v>
      </c>
      <c r="B530" s="145">
        <v>757</v>
      </c>
      <c r="C530" s="84" t="s">
        <v>71</v>
      </c>
      <c r="D530" s="84" t="s">
        <v>18</v>
      </c>
      <c r="E530" s="84" t="s">
        <v>586</v>
      </c>
      <c r="F530" s="84" t="s">
        <v>30</v>
      </c>
      <c r="G530" s="70">
        <f>G531</f>
        <v>0</v>
      </c>
      <c r="H530" s="87">
        <v>0</v>
      </c>
      <c r="I530" s="87">
        <v>0</v>
      </c>
      <c r="J530" s="173"/>
      <c r="K530" s="198"/>
      <c r="L530" s="198"/>
      <c r="M530" s="198"/>
      <c r="N530" s="198"/>
      <c r="O530" s="198"/>
      <c r="P530" s="198"/>
      <c r="Q530" s="198"/>
      <c r="R530" s="198"/>
    </row>
    <row r="531" spans="1:18" s="32" customFormat="1" ht="17.25" hidden="1" customHeight="1">
      <c r="A531" s="16" t="s">
        <v>31</v>
      </c>
      <c r="B531" s="145">
        <v>757</v>
      </c>
      <c r="C531" s="84" t="s">
        <v>71</v>
      </c>
      <c r="D531" s="84" t="s">
        <v>18</v>
      </c>
      <c r="E531" s="84" t="s">
        <v>586</v>
      </c>
      <c r="F531" s="84" t="s">
        <v>32</v>
      </c>
      <c r="G531" s="70"/>
      <c r="H531" s="87">
        <v>0</v>
      </c>
      <c r="I531" s="87">
        <v>0</v>
      </c>
      <c r="J531" s="173"/>
      <c r="K531" s="198"/>
      <c r="L531" s="198"/>
      <c r="M531" s="198"/>
      <c r="N531" s="198"/>
      <c r="O531" s="198"/>
      <c r="P531" s="198"/>
      <c r="Q531" s="198"/>
      <c r="R531" s="198"/>
    </row>
    <row r="532" spans="1:18" s="18" customFormat="1" ht="26.4" hidden="1">
      <c r="A532" s="16" t="s">
        <v>454</v>
      </c>
      <c r="B532" s="145">
        <v>757</v>
      </c>
      <c r="C532" s="84" t="s">
        <v>71</v>
      </c>
      <c r="D532" s="84" t="s">
        <v>18</v>
      </c>
      <c r="E532" s="84" t="s">
        <v>257</v>
      </c>
      <c r="F532" s="84"/>
      <c r="G532" s="70">
        <f>G533</f>
        <v>0</v>
      </c>
      <c r="H532" s="87">
        <f t="shared" ref="H532:I534" si="144">H533</f>
        <v>0</v>
      </c>
      <c r="I532" s="87">
        <f t="shared" si="144"/>
        <v>0</v>
      </c>
      <c r="J532" s="173"/>
      <c r="K532" s="195"/>
      <c r="L532" s="195"/>
      <c r="M532" s="195"/>
      <c r="N532" s="195"/>
      <c r="O532" s="195"/>
      <c r="P532" s="195"/>
      <c r="Q532" s="195"/>
      <c r="R532" s="195"/>
    </row>
    <row r="533" spans="1:18" s="18" customFormat="1" ht="26.4" hidden="1">
      <c r="A533" s="16" t="s">
        <v>453</v>
      </c>
      <c r="B533" s="145">
        <v>757</v>
      </c>
      <c r="C533" s="84" t="s">
        <v>71</v>
      </c>
      <c r="D533" s="84" t="s">
        <v>18</v>
      </c>
      <c r="E533" s="84" t="s">
        <v>428</v>
      </c>
      <c r="F533" s="84"/>
      <c r="G533" s="70">
        <f>G534</f>
        <v>0</v>
      </c>
      <c r="H533" s="87">
        <f t="shared" si="144"/>
        <v>0</v>
      </c>
      <c r="I533" s="87">
        <f t="shared" si="144"/>
        <v>0</v>
      </c>
      <c r="J533" s="173"/>
      <c r="K533" s="195"/>
      <c r="L533" s="195"/>
      <c r="M533" s="195"/>
      <c r="N533" s="195"/>
      <c r="O533" s="195"/>
      <c r="P533" s="195"/>
      <c r="Q533" s="195"/>
      <c r="R533" s="195"/>
    </row>
    <row r="534" spans="1:18" s="18" customFormat="1" ht="26.4" hidden="1">
      <c r="A534" s="16" t="s">
        <v>94</v>
      </c>
      <c r="B534" s="145">
        <v>757</v>
      </c>
      <c r="C534" s="84" t="s">
        <v>71</v>
      </c>
      <c r="D534" s="84" t="s">
        <v>18</v>
      </c>
      <c r="E534" s="84" t="s">
        <v>428</v>
      </c>
      <c r="F534" s="84" t="s">
        <v>338</v>
      </c>
      <c r="G534" s="70">
        <f>G535</f>
        <v>0</v>
      </c>
      <c r="H534" s="87">
        <f t="shared" si="144"/>
        <v>0</v>
      </c>
      <c r="I534" s="87">
        <f t="shared" si="144"/>
        <v>0</v>
      </c>
      <c r="J534" s="173"/>
      <c r="K534" s="195"/>
      <c r="L534" s="195"/>
      <c r="M534" s="195"/>
      <c r="N534" s="195"/>
      <c r="O534" s="195"/>
      <c r="P534" s="195"/>
      <c r="Q534" s="195"/>
      <c r="R534" s="195"/>
    </row>
    <row r="535" spans="1:18" s="18" customFormat="1" ht="92.4" hidden="1">
      <c r="A535" s="50" t="s">
        <v>407</v>
      </c>
      <c r="B535" s="145">
        <v>757</v>
      </c>
      <c r="C535" s="84" t="s">
        <v>71</v>
      </c>
      <c r="D535" s="84" t="s">
        <v>18</v>
      </c>
      <c r="E535" s="84" t="s">
        <v>428</v>
      </c>
      <c r="F535" s="84" t="s">
        <v>406</v>
      </c>
      <c r="G535" s="70">
        <f>50000-50000</f>
        <v>0</v>
      </c>
      <c r="H535" s="87"/>
      <c r="I535" s="87"/>
      <c r="J535" s="173"/>
      <c r="K535" s="195"/>
      <c r="L535" s="195"/>
      <c r="M535" s="195"/>
      <c r="N535" s="195"/>
      <c r="O535" s="195"/>
      <c r="P535" s="195"/>
      <c r="Q535" s="195"/>
      <c r="R535" s="195"/>
    </row>
    <row r="536" spans="1:18" s="33" customFormat="1" ht="15" customHeight="1">
      <c r="A536" s="16" t="s">
        <v>70</v>
      </c>
      <c r="B536" s="145">
        <v>757</v>
      </c>
      <c r="C536" s="84" t="s">
        <v>71</v>
      </c>
      <c r="D536" s="84" t="s">
        <v>27</v>
      </c>
      <c r="E536" s="164"/>
      <c r="F536" s="164"/>
      <c r="G536" s="29">
        <f>G537</f>
        <v>550000</v>
      </c>
      <c r="H536" s="93">
        <f t="shared" ref="H536:I536" si="145">H537</f>
        <v>550000</v>
      </c>
      <c r="I536" s="93">
        <f t="shared" si="145"/>
        <v>550000</v>
      </c>
      <c r="J536" s="190"/>
      <c r="K536" s="206"/>
      <c r="L536" s="206"/>
      <c r="M536" s="206"/>
      <c r="N536" s="206"/>
      <c r="O536" s="206"/>
      <c r="P536" s="206"/>
      <c r="Q536" s="206"/>
      <c r="R536" s="206"/>
    </row>
    <row r="537" spans="1:18" s="28" customFormat="1" ht="39.75" customHeight="1">
      <c r="A537" s="37" t="s">
        <v>1137</v>
      </c>
      <c r="B537" s="145">
        <v>757</v>
      </c>
      <c r="C537" s="84" t="s">
        <v>71</v>
      </c>
      <c r="D537" s="84" t="s">
        <v>27</v>
      </c>
      <c r="E537" s="84" t="s">
        <v>189</v>
      </c>
      <c r="F537" s="84"/>
      <c r="G537" s="70">
        <f>G538</f>
        <v>550000</v>
      </c>
      <c r="H537" s="87">
        <f t="shared" ref="H537:I537" si="146">H538</f>
        <v>550000</v>
      </c>
      <c r="I537" s="87">
        <f t="shared" si="146"/>
        <v>550000</v>
      </c>
      <c r="J537" s="173"/>
      <c r="K537" s="199"/>
      <c r="L537" s="199"/>
      <c r="M537" s="199"/>
      <c r="N537" s="199"/>
      <c r="O537" s="199"/>
      <c r="P537" s="199"/>
      <c r="Q537" s="199"/>
      <c r="R537" s="199"/>
    </row>
    <row r="538" spans="1:18" s="28" customFormat="1" ht="27.75" customHeight="1">
      <c r="A538" s="136" t="s">
        <v>72</v>
      </c>
      <c r="B538" s="145">
        <v>757</v>
      </c>
      <c r="C538" s="84" t="s">
        <v>71</v>
      </c>
      <c r="D538" s="84" t="s">
        <v>27</v>
      </c>
      <c r="E538" s="84" t="s">
        <v>200</v>
      </c>
      <c r="F538" s="84"/>
      <c r="G538" s="70">
        <f>G539</f>
        <v>550000</v>
      </c>
      <c r="H538" s="87">
        <f t="shared" ref="H538:I538" si="147">H539</f>
        <v>550000</v>
      </c>
      <c r="I538" s="87">
        <f t="shared" si="147"/>
        <v>550000</v>
      </c>
      <c r="J538" s="173"/>
      <c r="K538" s="199"/>
      <c r="L538" s="199"/>
      <c r="M538" s="199"/>
      <c r="N538" s="199"/>
      <c r="O538" s="199"/>
      <c r="P538" s="199"/>
      <c r="Q538" s="199"/>
      <c r="R538" s="199"/>
    </row>
    <row r="539" spans="1:18" s="32" customFormat="1" ht="28.5" customHeight="1">
      <c r="A539" s="82" t="s">
        <v>35</v>
      </c>
      <c r="B539" s="145">
        <v>757</v>
      </c>
      <c r="C539" s="84" t="s">
        <v>71</v>
      </c>
      <c r="D539" s="84" t="s">
        <v>27</v>
      </c>
      <c r="E539" s="84" t="s">
        <v>200</v>
      </c>
      <c r="F539" s="84" t="s">
        <v>36</v>
      </c>
      <c r="G539" s="70">
        <f>G540</f>
        <v>550000</v>
      </c>
      <c r="H539" s="87">
        <f>H540</f>
        <v>550000</v>
      </c>
      <c r="I539" s="87">
        <f>I540</f>
        <v>550000</v>
      </c>
      <c r="J539" s="173"/>
      <c r="K539" s="198"/>
      <c r="L539" s="198"/>
      <c r="M539" s="198"/>
      <c r="N539" s="198"/>
      <c r="O539" s="198"/>
      <c r="P539" s="198"/>
      <c r="Q539" s="198"/>
      <c r="R539" s="198"/>
    </row>
    <row r="540" spans="1:18" s="32" customFormat="1" ht="26.4">
      <c r="A540" s="82" t="s">
        <v>37</v>
      </c>
      <c r="B540" s="145">
        <v>757</v>
      </c>
      <c r="C540" s="84" t="s">
        <v>71</v>
      </c>
      <c r="D540" s="84" t="s">
        <v>27</v>
      </c>
      <c r="E540" s="84" t="s">
        <v>200</v>
      </c>
      <c r="F540" s="84" t="s">
        <v>38</v>
      </c>
      <c r="G540" s="70">
        <v>550000</v>
      </c>
      <c r="H540" s="87">
        <v>550000</v>
      </c>
      <c r="I540" s="87">
        <v>550000</v>
      </c>
      <c r="J540" s="173"/>
      <c r="K540" s="200"/>
      <c r="L540" s="198"/>
      <c r="M540" s="198"/>
      <c r="N540" s="198"/>
      <c r="O540" s="198"/>
      <c r="P540" s="198"/>
      <c r="Q540" s="198"/>
      <c r="R540" s="198"/>
    </row>
    <row r="541" spans="1:18" s="122" customFormat="1">
      <c r="A541" s="377" t="s">
        <v>73</v>
      </c>
      <c r="B541" s="378"/>
      <c r="C541" s="379"/>
      <c r="D541" s="379"/>
      <c r="E541" s="379"/>
      <c r="F541" s="379"/>
      <c r="G541" s="380">
        <f>G29+G40+G179+G2781+G486+G520+G510+G23</f>
        <v>272654077.66999996</v>
      </c>
      <c r="H541" s="380">
        <f>H29+H40+H179+H2781+H486+H520+H510</f>
        <v>217490781.57999995</v>
      </c>
      <c r="I541" s="380">
        <f>I29+I40+I179+I2781+I486+I520+I510</f>
        <v>219720578.94</v>
      </c>
      <c r="J541" s="187">
        <f>G36+G48+G51+G54+G57+G115+G175+G227+G248+G271+G274+G287+G326+G351+G352+G355+G356+G359+G362+G371+G374+G377+G392+G395+G398+G401+G404+G407+G410+G413+G475+G477+G540+77893.78+G224+1224542.03</f>
        <v>216814876.33999997</v>
      </c>
      <c r="K541" s="203"/>
      <c r="L541" s="202"/>
      <c r="M541" s="202"/>
      <c r="N541" s="202"/>
      <c r="O541" s="202"/>
      <c r="P541" s="202"/>
      <c r="Q541" s="202"/>
      <c r="R541" s="202"/>
    </row>
    <row r="542" spans="1:18" s="122" customFormat="1" hidden="1">
      <c r="A542" s="135"/>
      <c r="B542" s="264"/>
      <c r="C542" s="158"/>
      <c r="D542" s="158"/>
      <c r="E542" s="158"/>
      <c r="F542" s="158"/>
      <c r="G542" s="96"/>
      <c r="H542" s="96"/>
      <c r="I542" s="96"/>
      <c r="J542" s="187"/>
      <c r="K542" s="203"/>
      <c r="L542" s="202"/>
      <c r="M542" s="202"/>
      <c r="N542" s="202"/>
      <c r="O542" s="202"/>
      <c r="P542" s="202"/>
      <c r="Q542" s="202"/>
      <c r="R542" s="202"/>
    </row>
    <row r="543" spans="1:18" s="122" customFormat="1" hidden="1">
      <c r="A543" s="135"/>
      <c r="B543" s="264"/>
      <c r="C543" s="158"/>
      <c r="D543" s="158"/>
      <c r="E543" s="158"/>
      <c r="F543" s="158"/>
      <c r="G543" s="96"/>
      <c r="H543" s="96"/>
      <c r="I543" s="96"/>
      <c r="J543" s="187"/>
      <c r="K543" s="203"/>
      <c r="L543" s="202"/>
      <c r="M543" s="202"/>
      <c r="N543" s="202"/>
      <c r="O543" s="202"/>
      <c r="P543" s="202"/>
      <c r="Q543" s="202"/>
      <c r="R543" s="202"/>
    </row>
    <row r="544" spans="1:18" s="122" customFormat="1" hidden="1">
      <c r="A544" s="135"/>
      <c r="B544" s="264"/>
      <c r="C544" s="158"/>
      <c r="D544" s="158"/>
      <c r="E544" s="158"/>
      <c r="F544" s="158"/>
      <c r="G544" s="96"/>
      <c r="H544" s="96"/>
      <c r="I544" s="96"/>
      <c r="J544" s="187"/>
      <c r="K544" s="203"/>
      <c r="L544" s="202"/>
      <c r="M544" s="202"/>
      <c r="N544" s="202"/>
      <c r="O544" s="202"/>
      <c r="P544" s="202"/>
      <c r="Q544" s="202"/>
      <c r="R544" s="202"/>
    </row>
    <row r="545" spans="1:18" s="374" customFormat="1" ht="53.25" customHeight="1">
      <c r="A545" s="390" t="s">
        <v>1210</v>
      </c>
      <c r="B545" s="391">
        <v>763</v>
      </c>
      <c r="C545" s="392"/>
      <c r="D545" s="392"/>
      <c r="E545" s="392"/>
      <c r="F545" s="392"/>
      <c r="G545" s="393"/>
      <c r="H545" s="393"/>
      <c r="I545" s="393"/>
      <c r="J545" s="310"/>
      <c r="K545" s="373"/>
      <c r="L545" s="373"/>
      <c r="M545" s="373"/>
      <c r="N545" s="373"/>
      <c r="O545" s="373"/>
      <c r="P545" s="373"/>
      <c r="Q545" s="373"/>
      <c r="R545" s="373"/>
    </row>
    <row r="546" spans="1:18">
      <c r="A546" s="266" t="s">
        <v>17</v>
      </c>
      <c r="B546" s="260">
        <v>763</v>
      </c>
      <c r="C546" s="261" t="s">
        <v>18</v>
      </c>
      <c r="D546" s="261"/>
      <c r="E546" s="261"/>
      <c r="F546" s="261"/>
      <c r="G546" s="258">
        <f>G547+G559</f>
        <v>25608183.319999997</v>
      </c>
      <c r="H546" s="258">
        <f>H547+H559</f>
        <v>17252759</v>
      </c>
      <c r="I546" s="258">
        <f>I547+I559</f>
        <v>17350286</v>
      </c>
      <c r="J546" s="186"/>
    </row>
    <row r="547" spans="1:18" s="33" customFormat="1" ht="52.8">
      <c r="A547" s="82" t="s">
        <v>74</v>
      </c>
      <c r="B547" s="145">
        <v>763</v>
      </c>
      <c r="C547" s="84" t="s">
        <v>18</v>
      </c>
      <c r="D547" s="84" t="s">
        <v>53</v>
      </c>
      <c r="E547" s="84"/>
      <c r="F547" s="164"/>
      <c r="G547" s="87">
        <f>SUM(G548)</f>
        <v>17263042.929999996</v>
      </c>
      <c r="H547" s="87">
        <f>SUM(H548)</f>
        <v>16823759</v>
      </c>
      <c r="I547" s="87">
        <f>SUM(I548)</f>
        <v>16921286</v>
      </c>
      <c r="J547" s="173"/>
      <c r="K547" s="206"/>
      <c r="L547" s="206"/>
      <c r="M547" s="206"/>
      <c r="N547" s="206"/>
      <c r="O547" s="206"/>
      <c r="P547" s="206"/>
      <c r="Q547" s="206"/>
      <c r="R547" s="206"/>
    </row>
    <row r="548" spans="1:18" s="33" customFormat="1" ht="32.25" customHeight="1">
      <c r="A548" s="16" t="s">
        <v>1128</v>
      </c>
      <c r="B548" s="145">
        <v>763</v>
      </c>
      <c r="C548" s="84" t="s">
        <v>18</v>
      </c>
      <c r="D548" s="84" t="s">
        <v>53</v>
      </c>
      <c r="E548" s="84" t="s">
        <v>201</v>
      </c>
      <c r="F548" s="164"/>
      <c r="G548" s="87">
        <f>G549+G556</f>
        <v>17263042.929999996</v>
      </c>
      <c r="H548" s="87">
        <f>H549</f>
        <v>16823759</v>
      </c>
      <c r="I548" s="87">
        <f>I549</f>
        <v>16921286</v>
      </c>
      <c r="J548" s="173"/>
      <c r="K548" s="206"/>
      <c r="L548" s="206"/>
      <c r="M548" s="206"/>
      <c r="N548" s="206"/>
      <c r="O548" s="206"/>
      <c r="P548" s="206"/>
      <c r="Q548" s="206"/>
      <c r="R548" s="206"/>
    </row>
    <row r="549" spans="1:18" s="33" customFormat="1" ht="26.4">
      <c r="A549" s="16" t="s">
        <v>75</v>
      </c>
      <c r="B549" s="145">
        <v>763</v>
      </c>
      <c r="C549" s="84" t="s">
        <v>18</v>
      </c>
      <c r="D549" s="84" t="s">
        <v>53</v>
      </c>
      <c r="E549" s="84" t="s">
        <v>202</v>
      </c>
      <c r="F549" s="164"/>
      <c r="G549" s="87">
        <f>SUM(G550+G552+G555)</f>
        <v>17075334.849999998</v>
      </c>
      <c r="H549" s="87">
        <f>SUM(H550+H552+H555)</f>
        <v>16823759</v>
      </c>
      <c r="I549" s="87">
        <f>SUM(I550+I552+I555)</f>
        <v>16921286</v>
      </c>
      <c r="J549" s="173"/>
      <c r="K549" s="206"/>
      <c r="L549" s="206"/>
      <c r="M549" s="206"/>
      <c r="N549" s="206"/>
      <c r="O549" s="206"/>
      <c r="P549" s="206"/>
      <c r="Q549" s="206"/>
      <c r="R549" s="206"/>
    </row>
    <row r="550" spans="1:18" ht="66">
      <c r="A550" s="16" t="s">
        <v>54</v>
      </c>
      <c r="B550" s="145">
        <v>763</v>
      </c>
      <c r="C550" s="84" t="s">
        <v>18</v>
      </c>
      <c r="D550" s="84" t="s">
        <v>53</v>
      </c>
      <c r="E550" s="84" t="s">
        <v>202</v>
      </c>
      <c r="F550" s="84" t="s">
        <v>57</v>
      </c>
      <c r="G550" s="87">
        <f>SUM(G551)</f>
        <v>16131754.279999999</v>
      </c>
      <c r="H550" s="87">
        <f>SUM(H551)</f>
        <v>16115607</v>
      </c>
      <c r="I550" s="87">
        <f>SUM(I551)</f>
        <v>16213134</v>
      </c>
      <c r="J550" s="173"/>
    </row>
    <row r="551" spans="1:18" ht="26.4">
      <c r="A551" s="16" t="s">
        <v>55</v>
      </c>
      <c r="B551" s="145">
        <v>763</v>
      </c>
      <c r="C551" s="84" t="s">
        <v>18</v>
      </c>
      <c r="D551" s="84" t="s">
        <v>53</v>
      </c>
      <c r="E551" s="84" t="s">
        <v>202</v>
      </c>
      <c r="F551" s="84" t="s">
        <v>58</v>
      </c>
      <c r="G551" s="87">
        <f>15912187+44485+107033.24+32324.04+35725-39428.57-11828.57+51257.14</f>
        <v>16131754.279999999</v>
      </c>
      <c r="H551" s="87">
        <f>16052607+63000</f>
        <v>16115607</v>
      </c>
      <c r="I551" s="87">
        <f>16213134</f>
        <v>16213134</v>
      </c>
      <c r="J551" s="173"/>
    </row>
    <row r="552" spans="1:18" ht="26.4">
      <c r="A552" s="16" t="s">
        <v>35</v>
      </c>
      <c r="B552" s="145">
        <v>763</v>
      </c>
      <c r="C552" s="84" t="s">
        <v>18</v>
      </c>
      <c r="D552" s="84" t="s">
        <v>53</v>
      </c>
      <c r="E552" s="84" t="s">
        <v>202</v>
      </c>
      <c r="F552" s="84" t="s">
        <v>36</v>
      </c>
      <c r="G552" s="87">
        <f>SUM(G553)</f>
        <v>907498.57000000007</v>
      </c>
      <c r="H552" s="87">
        <f>SUM(H553)</f>
        <v>670712</v>
      </c>
      <c r="I552" s="87">
        <f>SUM(I553)</f>
        <v>670712</v>
      </c>
      <c r="J552" s="173"/>
    </row>
    <row r="553" spans="1:18" ht="26.4">
      <c r="A553" s="16" t="s">
        <v>37</v>
      </c>
      <c r="B553" s="145">
        <v>763</v>
      </c>
      <c r="C553" s="84" t="s">
        <v>18</v>
      </c>
      <c r="D553" s="84" t="s">
        <v>53</v>
      </c>
      <c r="E553" s="84" t="s">
        <v>202</v>
      </c>
      <c r="F553" s="84" t="s">
        <v>38</v>
      </c>
      <c r="G553" s="87">
        <f>715197+105515+34171.43+1358+51257.14+51257.14-51257.14</f>
        <v>907498.57000000007</v>
      </c>
      <c r="H553" s="87">
        <v>670712</v>
      </c>
      <c r="I553" s="87">
        <v>670712</v>
      </c>
      <c r="J553" s="173"/>
    </row>
    <row r="554" spans="1:18" ht="19.5" customHeight="1">
      <c r="A554" s="30" t="s">
        <v>62</v>
      </c>
      <c r="B554" s="145">
        <v>763</v>
      </c>
      <c r="C554" s="84" t="s">
        <v>18</v>
      </c>
      <c r="D554" s="84" t="s">
        <v>53</v>
      </c>
      <c r="E554" s="84" t="s">
        <v>202</v>
      </c>
      <c r="F554" s="84" t="s">
        <v>63</v>
      </c>
      <c r="G554" s="87">
        <f>G555</f>
        <v>36082</v>
      </c>
      <c r="H554" s="87">
        <f>H555</f>
        <v>37440</v>
      </c>
      <c r="I554" s="87">
        <f>I555</f>
        <v>37440</v>
      </c>
      <c r="J554" s="173"/>
    </row>
    <row r="555" spans="1:18" ht="16.5" customHeight="1">
      <c r="A555" s="30" t="s">
        <v>140</v>
      </c>
      <c r="B555" s="145">
        <v>763</v>
      </c>
      <c r="C555" s="84" t="s">
        <v>18</v>
      </c>
      <c r="D555" s="84" t="s">
        <v>53</v>
      </c>
      <c r="E555" s="84" t="s">
        <v>202</v>
      </c>
      <c r="F555" s="84" t="s">
        <v>66</v>
      </c>
      <c r="G555" s="87">
        <f>37440-1358</f>
        <v>36082</v>
      </c>
      <c r="H555" s="87">
        <v>37440</v>
      </c>
      <c r="I555" s="87">
        <v>37440</v>
      </c>
      <c r="J555" s="173"/>
    </row>
    <row r="556" spans="1:18" ht="84.75" customHeight="1">
      <c r="A556" s="82" t="s">
        <v>1435</v>
      </c>
      <c r="B556" s="145">
        <v>763</v>
      </c>
      <c r="C556" s="354" t="s">
        <v>18</v>
      </c>
      <c r="D556" s="354" t="s">
        <v>53</v>
      </c>
      <c r="E556" s="84" t="s">
        <v>1529</v>
      </c>
      <c r="F556" s="84"/>
      <c r="G556" s="87">
        <f>G557</f>
        <v>187708.08</v>
      </c>
      <c r="H556" s="87">
        <f t="shared" ref="H556:I556" si="148">H557</f>
        <v>0</v>
      </c>
      <c r="I556" s="87">
        <f t="shared" si="148"/>
        <v>0</v>
      </c>
      <c r="J556" s="173"/>
    </row>
    <row r="557" spans="1:18" ht="29.25" customHeight="1">
      <c r="A557" s="82" t="s">
        <v>54</v>
      </c>
      <c r="B557" s="145">
        <v>763</v>
      </c>
      <c r="C557" s="354" t="s">
        <v>18</v>
      </c>
      <c r="D557" s="354" t="s">
        <v>53</v>
      </c>
      <c r="E557" s="84" t="s">
        <v>1529</v>
      </c>
      <c r="F557" s="84" t="s">
        <v>57</v>
      </c>
      <c r="G557" s="87">
        <f>G558</f>
        <v>187708.08</v>
      </c>
      <c r="H557" s="87">
        <f>H558</f>
        <v>0</v>
      </c>
      <c r="I557" s="87">
        <f>I558</f>
        <v>0</v>
      </c>
      <c r="J557" s="173"/>
    </row>
    <row r="558" spans="1:18" ht="36.75" customHeight="1">
      <c r="A558" s="82" t="s">
        <v>55</v>
      </c>
      <c r="B558" s="145">
        <v>763</v>
      </c>
      <c r="C558" s="354" t="s">
        <v>18</v>
      </c>
      <c r="D558" s="354" t="s">
        <v>53</v>
      </c>
      <c r="E558" s="84" t="s">
        <v>1529</v>
      </c>
      <c r="F558" s="84" t="s">
        <v>58</v>
      </c>
      <c r="G558" s="70">
        <v>187708.08</v>
      </c>
      <c r="H558" s="87">
        <v>0</v>
      </c>
      <c r="I558" s="87">
        <v>0</v>
      </c>
      <c r="J558" s="173"/>
    </row>
    <row r="559" spans="1:18" ht="18.75" customHeight="1">
      <c r="A559" s="40" t="s">
        <v>21</v>
      </c>
      <c r="B559" s="145">
        <v>763</v>
      </c>
      <c r="C559" s="84" t="s">
        <v>18</v>
      </c>
      <c r="D559" s="84" t="s">
        <v>22</v>
      </c>
      <c r="E559" s="84"/>
      <c r="F559" s="84"/>
      <c r="G559" s="87">
        <f>G560+G566+G579</f>
        <v>8345140.3900000006</v>
      </c>
      <c r="H559" s="87">
        <f>H560</f>
        <v>429000</v>
      </c>
      <c r="I559" s="87">
        <f>I560</f>
        <v>429000</v>
      </c>
      <c r="J559" s="173"/>
    </row>
    <row r="560" spans="1:18" ht="39.75" customHeight="1">
      <c r="A560" s="16" t="s">
        <v>1128</v>
      </c>
      <c r="B560" s="145">
        <v>763</v>
      </c>
      <c r="C560" s="84" t="s">
        <v>18</v>
      </c>
      <c r="D560" s="84" t="s">
        <v>22</v>
      </c>
      <c r="E560" s="84" t="s">
        <v>201</v>
      </c>
      <c r="F560" s="84"/>
      <c r="G560" s="87">
        <f>G561+G571+G575</f>
        <v>8342720.7400000002</v>
      </c>
      <c r="H560" s="87">
        <f t="shared" ref="H560:I560" si="149">H561</f>
        <v>429000</v>
      </c>
      <c r="I560" s="87">
        <f t="shared" si="149"/>
        <v>429000</v>
      </c>
      <c r="J560" s="173"/>
      <c r="N560" s="204"/>
    </row>
    <row r="561" spans="1:18" ht="41.25" customHeight="1">
      <c r="A561" s="82" t="s">
        <v>799</v>
      </c>
      <c r="B561" s="145">
        <v>763</v>
      </c>
      <c r="C561" s="84" t="s">
        <v>18</v>
      </c>
      <c r="D561" s="84" t="s">
        <v>22</v>
      </c>
      <c r="E561" s="84" t="s">
        <v>203</v>
      </c>
      <c r="F561" s="84"/>
      <c r="G561" s="87">
        <f>G562+G564</f>
        <v>992720.74</v>
      </c>
      <c r="H561" s="87">
        <f t="shared" ref="H561:I561" si="150">H562+H564</f>
        <v>429000</v>
      </c>
      <c r="I561" s="87">
        <f t="shared" si="150"/>
        <v>429000</v>
      </c>
      <c r="J561" s="173"/>
      <c r="P561" s="217"/>
    </row>
    <row r="562" spans="1:18" ht="27.75" customHeight="1">
      <c r="A562" s="82" t="s">
        <v>35</v>
      </c>
      <c r="B562" s="145">
        <v>763</v>
      </c>
      <c r="C562" s="84" t="s">
        <v>18</v>
      </c>
      <c r="D562" s="84" t="s">
        <v>22</v>
      </c>
      <c r="E562" s="84" t="s">
        <v>203</v>
      </c>
      <c r="F562" s="84" t="s">
        <v>36</v>
      </c>
      <c r="G562" s="87">
        <f t="shared" ref="G562:I562" si="151">G563</f>
        <v>967426.74</v>
      </c>
      <c r="H562" s="87">
        <f t="shared" si="151"/>
        <v>429000</v>
      </c>
      <c r="I562" s="87">
        <f t="shared" si="151"/>
        <v>429000</v>
      </c>
      <c r="J562" s="173"/>
    </row>
    <row r="563" spans="1:18" ht="28.5" customHeight="1">
      <c r="A563" s="82" t="s">
        <v>37</v>
      </c>
      <c r="B563" s="145">
        <v>763</v>
      </c>
      <c r="C563" s="84" t="s">
        <v>18</v>
      </c>
      <c r="D563" s="84" t="s">
        <v>22</v>
      </c>
      <c r="E563" s="84" t="s">
        <v>203</v>
      </c>
      <c r="F563" s="84" t="s">
        <v>38</v>
      </c>
      <c r="G563" s="87">
        <f>831306+23020.74+118000-4900</f>
        <v>967426.74</v>
      </c>
      <c r="H563" s="87">
        <v>429000</v>
      </c>
      <c r="I563" s="87">
        <v>429000</v>
      </c>
      <c r="J563" s="173"/>
    </row>
    <row r="564" spans="1:18">
      <c r="A564" s="82" t="s">
        <v>62</v>
      </c>
      <c r="B564" s="145">
        <v>763</v>
      </c>
      <c r="C564" s="84" t="s">
        <v>18</v>
      </c>
      <c r="D564" s="84" t="s">
        <v>22</v>
      </c>
      <c r="E564" s="84" t="s">
        <v>203</v>
      </c>
      <c r="F564" s="84" t="s">
        <v>63</v>
      </c>
      <c r="G564" s="87">
        <f>G565</f>
        <v>25294</v>
      </c>
      <c r="H564" s="87">
        <v>0</v>
      </c>
      <c r="I564" s="87">
        <v>0</v>
      </c>
      <c r="J564" s="173"/>
      <c r="K564" s="204"/>
    </row>
    <row r="565" spans="1:18" ht="15" customHeight="1">
      <c r="A565" s="82" t="s">
        <v>140</v>
      </c>
      <c r="B565" s="145">
        <v>763</v>
      </c>
      <c r="C565" s="84" t="s">
        <v>18</v>
      </c>
      <c r="D565" s="84" t="s">
        <v>22</v>
      </c>
      <c r="E565" s="84" t="s">
        <v>203</v>
      </c>
      <c r="F565" s="84" t="s">
        <v>66</v>
      </c>
      <c r="G565" s="87">
        <f>20394+4900</f>
        <v>25294</v>
      </c>
      <c r="H565" s="87"/>
      <c r="I565" s="87"/>
      <c r="J565" s="173"/>
      <c r="K565" s="204"/>
    </row>
    <row r="566" spans="1:18" ht="28.5" hidden="1" customHeight="1">
      <c r="A566" s="82" t="s">
        <v>163</v>
      </c>
      <c r="B566" s="145">
        <v>763</v>
      </c>
      <c r="C566" s="84" t="s">
        <v>18</v>
      </c>
      <c r="D566" s="84" t="s">
        <v>22</v>
      </c>
      <c r="E566" s="84" t="s">
        <v>1014</v>
      </c>
      <c r="F566" s="84"/>
      <c r="G566" s="87">
        <f>G567</f>
        <v>0</v>
      </c>
      <c r="H566" s="87">
        <f t="shared" ref="H566:I566" si="152">H567</f>
        <v>0</v>
      </c>
      <c r="I566" s="87">
        <f t="shared" si="152"/>
        <v>0</v>
      </c>
      <c r="J566" s="173"/>
    </row>
    <row r="567" spans="1:18" ht="28.5" hidden="1" customHeight="1">
      <c r="A567" s="82" t="s">
        <v>163</v>
      </c>
      <c r="B567" s="145">
        <v>763</v>
      </c>
      <c r="C567" s="84" t="s">
        <v>18</v>
      </c>
      <c r="D567" s="84" t="s">
        <v>22</v>
      </c>
      <c r="E567" s="84" t="s">
        <v>270</v>
      </c>
      <c r="F567" s="84"/>
      <c r="G567" s="87">
        <f>G568</f>
        <v>0</v>
      </c>
      <c r="H567" s="87"/>
      <c r="I567" s="87"/>
      <c r="J567" s="173"/>
    </row>
    <row r="568" spans="1:18" ht="27.75" hidden="1" customHeight="1">
      <c r="A568" s="82" t="s">
        <v>35</v>
      </c>
      <c r="B568" s="145">
        <v>763</v>
      </c>
      <c r="C568" s="84" t="s">
        <v>18</v>
      </c>
      <c r="D568" s="84" t="s">
        <v>22</v>
      </c>
      <c r="E568" s="84" t="s">
        <v>270</v>
      </c>
      <c r="F568" s="84" t="s">
        <v>36</v>
      </c>
      <c r="G568" s="87">
        <f t="shared" ref="G568:I568" si="153">G569</f>
        <v>0</v>
      </c>
      <c r="H568" s="87">
        <f t="shared" si="153"/>
        <v>0</v>
      </c>
      <c r="I568" s="87">
        <f t="shared" si="153"/>
        <v>0</v>
      </c>
      <c r="J568" s="173"/>
    </row>
    <row r="569" spans="1:18" ht="28.5" hidden="1" customHeight="1">
      <c r="A569" s="82" t="s">
        <v>37</v>
      </c>
      <c r="B569" s="145">
        <v>763</v>
      </c>
      <c r="C569" s="84" t="s">
        <v>18</v>
      </c>
      <c r="D569" s="84" t="s">
        <v>22</v>
      </c>
      <c r="E569" s="84" t="s">
        <v>270</v>
      </c>
      <c r="F569" s="84" t="s">
        <v>38</v>
      </c>
      <c r="G569" s="87"/>
      <c r="H569" s="87"/>
      <c r="I569" s="87"/>
      <c r="J569" s="173"/>
    </row>
    <row r="570" spans="1:18" s="18" customFormat="1" ht="73.5" hidden="1" customHeight="1">
      <c r="A570" s="16" t="s">
        <v>1132</v>
      </c>
      <c r="B570" s="145">
        <v>763</v>
      </c>
      <c r="C570" s="10" t="s">
        <v>167</v>
      </c>
      <c r="D570" s="10" t="s">
        <v>18</v>
      </c>
      <c r="E570" s="15" t="s">
        <v>208</v>
      </c>
      <c r="F570" s="15"/>
      <c r="G570" s="70"/>
      <c r="H570" s="70">
        <f t="shared" ref="H570:I570" si="154">H571</f>
        <v>0</v>
      </c>
      <c r="I570" s="70">
        <f t="shared" si="154"/>
        <v>0</v>
      </c>
      <c r="J570" s="172"/>
      <c r="K570" s="180"/>
      <c r="L570" s="180"/>
      <c r="M570" s="180"/>
      <c r="N570" s="180"/>
      <c r="O570" s="180"/>
      <c r="P570" s="180"/>
      <c r="Q570" s="180"/>
      <c r="R570" s="180"/>
    </row>
    <row r="571" spans="1:18" s="18" customFormat="1" ht="63.75" customHeight="1">
      <c r="A571" s="82" t="s">
        <v>1454</v>
      </c>
      <c r="B571" s="14">
        <v>763</v>
      </c>
      <c r="C571" s="15" t="s">
        <v>18</v>
      </c>
      <c r="D571" s="15" t="s">
        <v>22</v>
      </c>
      <c r="E571" s="15" t="s">
        <v>1205</v>
      </c>
      <c r="F571" s="15"/>
      <c r="G571" s="70">
        <f>G573</f>
        <v>5644150</v>
      </c>
      <c r="H571" s="70">
        <f>H573</f>
        <v>0</v>
      </c>
      <c r="I571" s="70">
        <f>I573</f>
        <v>0</v>
      </c>
      <c r="J571" s="172">
        <f>G574+G603</f>
        <v>5644150</v>
      </c>
      <c r="K571" s="180"/>
      <c r="L571" s="180"/>
      <c r="M571" s="180"/>
      <c r="N571" s="180"/>
      <c r="O571" s="180"/>
      <c r="P571" s="180"/>
      <c r="Q571" s="180"/>
      <c r="R571" s="180"/>
    </row>
    <row r="572" spans="1:18" s="18" customFormat="1" ht="39" hidden="1" customHeight="1">
      <c r="A572" s="16" t="s">
        <v>1066</v>
      </c>
      <c r="B572" s="14">
        <v>763</v>
      </c>
      <c r="C572" s="15" t="s">
        <v>18</v>
      </c>
      <c r="D572" s="15" t="s">
        <v>22</v>
      </c>
      <c r="E572" s="15" t="s">
        <v>1205</v>
      </c>
      <c r="F572" s="15"/>
      <c r="G572" s="70">
        <f>G573</f>
        <v>5644150</v>
      </c>
      <c r="H572" s="70">
        <f t="shared" ref="H572:I572" si="155">H573</f>
        <v>0</v>
      </c>
      <c r="I572" s="70">
        <f t="shared" si="155"/>
        <v>0</v>
      </c>
      <c r="J572" s="172"/>
      <c r="K572" s="180"/>
      <c r="L572" s="180"/>
      <c r="M572" s="180"/>
      <c r="N572" s="180"/>
      <c r="O572" s="180"/>
      <c r="P572" s="180"/>
      <c r="Q572" s="180"/>
      <c r="R572" s="180"/>
    </row>
    <row r="573" spans="1:18" ht="30.75" customHeight="1">
      <c r="A573" s="16" t="s">
        <v>35</v>
      </c>
      <c r="B573" s="14">
        <v>763</v>
      </c>
      <c r="C573" s="15" t="s">
        <v>18</v>
      </c>
      <c r="D573" s="15" t="s">
        <v>22</v>
      </c>
      <c r="E573" s="15" t="s">
        <v>1205</v>
      </c>
      <c r="F573" s="15" t="s">
        <v>36</v>
      </c>
      <c r="G573" s="70">
        <f t="shared" ref="G573:I573" si="156">G574</f>
        <v>5644150</v>
      </c>
      <c r="H573" s="70">
        <f t="shared" si="156"/>
        <v>0</v>
      </c>
      <c r="I573" s="70">
        <f t="shared" si="156"/>
        <v>0</v>
      </c>
      <c r="J573" s="172"/>
      <c r="K573" s="69"/>
      <c r="L573" s="69"/>
      <c r="M573" s="69"/>
      <c r="N573" s="69"/>
      <c r="O573" s="69"/>
      <c r="P573" s="69"/>
      <c r="Q573" s="69"/>
      <c r="R573" s="69"/>
    </row>
    <row r="574" spans="1:18" s="18" customFormat="1" ht="34.5" customHeight="1">
      <c r="A574" s="16" t="s">
        <v>37</v>
      </c>
      <c r="B574" s="14">
        <v>763</v>
      </c>
      <c r="C574" s="15" t="s">
        <v>18</v>
      </c>
      <c r="D574" s="15" t="s">
        <v>22</v>
      </c>
      <c r="E574" s="15" t="s">
        <v>1205</v>
      </c>
      <c r="F574" s="15" t="s">
        <v>38</v>
      </c>
      <c r="G574" s="70">
        <v>5644150</v>
      </c>
      <c r="H574" s="70">
        <v>0</v>
      </c>
      <c r="I574" s="70">
        <v>0</v>
      </c>
      <c r="J574" s="172"/>
      <c r="K574" s="180"/>
      <c r="L574" s="180"/>
      <c r="M574" s="180"/>
      <c r="N574" s="180"/>
      <c r="O574" s="180"/>
      <c r="P574" s="180"/>
      <c r="Q574" s="180"/>
      <c r="R574" s="180"/>
    </row>
    <row r="575" spans="1:18" s="18" customFormat="1" ht="63.75" customHeight="1">
      <c r="A575" s="16" t="s">
        <v>1182</v>
      </c>
      <c r="B575" s="145">
        <v>763</v>
      </c>
      <c r="C575" s="84" t="s">
        <v>18</v>
      </c>
      <c r="D575" s="84" t="s">
        <v>22</v>
      </c>
      <c r="E575" s="15" t="s">
        <v>1226</v>
      </c>
      <c r="F575" s="15"/>
      <c r="G575" s="70">
        <f>G577</f>
        <v>1705850</v>
      </c>
      <c r="H575" s="70">
        <f>H577</f>
        <v>0</v>
      </c>
      <c r="I575" s="70">
        <f>I577</f>
        <v>0</v>
      </c>
      <c r="J575" s="172"/>
      <c r="K575" s="180"/>
      <c r="L575" s="180"/>
      <c r="M575" s="180"/>
      <c r="N575" s="180"/>
      <c r="O575" s="180"/>
      <c r="P575" s="180"/>
      <c r="Q575" s="180"/>
      <c r="R575" s="180"/>
    </row>
    <row r="576" spans="1:18" s="18" customFormat="1" ht="39" hidden="1" customHeight="1">
      <c r="A576" s="16" t="s">
        <v>1066</v>
      </c>
      <c r="B576" s="145">
        <v>763</v>
      </c>
      <c r="C576" s="84" t="s">
        <v>18</v>
      </c>
      <c r="D576" s="84" t="s">
        <v>22</v>
      </c>
      <c r="E576" s="15" t="s">
        <v>1175</v>
      </c>
      <c r="F576" s="15"/>
      <c r="G576" s="70">
        <f>G577</f>
        <v>1705850</v>
      </c>
      <c r="H576" s="70">
        <f t="shared" ref="H576:I576" si="157">H577</f>
        <v>0</v>
      </c>
      <c r="I576" s="70">
        <f t="shared" si="157"/>
        <v>0</v>
      </c>
      <c r="J576" s="172"/>
      <c r="K576" s="180"/>
      <c r="L576" s="180"/>
      <c r="M576" s="180"/>
      <c r="N576" s="180"/>
      <c r="O576" s="180"/>
      <c r="P576" s="180"/>
      <c r="Q576" s="180"/>
      <c r="R576" s="180"/>
    </row>
    <row r="577" spans="1:18" ht="30.75" customHeight="1">
      <c r="A577" s="16" t="s">
        <v>35</v>
      </c>
      <c r="B577" s="145">
        <v>763</v>
      </c>
      <c r="C577" s="84" t="s">
        <v>18</v>
      </c>
      <c r="D577" s="84" t="s">
        <v>22</v>
      </c>
      <c r="E577" s="15" t="s">
        <v>1226</v>
      </c>
      <c r="F577" s="15" t="s">
        <v>36</v>
      </c>
      <c r="G577" s="70">
        <f t="shared" ref="G577:I577" si="158">G578</f>
        <v>1705850</v>
      </c>
      <c r="H577" s="70">
        <f t="shared" si="158"/>
        <v>0</v>
      </c>
      <c r="I577" s="70">
        <f t="shared" si="158"/>
        <v>0</v>
      </c>
      <c r="J577" s="172"/>
      <c r="K577" s="69"/>
      <c r="L577" s="69"/>
      <c r="M577" s="69"/>
      <c r="N577" s="69"/>
      <c r="O577" s="69"/>
      <c r="P577" s="69"/>
      <c r="Q577" s="69"/>
      <c r="R577" s="69"/>
    </row>
    <row r="578" spans="1:18" s="18" customFormat="1" ht="34.5" customHeight="1">
      <c r="A578" s="16" t="s">
        <v>37</v>
      </c>
      <c r="B578" s="145">
        <v>763</v>
      </c>
      <c r="C578" s="84" t="s">
        <v>18</v>
      </c>
      <c r="D578" s="84" t="s">
        <v>22</v>
      </c>
      <c r="E578" s="15" t="s">
        <v>1226</v>
      </c>
      <c r="F578" s="15" t="s">
        <v>38</v>
      </c>
      <c r="G578" s="70">
        <f>3000000-1294150</f>
        <v>1705850</v>
      </c>
      <c r="H578" s="70">
        <v>0</v>
      </c>
      <c r="I578" s="70">
        <v>0</v>
      </c>
      <c r="J578" s="172"/>
      <c r="K578" s="180"/>
      <c r="L578" s="180"/>
      <c r="M578" s="180"/>
      <c r="N578" s="180"/>
      <c r="O578" s="180"/>
      <c r="P578" s="180"/>
      <c r="Q578" s="180"/>
      <c r="R578" s="180"/>
    </row>
    <row r="579" spans="1:18" s="18" customFormat="1" ht="34.5" customHeight="1">
      <c r="A579" s="16" t="s">
        <v>95</v>
      </c>
      <c r="B579" s="145">
        <v>763</v>
      </c>
      <c r="C579" s="84" t="s">
        <v>18</v>
      </c>
      <c r="D579" s="84" t="s">
        <v>22</v>
      </c>
      <c r="E579" s="15" t="s">
        <v>204</v>
      </c>
      <c r="F579" s="15"/>
      <c r="G579" s="70">
        <f>G580+G583+G586</f>
        <v>2419.65</v>
      </c>
      <c r="H579" s="70">
        <v>0</v>
      </c>
      <c r="I579" s="70">
        <v>0</v>
      </c>
      <c r="J579" s="172"/>
      <c r="K579" s="180"/>
      <c r="L579" s="180"/>
      <c r="M579" s="180"/>
      <c r="N579" s="180"/>
      <c r="O579" s="180"/>
      <c r="P579" s="180"/>
      <c r="Q579" s="180"/>
      <c r="R579" s="180"/>
    </row>
    <row r="580" spans="1:18" s="18" customFormat="1" ht="34.5" customHeight="1">
      <c r="A580" s="16" t="s">
        <v>392</v>
      </c>
      <c r="B580" s="145">
        <v>763</v>
      </c>
      <c r="C580" s="84" t="s">
        <v>18</v>
      </c>
      <c r="D580" s="84" t="s">
        <v>22</v>
      </c>
      <c r="E580" s="15" t="s">
        <v>1279</v>
      </c>
      <c r="F580" s="15"/>
      <c r="G580" s="70">
        <f>G581</f>
        <v>2000</v>
      </c>
      <c r="H580" s="70">
        <v>0</v>
      </c>
      <c r="I580" s="70">
        <v>0</v>
      </c>
      <c r="J580" s="172"/>
      <c r="K580" s="180"/>
      <c r="L580" s="180"/>
      <c r="M580" s="180"/>
      <c r="N580" s="180"/>
      <c r="O580" s="180"/>
      <c r="P580" s="180"/>
      <c r="Q580" s="180"/>
      <c r="R580" s="180"/>
    </row>
    <row r="581" spans="1:18" s="18" customFormat="1" ht="34.5" customHeight="1">
      <c r="A581" s="16" t="s">
        <v>392</v>
      </c>
      <c r="B581" s="145">
        <v>763</v>
      </c>
      <c r="C581" s="84" t="s">
        <v>18</v>
      </c>
      <c r="D581" s="84" t="s">
        <v>22</v>
      </c>
      <c r="E581" s="15" t="s">
        <v>391</v>
      </c>
      <c r="F581" s="15"/>
      <c r="G581" s="70">
        <f>G582</f>
        <v>2000</v>
      </c>
      <c r="H581" s="70">
        <v>0</v>
      </c>
      <c r="I581" s="70">
        <v>0</v>
      </c>
      <c r="J581" s="172"/>
      <c r="K581" s="180"/>
      <c r="L581" s="180"/>
      <c r="M581" s="180"/>
      <c r="N581" s="180"/>
      <c r="O581" s="180"/>
      <c r="P581" s="180"/>
      <c r="Q581" s="180"/>
      <c r="R581" s="180"/>
    </row>
    <row r="582" spans="1:18" s="18" customFormat="1" ht="34.5" customHeight="1">
      <c r="A582" s="16" t="s">
        <v>321</v>
      </c>
      <c r="B582" s="145">
        <v>763</v>
      </c>
      <c r="C582" s="84" t="s">
        <v>18</v>
      </c>
      <c r="D582" s="84" t="s">
        <v>22</v>
      </c>
      <c r="E582" s="15" t="s">
        <v>391</v>
      </c>
      <c r="F582" s="15" t="s">
        <v>320</v>
      </c>
      <c r="G582" s="70">
        <v>2000</v>
      </c>
      <c r="H582" s="70">
        <v>0</v>
      </c>
      <c r="I582" s="70">
        <v>0</v>
      </c>
      <c r="J582" s="172"/>
      <c r="K582" s="180"/>
      <c r="L582" s="180"/>
      <c r="M582" s="180"/>
      <c r="N582" s="180"/>
      <c r="O582" s="180"/>
      <c r="P582" s="180"/>
      <c r="Q582" s="180"/>
      <c r="R582" s="180"/>
    </row>
    <row r="583" spans="1:18" s="18" customFormat="1" ht="34.5" customHeight="1">
      <c r="A583" s="16" t="s">
        <v>418</v>
      </c>
      <c r="B583" s="145">
        <v>763</v>
      </c>
      <c r="C583" s="84" t="s">
        <v>18</v>
      </c>
      <c r="D583" s="84" t="s">
        <v>22</v>
      </c>
      <c r="E583" s="15" t="s">
        <v>487</v>
      </c>
      <c r="F583" s="15"/>
      <c r="G583" s="70">
        <f>G584</f>
        <v>70.8</v>
      </c>
      <c r="H583" s="70">
        <v>0</v>
      </c>
      <c r="I583" s="70">
        <v>0</v>
      </c>
      <c r="J583" s="172"/>
      <c r="K583" s="180"/>
      <c r="L583" s="180"/>
      <c r="M583" s="180"/>
      <c r="N583" s="180"/>
      <c r="O583" s="180"/>
      <c r="P583" s="180"/>
      <c r="Q583" s="180"/>
      <c r="R583" s="180"/>
    </row>
    <row r="584" spans="1:18" s="18" customFormat="1" ht="34.5" customHeight="1">
      <c r="A584" s="16" t="s">
        <v>418</v>
      </c>
      <c r="B584" s="145">
        <v>763</v>
      </c>
      <c r="C584" s="84" t="s">
        <v>18</v>
      </c>
      <c r="D584" s="84" t="s">
        <v>22</v>
      </c>
      <c r="E584" s="15" t="s">
        <v>417</v>
      </c>
      <c r="F584" s="15"/>
      <c r="G584" s="70">
        <f>G585</f>
        <v>70.8</v>
      </c>
      <c r="H584" s="70">
        <v>0</v>
      </c>
      <c r="I584" s="70">
        <v>0</v>
      </c>
      <c r="J584" s="172"/>
      <c r="K584" s="180"/>
      <c r="L584" s="180"/>
      <c r="M584" s="180"/>
      <c r="N584" s="180"/>
      <c r="O584" s="180"/>
      <c r="P584" s="180"/>
      <c r="Q584" s="180"/>
      <c r="R584" s="180"/>
    </row>
    <row r="585" spans="1:18" s="18" customFormat="1" ht="34.5" customHeight="1">
      <c r="A585" s="16" t="s">
        <v>321</v>
      </c>
      <c r="B585" s="145">
        <v>763</v>
      </c>
      <c r="C585" s="84" t="s">
        <v>18</v>
      </c>
      <c r="D585" s="84" t="s">
        <v>22</v>
      </c>
      <c r="E585" s="15" t="s">
        <v>417</v>
      </c>
      <c r="F585" s="15" t="s">
        <v>320</v>
      </c>
      <c r="G585" s="70">
        <v>70.8</v>
      </c>
      <c r="H585" s="70">
        <v>0</v>
      </c>
      <c r="I585" s="70">
        <v>0</v>
      </c>
      <c r="J585" s="172"/>
      <c r="K585" s="180"/>
      <c r="L585" s="180"/>
      <c r="M585" s="180"/>
      <c r="N585" s="180"/>
      <c r="O585" s="180"/>
      <c r="P585" s="180"/>
      <c r="Q585" s="180"/>
      <c r="R585" s="180"/>
    </row>
    <row r="586" spans="1:18" s="18" customFormat="1" ht="34.5" customHeight="1">
      <c r="A586" s="16" t="s">
        <v>798</v>
      </c>
      <c r="B586" s="145">
        <v>763</v>
      </c>
      <c r="C586" s="84" t="s">
        <v>18</v>
      </c>
      <c r="D586" s="84" t="s">
        <v>22</v>
      </c>
      <c r="E586" s="15" t="s">
        <v>1280</v>
      </c>
      <c r="F586" s="15"/>
      <c r="G586" s="70">
        <f>G587</f>
        <v>348.85</v>
      </c>
      <c r="H586" s="70">
        <v>0</v>
      </c>
      <c r="I586" s="70">
        <v>0</v>
      </c>
      <c r="J586" s="172"/>
      <c r="K586" s="180"/>
      <c r="L586" s="180"/>
      <c r="M586" s="180"/>
      <c r="N586" s="180"/>
      <c r="O586" s="180"/>
      <c r="P586" s="180"/>
      <c r="Q586" s="180"/>
      <c r="R586" s="180"/>
    </row>
    <row r="587" spans="1:18" s="18" customFormat="1" ht="34.5" customHeight="1">
      <c r="A587" s="16" t="s">
        <v>798</v>
      </c>
      <c r="B587" s="145">
        <v>763</v>
      </c>
      <c r="C587" s="84" t="s">
        <v>18</v>
      </c>
      <c r="D587" s="84" t="s">
        <v>22</v>
      </c>
      <c r="E587" s="15" t="s">
        <v>797</v>
      </c>
      <c r="F587" s="15"/>
      <c r="G587" s="70">
        <f>G588</f>
        <v>348.85</v>
      </c>
      <c r="H587" s="70">
        <v>0</v>
      </c>
      <c r="I587" s="70">
        <v>0</v>
      </c>
      <c r="J587" s="172"/>
      <c r="K587" s="180"/>
      <c r="L587" s="180"/>
      <c r="M587" s="180"/>
      <c r="N587" s="180"/>
      <c r="O587" s="180"/>
      <c r="P587" s="180"/>
      <c r="Q587" s="180"/>
      <c r="R587" s="180"/>
    </row>
    <row r="588" spans="1:18" s="18" customFormat="1" ht="34.5" customHeight="1">
      <c r="A588" s="16" t="s">
        <v>321</v>
      </c>
      <c r="B588" s="145">
        <v>763</v>
      </c>
      <c r="C588" s="84" t="s">
        <v>18</v>
      </c>
      <c r="D588" s="84" t="s">
        <v>22</v>
      </c>
      <c r="E588" s="15" t="s">
        <v>797</v>
      </c>
      <c r="F588" s="15" t="s">
        <v>320</v>
      </c>
      <c r="G588" s="70">
        <v>348.85</v>
      </c>
      <c r="H588" s="70">
        <v>0</v>
      </c>
      <c r="I588" s="70">
        <v>0</v>
      </c>
      <c r="J588" s="172"/>
      <c r="K588" s="180"/>
      <c r="L588" s="180"/>
      <c r="M588" s="180"/>
      <c r="N588" s="180"/>
      <c r="O588" s="180"/>
      <c r="P588" s="180"/>
      <c r="Q588" s="180"/>
      <c r="R588" s="180"/>
    </row>
    <row r="589" spans="1:18">
      <c r="A589" s="259" t="s">
        <v>85</v>
      </c>
      <c r="B589" s="260">
        <v>763</v>
      </c>
      <c r="C589" s="261" t="s">
        <v>53</v>
      </c>
      <c r="D589" s="261"/>
      <c r="E589" s="261"/>
      <c r="F589" s="261"/>
      <c r="G589" s="258">
        <f>SUM(G595)+G590</f>
        <v>1516090</v>
      </c>
      <c r="H589" s="258">
        <f>SUM(H595)</f>
        <v>1021000</v>
      </c>
      <c r="I589" s="258">
        <f>SUM(I595)</f>
        <v>1021000</v>
      </c>
      <c r="J589" s="186"/>
    </row>
    <row r="590" spans="1:18" hidden="1">
      <c r="A590" s="270" t="s">
        <v>753</v>
      </c>
      <c r="B590" s="145">
        <v>763</v>
      </c>
      <c r="C590" s="143" t="s">
        <v>53</v>
      </c>
      <c r="D590" s="143" t="s">
        <v>167</v>
      </c>
      <c r="E590" s="261"/>
      <c r="F590" s="261"/>
      <c r="G590" s="93">
        <f>G592</f>
        <v>0</v>
      </c>
      <c r="H590" s="93">
        <f t="shared" ref="H590:I590" si="159">H592</f>
        <v>0</v>
      </c>
      <c r="I590" s="93">
        <f t="shared" si="159"/>
        <v>0</v>
      </c>
      <c r="J590" s="190"/>
    </row>
    <row r="591" spans="1:18" ht="53.25" hidden="1" customHeight="1">
      <c r="A591" s="82" t="s">
        <v>426</v>
      </c>
      <c r="B591" s="145">
        <v>763</v>
      </c>
      <c r="C591" s="84" t="s">
        <v>53</v>
      </c>
      <c r="D591" s="84" t="s">
        <v>167</v>
      </c>
      <c r="E591" s="145" t="s">
        <v>201</v>
      </c>
      <c r="F591" s="145"/>
      <c r="G591" s="87">
        <f>G592</f>
        <v>0</v>
      </c>
      <c r="H591" s="87">
        <f t="shared" ref="H591:I591" si="160">H592</f>
        <v>0</v>
      </c>
      <c r="I591" s="87">
        <f t="shared" si="160"/>
        <v>0</v>
      </c>
      <c r="J591" s="173"/>
    </row>
    <row r="592" spans="1:18" ht="40.5" hidden="1" customHeight="1">
      <c r="A592" s="82" t="s">
        <v>752</v>
      </c>
      <c r="B592" s="145">
        <v>763</v>
      </c>
      <c r="C592" s="84" t="s">
        <v>53</v>
      </c>
      <c r="D592" s="84" t="s">
        <v>167</v>
      </c>
      <c r="E592" s="145" t="s">
        <v>761</v>
      </c>
      <c r="F592" s="145"/>
      <c r="G592" s="87">
        <f>G593</f>
        <v>0</v>
      </c>
      <c r="H592" s="87">
        <f>H594</f>
        <v>0</v>
      </c>
      <c r="I592" s="87">
        <f>I594</f>
        <v>0</v>
      </c>
      <c r="J592" s="173"/>
    </row>
    <row r="593" spans="1:10" ht="26.4" hidden="1">
      <c r="A593" s="82" t="s">
        <v>35</v>
      </c>
      <c r="B593" s="145">
        <v>763</v>
      </c>
      <c r="C593" s="84" t="s">
        <v>53</v>
      </c>
      <c r="D593" s="84" t="s">
        <v>167</v>
      </c>
      <c r="E593" s="145" t="s">
        <v>761</v>
      </c>
      <c r="F593" s="145">
        <v>200</v>
      </c>
      <c r="G593" s="87">
        <f t="shared" ref="G593:I593" si="161">G594</f>
        <v>0</v>
      </c>
      <c r="H593" s="87">
        <f t="shared" si="161"/>
        <v>0</v>
      </c>
      <c r="I593" s="87">
        <f t="shared" si="161"/>
        <v>0</v>
      </c>
      <c r="J593" s="173"/>
    </row>
    <row r="594" spans="1:10" ht="48" hidden="1" customHeight="1">
      <c r="A594" s="82" t="s">
        <v>37</v>
      </c>
      <c r="B594" s="145">
        <v>763</v>
      </c>
      <c r="C594" s="84" t="s">
        <v>53</v>
      </c>
      <c r="D594" s="84" t="s">
        <v>167</v>
      </c>
      <c r="E594" s="145" t="s">
        <v>761</v>
      </c>
      <c r="F594" s="145">
        <v>240</v>
      </c>
      <c r="G594" s="87"/>
      <c r="H594" s="85"/>
      <c r="I594" s="85"/>
      <c r="J594" s="174"/>
    </row>
    <row r="595" spans="1:10">
      <c r="A595" s="82" t="s">
        <v>86</v>
      </c>
      <c r="B595" s="145">
        <v>763</v>
      </c>
      <c r="C595" s="84" t="s">
        <v>53</v>
      </c>
      <c r="D595" s="84" t="s">
        <v>87</v>
      </c>
      <c r="E595" s="84"/>
      <c r="F595" s="84"/>
      <c r="G595" s="87">
        <f>G596</f>
        <v>1516090</v>
      </c>
      <c r="H595" s="87">
        <f>H596</f>
        <v>1021000</v>
      </c>
      <c r="I595" s="87">
        <f>I596</f>
        <v>1021000</v>
      </c>
      <c r="J595" s="173"/>
    </row>
    <row r="596" spans="1:10" ht="30.75" customHeight="1">
      <c r="A596" s="16" t="s">
        <v>1128</v>
      </c>
      <c r="B596" s="145">
        <v>763</v>
      </c>
      <c r="C596" s="84" t="s">
        <v>53</v>
      </c>
      <c r="D596" s="84" t="s">
        <v>87</v>
      </c>
      <c r="E596" s="84" t="s">
        <v>201</v>
      </c>
      <c r="F596" s="84"/>
      <c r="G596" s="87">
        <f>G597+G600+G603+G606++G609+G612+G615+G618+G621+G624</f>
        <v>1516090</v>
      </c>
      <c r="H596" s="87">
        <f>H597+H600+H612</f>
        <v>1021000</v>
      </c>
      <c r="I596" s="87">
        <f>I597+I600+I612</f>
        <v>1021000</v>
      </c>
      <c r="J596" s="173"/>
    </row>
    <row r="597" spans="1:10" ht="116.25" customHeight="1">
      <c r="A597" s="16" t="s">
        <v>1202</v>
      </c>
      <c r="B597" s="145">
        <v>763</v>
      </c>
      <c r="C597" s="84" t="s">
        <v>53</v>
      </c>
      <c r="D597" s="84" t="s">
        <v>87</v>
      </c>
      <c r="E597" s="84" t="s">
        <v>206</v>
      </c>
      <c r="F597" s="84"/>
      <c r="G597" s="87">
        <f>G598</f>
        <v>656090</v>
      </c>
      <c r="H597" s="87">
        <f t="shared" ref="H597:I597" si="162">H598</f>
        <v>760000</v>
      </c>
      <c r="I597" s="87">
        <f t="shared" si="162"/>
        <v>760000</v>
      </c>
      <c r="J597" s="173"/>
    </row>
    <row r="598" spans="1:10" ht="26.4">
      <c r="A598" s="16" t="s">
        <v>35</v>
      </c>
      <c r="B598" s="145">
        <v>763</v>
      </c>
      <c r="C598" s="84" t="s">
        <v>53</v>
      </c>
      <c r="D598" s="84" t="s">
        <v>87</v>
      </c>
      <c r="E598" s="84" t="s">
        <v>206</v>
      </c>
      <c r="F598" s="84" t="s">
        <v>36</v>
      </c>
      <c r="G598" s="87">
        <f>SUM(G599)</f>
        <v>656090</v>
      </c>
      <c r="H598" s="87">
        <f>SUM(H599)</f>
        <v>760000</v>
      </c>
      <c r="I598" s="87">
        <f>SUM(I599)</f>
        <v>760000</v>
      </c>
      <c r="J598" s="173"/>
    </row>
    <row r="599" spans="1:10" ht="30.75" customHeight="1">
      <c r="A599" s="16" t="s">
        <v>37</v>
      </c>
      <c r="B599" s="145">
        <v>763</v>
      </c>
      <c r="C599" s="84" t="s">
        <v>53</v>
      </c>
      <c r="D599" s="84" t="s">
        <v>87</v>
      </c>
      <c r="E599" s="84" t="s">
        <v>206</v>
      </c>
      <c r="F599" s="84" t="s">
        <v>38</v>
      </c>
      <c r="G599" s="87">
        <f>1260000-53910-400000-150000</f>
        <v>656090</v>
      </c>
      <c r="H599" s="87">
        <f>1260000-500000</f>
        <v>760000</v>
      </c>
      <c r="I599" s="87">
        <f>1260000-500000</f>
        <v>760000</v>
      </c>
      <c r="J599" s="173"/>
    </row>
    <row r="600" spans="1:10" ht="107.25" customHeight="1">
      <c r="A600" s="30" t="s">
        <v>1203</v>
      </c>
      <c r="B600" s="145">
        <v>763</v>
      </c>
      <c r="C600" s="84" t="s">
        <v>53</v>
      </c>
      <c r="D600" s="84" t="s">
        <v>87</v>
      </c>
      <c r="E600" s="84" t="s">
        <v>207</v>
      </c>
      <c r="F600" s="84"/>
      <c r="G600" s="87">
        <f>G601</f>
        <v>261000</v>
      </c>
      <c r="H600" s="87">
        <f t="shared" ref="H600:I600" si="163">H601</f>
        <v>261000</v>
      </c>
      <c r="I600" s="87">
        <f t="shared" si="163"/>
        <v>261000</v>
      </c>
      <c r="J600" s="173"/>
    </row>
    <row r="601" spans="1:10" ht="26.4">
      <c r="A601" s="16" t="s">
        <v>35</v>
      </c>
      <c r="B601" s="145">
        <v>763</v>
      </c>
      <c r="C601" s="84" t="s">
        <v>53</v>
      </c>
      <c r="D601" s="84" t="s">
        <v>87</v>
      </c>
      <c r="E601" s="84" t="s">
        <v>207</v>
      </c>
      <c r="F601" s="84" t="s">
        <v>36</v>
      </c>
      <c r="G601" s="87">
        <f>SUM(G602)</f>
        <v>261000</v>
      </c>
      <c r="H601" s="87">
        <f>SUM(H602)</f>
        <v>261000</v>
      </c>
      <c r="I601" s="87">
        <f>SUM(I602)</f>
        <v>261000</v>
      </c>
      <c r="J601" s="173"/>
    </row>
    <row r="602" spans="1:10" ht="25.5" customHeight="1">
      <c r="A602" s="16" t="s">
        <v>37</v>
      </c>
      <c r="B602" s="145">
        <v>763</v>
      </c>
      <c r="C602" s="84" t="s">
        <v>53</v>
      </c>
      <c r="D602" s="84" t="s">
        <v>87</v>
      </c>
      <c r="E602" s="84" t="s">
        <v>207</v>
      </c>
      <c r="F602" s="84" t="s">
        <v>38</v>
      </c>
      <c r="G602" s="87">
        <v>261000</v>
      </c>
      <c r="H602" s="87">
        <v>261000</v>
      </c>
      <c r="I602" s="87">
        <v>261000</v>
      </c>
      <c r="J602" s="173"/>
    </row>
    <row r="603" spans="1:10" ht="78" hidden="1" customHeight="1">
      <c r="A603" s="30" t="s">
        <v>570</v>
      </c>
      <c r="B603" s="145">
        <v>763</v>
      </c>
      <c r="C603" s="84" t="s">
        <v>53</v>
      </c>
      <c r="D603" s="84" t="s">
        <v>87</v>
      </c>
      <c r="E603" s="84" t="s">
        <v>538</v>
      </c>
      <c r="F603" s="84"/>
      <c r="G603" s="87">
        <f>G604</f>
        <v>0</v>
      </c>
      <c r="H603" s="87">
        <v>0</v>
      </c>
      <c r="I603" s="87">
        <v>0</v>
      </c>
      <c r="J603" s="173"/>
    </row>
    <row r="604" spans="1:10" ht="26.4" hidden="1">
      <c r="A604" s="16" t="s">
        <v>35</v>
      </c>
      <c r="B604" s="145">
        <v>763</v>
      </c>
      <c r="C604" s="84" t="s">
        <v>53</v>
      </c>
      <c r="D604" s="84" t="s">
        <v>87</v>
      </c>
      <c r="E604" s="84" t="s">
        <v>538</v>
      </c>
      <c r="F604" s="84" t="s">
        <v>36</v>
      </c>
      <c r="G604" s="87">
        <f>SUM(G605)</f>
        <v>0</v>
      </c>
      <c r="H604" s="87">
        <f>SUM(H605)</f>
        <v>0</v>
      </c>
      <c r="I604" s="87">
        <f>SUM(I605)</f>
        <v>0</v>
      </c>
      <c r="J604" s="173"/>
    </row>
    <row r="605" spans="1:10" ht="25.5" hidden="1" customHeight="1">
      <c r="A605" s="16" t="s">
        <v>37</v>
      </c>
      <c r="B605" s="145">
        <v>763</v>
      </c>
      <c r="C605" s="84" t="s">
        <v>53</v>
      </c>
      <c r="D605" s="84" t="s">
        <v>87</v>
      </c>
      <c r="E605" s="84" t="s">
        <v>538</v>
      </c>
      <c r="F605" s="84" t="s">
        <v>38</v>
      </c>
      <c r="G605" s="87"/>
      <c r="H605" s="87">
        <v>0</v>
      </c>
      <c r="I605" s="87">
        <v>0</v>
      </c>
      <c r="J605" s="173"/>
    </row>
    <row r="606" spans="1:10" ht="23.25" hidden="1" customHeight="1">
      <c r="A606" s="120" t="s">
        <v>540</v>
      </c>
      <c r="B606" s="145">
        <v>763</v>
      </c>
      <c r="C606" s="84" t="s">
        <v>53</v>
      </c>
      <c r="D606" s="84" t="s">
        <v>87</v>
      </c>
      <c r="E606" s="84" t="s">
        <v>539</v>
      </c>
      <c r="F606" s="84"/>
      <c r="G606" s="87">
        <f>G607</f>
        <v>0</v>
      </c>
      <c r="H606" s="87">
        <v>0</v>
      </c>
      <c r="I606" s="87">
        <v>0</v>
      </c>
      <c r="J606" s="173"/>
    </row>
    <row r="607" spans="1:10" ht="26.4" hidden="1">
      <c r="A607" s="16" t="s">
        <v>35</v>
      </c>
      <c r="B607" s="145">
        <v>763</v>
      </c>
      <c r="C607" s="84" t="s">
        <v>53</v>
      </c>
      <c r="D607" s="84" t="s">
        <v>87</v>
      </c>
      <c r="E607" s="84" t="s">
        <v>539</v>
      </c>
      <c r="F607" s="84" t="s">
        <v>36</v>
      </c>
      <c r="G607" s="87">
        <f>SUM(G608)</f>
        <v>0</v>
      </c>
      <c r="H607" s="87">
        <f>SUM(H608)</f>
        <v>0</v>
      </c>
      <c r="I607" s="87">
        <f>SUM(I608)</f>
        <v>0</v>
      </c>
      <c r="J607" s="173"/>
    </row>
    <row r="608" spans="1:10" ht="25.5" hidden="1" customHeight="1">
      <c r="A608" s="16" t="s">
        <v>37</v>
      </c>
      <c r="B608" s="145">
        <v>763</v>
      </c>
      <c r="C608" s="84" t="s">
        <v>53</v>
      </c>
      <c r="D608" s="84" t="s">
        <v>87</v>
      </c>
      <c r="E608" s="84" t="s">
        <v>539</v>
      </c>
      <c r="F608" s="84" t="s">
        <v>38</v>
      </c>
      <c r="G608" s="87"/>
      <c r="H608" s="87">
        <v>0</v>
      </c>
      <c r="I608" s="87">
        <v>0</v>
      </c>
      <c r="J608" s="173"/>
    </row>
    <row r="609" spans="1:10" ht="23.25" hidden="1" customHeight="1">
      <c r="A609" s="120" t="s">
        <v>542</v>
      </c>
      <c r="B609" s="145">
        <v>763</v>
      </c>
      <c r="C609" s="84" t="s">
        <v>53</v>
      </c>
      <c r="D609" s="84" t="s">
        <v>87</v>
      </c>
      <c r="E609" s="84" t="s">
        <v>541</v>
      </c>
      <c r="F609" s="84"/>
      <c r="G609" s="87">
        <f>G610</f>
        <v>0</v>
      </c>
      <c r="H609" s="87">
        <v>0</v>
      </c>
      <c r="I609" s="87">
        <v>0</v>
      </c>
      <c r="J609" s="173"/>
    </row>
    <row r="610" spans="1:10" ht="26.4" hidden="1">
      <c r="A610" s="16" t="s">
        <v>35</v>
      </c>
      <c r="B610" s="145">
        <v>763</v>
      </c>
      <c r="C610" s="84" t="s">
        <v>53</v>
      </c>
      <c r="D610" s="84" t="s">
        <v>87</v>
      </c>
      <c r="E610" s="84" t="s">
        <v>541</v>
      </c>
      <c r="F610" s="84" t="s">
        <v>36</v>
      </c>
      <c r="G610" s="87">
        <f>SUM(G611)</f>
        <v>0</v>
      </c>
      <c r="H610" s="87">
        <f>SUM(H611)</f>
        <v>0</v>
      </c>
      <c r="I610" s="87">
        <f>SUM(I611)</f>
        <v>0</v>
      </c>
      <c r="J610" s="173"/>
    </row>
    <row r="611" spans="1:10" ht="25.5" hidden="1" customHeight="1">
      <c r="A611" s="16" t="s">
        <v>37</v>
      </c>
      <c r="B611" s="145">
        <v>763</v>
      </c>
      <c r="C611" s="84" t="s">
        <v>53</v>
      </c>
      <c r="D611" s="84" t="s">
        <v>87</v>
      </c>
      <c r="E611" s="84" t="s">
        <v>541</v>
      </c>
      <c r="F611" s="84" t="s">
        <v>38</v>
      </c>
      <c r="G611" s="87"/>
      <c r="H611" s="87">
        <v>0</v>
      </c>
      <c r="I611" s="87">
        <v>0</v>
      </c>
      <c r="J611" s="173"/>
    </row>
    <row r="612" spans="1:10" ht="34.5" hidden="1" customHeight="1">
      <c r="A612" s="16" t="s">
        <v>556</v>
      </c>
      <c r="B612" s="145">
        <v>763</v>
      </c>
      <c r="C612" s="84" t="s">
        <v>53</v>
      </c>
      <c r="D612" s="84" t="s">
        <v>87</v>
      </c>
      <c r="E612" s="84" t="s">
        <v>555</v>
      </c>
      <c r="F612" s="84"/>
      <c r="G612" s="87">
        <f>G613</f>
        <v>0</v>
      </c>
      <c r="H612" s="87">
        <f>SUM(H613)</f>
        <v>0</v>
      </c>
      <c r="I612" s="87">
        <f>SUM(I613)</f>
        <v>0</v>
      </c>
      <c r="J612" s="173"/>
    </row>
    <row r="613" spans="1:10" ht="26.4" hidden="1">
      <c r="A613" s="16" t="s">
        <v>35</v>
      </c>
      <c r="B613" s="145">
        <v>763</v>
      </c>
      <c r="C613" s="84" t="s">
        <v>53</v>
      </c>
      <c r="D613" s="84" t="s">
        <v>87</v>
      </c>
      <c r="E613" s="84" t="s">
        <v>555</v>
      </c>
      <c r="F613" s="84" t="s">
        <v>36</v>
      </c>
      <c r="G613" s="87">
        <f>SUM(G614)</f>
        <v>0</v>
      </c>
      <c r="H613" s="87">
        <f>SUM(H614)</f>
        <v>0</v>
      </c>
      <c r="I613" s="87">
        <f>SUM(I614)</f>
        <v>0</v>
      </c>
      <c r="J613" s="173"/>
    </row>
    <row r="614" spans="1:10" ht="30.75" hidden="1" customHeight="1">
      <c r="A614" s="16" t="s">
        <v>37</v>
      </c>
      <c r="B614" s="145">
        <v>763</v>
      </c>
      <c r="C614" s="84" t="s">
        <v>53</v>
      </c>
      <c r="D614" s="84" t="s">
        <v>87</v>
      </c>
      <c r="E614" s="84" t="s">
        <v>555</v>
      </c>
      <c r="F614" s="84" t="s">
        <v>38</v>
      </c>
      <c r="G614" s="87"/>
      <c r="H614" s="87"/>
      <c r="I614" s="87"/>
      <c r="J614" s="173"/>
    </row>
    <row r="615" spans="1:10" ht="34.5" hidden="1" customHeight="1">
      <c r="A615" s="16" t="s">
        <v>755</v>
      </c>
      <c r="B615" s="145">
        <v>763</v>
      </c>
      <c r="C615" s="84" t="s">
        <v>53</v>
      </c>
      <c r="D615" s="84" t="s">
        <v>87</v>
      </c>
      <c r="E615" s="84" t="s">
        <v>754</v>
      </c>
      <c r="F615" s="84"/>
      <c r="G615" s="87">
        <f>G616</f>
        <v>0</v>
      </c>
      <c r="H615" s="87">
        <f>SUM(H616)</f>
        <v>0</v>
      </c>
      <c r="I615" s="87">
        <f>SUM(I616)</f>
        <v>0</v>
      </c>
      <c r="J615" s="173"/>
    </row>
    <row r="616" spans="1:10" ht="26.4" hidden="1">
      <c r="A616" s="16" t="s">
        <v>35</v>
      </c>
      <c r="B616" s="145">
        <v>763</v>
      </c>
      <c r="C616" s="84" t="s">
        <v>53</v>
      </c>
      <c r="D616" s="84" t="s">
        <v>87</v>
      </c>
      <c r="E616" s="84" t="s">
        <v>754</v>
      </c>
      <c r="F616" s="84" t="s">
        <v>36</v>
      </c>
      <c r="G616" s="87">
        <f>SUM(G617)</f>
        <v>0</v>
      </c>
      <c r="H616" s="87">
        <f>SUM(H617)</f>
        <v>0</v>
      </c>
      <c r="I616" s="87">
        <f>SUM(I617)</f>
        <v>0</v>
      </c>
      <c r="J616" s="173"/>
    </row>
    <row r="617" spans="1:10" ht="30.75" hidden="1" customHeight="1">
      <c r="A617" s="16" t="s">
        <v>37</v>
      </c>
      <c r="B617" s="145">
        <v>763</v>
      </c>
      <c r="C617" s="84" t="s">
        <v>53</v>
      </c>
      <c r="D617" s="84" t="s">
        <v>87</v>
      </c>
      <c r="E617" s="84" t="s">
        <v>754</v>
      </c>
      <c r="F617" s="84" t="s">
        <v>38</v>
      </c>
      <c r="G617" s="87">
        <v>0</v>
      </c>
      <c r="H617" s="87">
        <v>0</v>
      </c>
      <c r="I617" s="87">
        <v>0</v>
      </c>
      <c r="J617" s="173"/>
    </row>
    <row r="618" spans="1:10" ht="34.5" hidden="1" customHeight="1">
      <c r="A618" s="16" t="s">
        <v>763</v>
      </c>
      <c r="B618" s="145">
        <v>763</v>
      </c>
      <c r="C618" s="84" t="s">
        <v>53</v>
      </c>
      <c r="D618" s="84" t="s">
        <v>87</v>
      </c>
      <c r="E618" s="84" t="s">
        <v>762</v>
      </c>
      <c r="F618" s="84"/>
      <c r="G618" s="87">
        <f>G619</f>
        <v>0</v>
      </c>
      <c r="H618" s="87">
        <f>SUM(H619)</f>
        <v>0</v>
      </c>
      <c r="I618" s="87">
        <f>SUM(I619)</f>
        <v>0</v>
      </c>
      <c r="J618" s="173"/>
    </row>
    <row r="619" spans="1:10" ht="26.4" hidden="1">
      <c r="A619" s="16" t="s">
        <v>35</v>
      </c>
      <c r="B619" s="145">
        <v>763</v>
      </c>
      <c r="C619" s="84" t="s">
        <v>53</v>
      </c>
      <c r="D619" s="84" t="s">
        <v>87</v>
      </c>
      <c r="E619" s="84" t="s">
        <v>762</v>
      </c>
      <c r="F619" s="84" t="s">
        <v>36</v>
      </c>
      <c r="G619" s="87">
        <f>SUM(G620)</f>
        <v>0</v>
      </c>
      <c r="H619" s="87">
        <f>SUM(H620)</f>
        <v>0</v>
      </c>
      <c r="I619" s="87">
        <f>SUM(I620)</f>
        <v>0</v>
      </c>
      <c r="J619" s="173"/>
    </row>
    <row r="620" spans="1:10" ht="30.75" hidden="1" customHeight="1">
      <c r="A620" s="16" t="s">
        <v>37</v>
      </c>
      <c r="B620" s="145">
        <v>763</v>
      </c>
      <c r="C620" s="84" t="s">
        <v>53</v>
      </c>
      <c r="D620" s="84" t="s">
        <v>87</v>
      </c>
      <c r="E620" s="84" t="s">
        <v>762</v>
      </c>
      <c r="F620" s="84" t="s">
        <v>38</v>
      </c>
      <c r="G620" s="87"/>
      <c r="H620" s="87"/>
      <c r="I620" s="87"/>
      <c r="J620" s="173"/>
    </row>
    <row r="621" spans="1:10" ht="34.5" hidden="1" customHeight="1">
      <c r="A621" s="16" t="s">
        <v>766</v>
      </c>
      <c r="B621" s="145">
        <v>763</v>
      </c>
      <c r="C621" s="84" t="s">
        <v>53</v>
      </c>
      <c r="D621" s="84" t="s">
        <v>87</v>
      </c>
      <c r="E621" s="84" t="s">
        <v>765</v>
      </c>
      <c r="F621" s="84"/>
      <c r="G621" s="87">
        <f>G622</f>
        <v>0</v>
      </c>
      <c r="H621" s="87">
        <f>SUM(H622)</f>
        <v>0</v>
      </c>
      <c r="I621" s="87">
        <f>SUM(I622)</f>
        <v>0</v>
      </c>
      <c r="J621" s="173"/>
    </row>
    <row r="622" spans="1:10" ht="26.4" hidden="1">
      <c r="A622" s="16" t="s">
        <v>35</v>
      </c>
      <c r="B622" s="145">
        <v>763</v>
      </c>
      <c r="C622" s="84" t="s">
        <v>53</v>
      </c>
      <c r="D622" s="84" t="s">
        <v>87</v>
      </c>
      <c r="E622" s="84" t="s">
        <v>765</v>
      </c>
      <c r="F622" s="84" t="s">
        <v>36</v>
      </c>
      <c r="G622" s="87">
        <f>SUM(G623)</f>
        <v>0</v>
      </c>
      <c r="H622" s="87">
        <f>SUM(H623)</f>
        <v>0</v>
      </c>
      <c r="I622" s="87">
        <f>SUM(I623)</f>
        <v>0</v>
      </c>
      <c r="J622" s="173"/>
    </row>
    <row r="623" spans="1:10" ht="30.75" hidden="1" customHeight="1">
      <c r="A623" s="16" t="s">
        <v>37</v>
      </c>
      <c r="B623" s="145">
        <v>763</v>
      </c>
      <c r="C623" s="84" t="s">
        <v>53</v>
      </c>
      <c r="D623" s="84" t="s">
        <v>87</v>
      </c>
      <c r="E623" s="84" t="s">
        <v>765</v>
      </c>
      <c r="F623" s="84" t="s">
        <v>38</v>
      </c>
      <c r="G623" s="87"/>
      <c r="H623" s="87">
        <v>0</v>
      </c>
      <c r="I623" s="87">
        <v>0</v>
      </c>
      <c r="J623" s="173"/>
    </row>
    <row r="624" spans="1:10" ht="27.75" customHeight="1">
      <c r="A624" s="30" t="s">
        <v>766</v>
      </c>
      <c r="B624" s="145">
        <v>763</v>
      </c>
      <c r="C624" s="84" t="s">
        <v>53</v>
      </c>
      <c r="D624" s="84" t="s">
        <v>87</v>
      </c>
      <c r="E624" s="84" t="s">
        <v>1266</v>
      </c>
      <c r="F624" s="84"/>
      <c r="G624" s="87">
        <f>G625</f>
        <v>599000</v>
      </c>
      <c r="H624" s="87">
        <f t="shared" ref="H624:I624" si="164">H625</f>
        <v>0</v>
      </c>
      <c r="I624" s="87">
        <f t="shared" si="164"/>
        <v>0</v>
      </c>
      <c r="J624" s="173"/>
    </row>
    <row r="625" spans="1:18" ht="26.4">
      <c r="A625" s="16" t="s">
        <v>35</v>
      </c>
      <c r="B625" s="145">
        <v>763</v>
      </c>
      <c r="C625" s="84" t="s">
        <v>53</v>
      </c>
      <c r="D625" s="84" t="s">
        <v>87</v>
      </c>
      <c r="E625" s="84" t="s">
        <v>1266</v>
      </c>
      <c r="F625" s="84" t="s">
        <v>36</v>
      </c>
      <c r="G625" s="87">
        <f>SUM(G626)</f>
        <v>599000</v>
      </c>
      <c r="H625" s="87">
        <f>SUM(H626)</f>
        <v>0</v>
      </c>
      <c r="I625" s="87">
        <f>SUM(I626)</f>
        <v>0</v>
      </c>
      <c r="J625" s="173"/>
    </row>
    <row r="626" spans="1:18" ht="25.5" customHeight="1">
      <c r="A626" s="16" t="s">
        <v>37</v>
      </c>
      <c r="B626" s="145">
        <v>763</v>
      </c>
      <c r="C626" s="84" t="s">
        <v>53</v>
      </c>
      <c r="D626" s="84" t="s">
        <v>87</v>
      </c>
      <c r="E626" s="84" t="s">
        <v>1266</v>
      </c>
      <c r="F626" s="84" t="s">
        <v>38</v>
      </c>
      <c r="G626" s="87">
        <f>545090+53910</f>
        <v>599000</v>
      </c>
      <c r="H626" s="87">
        <v>0</v>
      </c>
      <c r="I626" s="87">
        <v>0</v>
      </c>
      <c r="J626" s="173"/>
    </row>
    <row r="627" spans="1:18">
      <c r="A627" s="54" t="s">
        <v>336</v>
      </c>
      <c r="B627" s="151">
        <v>763</v>
      </c>
      <c r="C627" s="261" t="s">
        <v>167</v>
      </c>
      <c r="D627" s="261"/>
      <c r="E627" s="261"/>
      <c r="F627" s="261"/>
      <c r="G627" s="258">
        <f>G628</f>
        <v>4826832.33</v>
      </c>
      <c r="H627" s="258">
        <f t="shared" ref="H627:I627" si="165">H628</f>
        <v>5550900</v>
      </c>
      <c r="I627" s="258">
        <f t="shared" si="165"/>
        <v>5550900</v>
      </c>
      <c r="J627" s="186"/>
      <c r="P627" s="204"/>
      <c r="Q627" s="204"/>
    </row>
    <row r="628" spans="1:18">
      <c r="A628" s="55" t="s">
        <v>168</v>
      </c>
      <c r="B628" s="145">
        <v>763</v>
      </c>
      <c r="C628" s="149" t="s">
        <v>167</v>
      </c>
      <c r="D628" s="149" t="s">
        <v>1552</v>
      </c>
      <c r="E628" s="261"/>
      <c r="F628" s="261"/>
      <c r="G628" s="94">
        <f>G634+G655+G629</f>
        <v>4826832.33</v>
      </c>
      <c r="H628" s="94">
        <f>H634+H655</f>
        <v>5550900</v>
      </c>
      <c r="I628" s="94">
        <f>I634+I655</f>
        <v>5550900</v>
      </c>
      <c r="J628" s="189"/>
      <c r="K628" s="189"/>
      <c r="L628" s="189"/>
      <c r="M628" s="189"/>
      <c r="N628" s="189"/>
      <c r="O628" s="189"/>
    </row>
    <row r="629" spans="1:18" s="18" customFormat="1" ht="73.5" hidden="1" customHeight="1">
      <c r="A629" s="16" t="s">
        <v>1132</v>
      </c>
      <c r="B629" s="145">
        <v>763</v>
      </c>
      <c r="C629" s="10" t="s">
        <v>167</v>
      </c>
      <c r="D629" s="10" t="s">
        <v>18</v>
      </c>
      <c r="E629" s="15" t="s">
        <v>208</v>
      </c>
      <c r="F629" s="15"/>
      <c r="G629" s="70">
        <f>G630</f>
        <v>0</v>
      </c>
      <c r="H629" s="70">
        <f t="shared" ref="H629:I629" si="166">H630</f>
        <v>0</v>
      </c>
      <c r="I629" s="70">
        <f t="shared" si="166"/>
        <v>0</v>
      </c>
      <c r="J629" s="172"/>
      <c r="K629" s="180"/>
      <c r="L629" s="180"/>
      <c r="M629" s="180"/>
      <c r="N629" s="180"/>
      <c r="O629" s="180"/>
      <c r="P629" s="180"/>
      <c r="Q629" s="180"/>
      <c r="R629" s="180"/>
    </row>
    <row r="630" spans="1:18" s="18" customFormat="1" ht="63.75" hidden="1" customHeight="1">
      <c r="A630" s="82" t="s">
        <v>1196</v>
      </c>
      <c r="B630" s="145">
        <v>763</v>
      </c>
      <c r="C630" s="10" t="s">
        <v>167</v>
      </c>
      <c r="D630" s="10" t="s">
        <v>18</v>
      </c>
      <c r="E630" s="15" t="s">
        <v>1104</v>
      </c>
      <c r="F630" s="15"/>
      <c r="G630" s="70">
        <f>G632</f>
        <v>0</v>
      </c>
      <c r="H630" s="70">
        <f>H632</f>
        <v>0</v>
      </c>
      <c r="I630" s="70">
        <f>I632</f>
        <v>0</v>
      </c>
      <c r="J630" s="172">
        <f>G633+G648</f>
        <v>0</v>
      </c>
      <c r="K630" s="180"/>
      <c r="L630" s="180"/>
      <c r="M630" s="180"/>
      <c r="N630" s="180"/>
      <c r="O630" s="180"/>
      <c r="P630" s="180"/>
      <c r="Q630" s="180"/>
      <c r="R630" s="180"/>
    </row>
    <row r="631" spans="1:18" s="18" customFormat="1" ht="39" hidden="1" customHeight="1">
      <c r="A631" s="16" t="s">
        <v>1066</v>
      </c>
      <c r="B631" s="145">
        <v>763</v>
      </c>
      <c r="C631" s="10" t="s">
        <v>167</v>
      </c>
      <c r="D631" s="10" t="s">
        <v>18</v>
      </c>
      <c r="E631" s="15" t="s">
        <v>1104</v>
      </c>
      <c r="F631" s="15"/>
      <c r="G631" s="70">
        <f>G632</f>
        <v>0</v>
      </c>
      <c r="H631" s="70">
        <f t="shared" ref="H631:I631" si="167">H632</f>
        <v>0</v>
      </c>
      <c r="I631" s="70">
        <f t="shared" si="167"/>
        <v>0</v>
      </c>
      <c r="J631" s="172"/>
      <c r="K631" s="180"/>
      <c r="L631" s="180"/>
      <c r="M631" s="180"/>
      <c r="N631" s="180"/>
      <c r="O631" s="180"/>
      <c r="P631" s="180"/>
      <c r="Q631" s="180"/>
      <c r="R631" s="180"/>
    </row>
    <row r="632" spans="1:18" ht="30.75" hidden="1" customHeight="1">
      <c r="A632" s="16" t="s">
        <v>35</v>
      </c>
      <c r="B632" s="145">
        <v>763</v>
      </c>
      <c r="C632" s="10" t="s">
        <v>167</v>
      </c>
      <c r="D632" s="10" t="s">
        <v>18</v>
      </c>
      <c r="E632" s="15" t="s">
        <v>1104</v>
      </c>
      <c r="F632" s="15" t="s">
        <v>36</v>
      </c>
      <c r="G632" s="70">
        <f t="shared" ref="G632:I632" si="168">G633</f>
        <v>0</v>
      </c>
      <c r="H632" s="70">
        <f t="shared" si="168"/>
        <v>0</v>
      </c>
      <c r="I632" s="70">
        <f t="shared" si="168"/>
        <v>0</v>
      </c>
      <c r="J632" s="172"/>
      <c r="K632" s="69"/>
      <c r="L632" s="69"/>
      <c r="M632" s="69"/>
      <c r="N632" s="69"/>
      <c r="O632" s="69"/>
      <c r="P632" s="69"/>
      <c r="Q632" s="69"/>
      <c r="R632" s="69"/>
    </row>
    <row r="633" spans="1:18" s="18" customFormat="1" ht="34.5" hidden="1" customHeight="1">
      <c r="A633" s="16" t="s">
        <v>37</v>
      </c>
      <c r="B633" s="360">
        <v>763</v>
      </c>
      <c r="C633" s="361" t="s">
        <v>167</v>
      </c>
      <c r="D633" s="361" t="s">
        <v>18</v>
      </c>
      <c r="E633" s="362" t="s">
        <v>1104</v>
      </c>
      <c r="F633" s="362" t="s">
        <v>38</v>
      </c>
      <c r="G633" s="70"/>
      <c r="H633" s="70">
        <v>0</v>
      </c>
      <c r="I633" s="70">
        <v>0</v>
      </c>
      <c r="J633" s="172"/>
      <c r="K633" s="180"/>
      <c r="L633" s="180"/>
      <c r="M633" s="180"/>
      <c r="N633" s="180"/>
      <c r="O633" s="180"/>
      <c r="P633" s="180"/>
      <c r="Q633" s="180"/>
      <c r="R633" s="180"/>
    </row>
    <row r="634" spans="1:18" ht="42.75" customHeight="1">
      <c r="A634" s="16" t="s">
        <v>1144</v>
      </c>
      <c r="B634" s="145">
        <v>763</v>
      </c>
      <c r="C634" s="84" t="s">
        <v>167</v>
      </c>
      <c r="D634" s="84" t="s">
        <v>18</v>
      </c>
      <c r="E634" s="84" t="s">
        <v>289</v>
      </c>
      <c r="F634" s="84"/>
      <c r="G634" s="87">
        <f>G637+G641+G651+G654</f>
        <v>4826832.33</v>
      </c>
      <c r="H634" s="87">
        <f>H637+H641+H651+H654</f>
        <v>5550900</v>
      </c>
      <c r="I634" s="87">
        <f>I637+I641+I651+I654</f>
        <v>5550900</v>
      </c>
      <c r="J634" s="173"/>
    </row>
    <row r="635" spans="1:18" s="18" customFormat="1" ht="20.25" customHeight="1">
      <c r="A635" s="82" t="s">
        <v>84</v>
      </c>
      <c r="B635" s="145">
        <v>763</v>
      </c>
      <c r="C635" s="84" t="s">
        <v>167</v>
      </c>
      <c r="D635" s="84" t="s">
        <v>18</v>
      </c>
      <c r="E635" s="84" t="s">
        <v>83</v>
      </c>
      <c r="F635" s="84"/>
      <c r="G635" s="87">
        <f t="shared" ref="G635:I636" si="169">G636</f>
        <v>842752.52</v>
      </c>
      <c r="H635" s="87">
        <f t="shared" si="169"/>
        <v>504500</v>
      </c>
      <c r="I635" s="87">
        <f t="shared" si="169"/>
        <v>504500</v>
      </c>
      <c r="J635" s="173"/>
      <c r="K635" s="195"/>
      <c r="L635" s="195"/>
      <c r="M635" s="195"/>
      <c r="N635" s="195"/>
      <c r="O635" s="195"/>
      <c r="P635" s="195"/>
      <c r="Q635" s="195"/>
      <c r="R635" s="195"/>
    </row>
    <row r="636" spans="1:18" ht="30.75" customHeight="1">
      <c r="A636" s="82" t="s">
        <v>35</v>
      </c>
      <c r="B636" s="145">
        <v>763</v>
      </c>
      <c r="C636" s="84" t="s">
        <v>167</v>
      </c>
      <c r="D636" s="84" t="s">
        <v>18</v>
      </c>
      <c r="E636" s="84" t="s">
        <v>83</v>
      </c>
      <c r="F636" s="84" t="s">
        <v>36</v>
      </c>
      <c r="G636" s="87">
        <f t="shared" si="169"/>
        <v>842752.52</v>
      </c>
      <c r="H636" s="87">
        <f t="shared" si="169"/>
        <v>504500</v>
      </c>
      <c r="I636" s="87">
        <f t="shared" si="169"/>
        <v>504500</v>
      </c>
      <c r="J636" s="173"/>
    </row>
    <row r="637" spans="1:18" s="18" customFormat="1" ht="34.5" customHeight="1">
      <c r="A637" s="82" t="s">
        <v>37</v>
      </c>
      <c r="B637" s="145">
        <v>763</v>
      </c>
      <c r="C637" s="84" t="s">
        <v>167</v>
      </c>
      <c r="D637" s="84" t="s">
        <v>18</v>
      </c>
      <c r="E637" s="84" t="s">
        <v>83</v>
      </c>
      <c r="F637" s="84" t="s">
        <v>38</v>
      </c>
      <c r="G637" s="87">
        <f>502080.35+300000+40672.17+51257.14-51257.14</f>
        <v>842752.52</v>
      </c>
      <c r="H637" s="87">
        <v>504500</v>
      </c>
      <c r="I637" s="87">
        <v>504500</v>
      </c>
      <c r="J637" s="173"/>
      <c r="K637" s="195"/>
      <c r="L637" s="195"/>
      <c r="M637" s="195"/>
      <c r="N637" s="195"/>
      <c r="O637" s="195"/>
      <c r="P637" s="195"/>
      <c r="Q637" s="195"/>
      <c r="R637" s="195"/>
    </row>
    <row r="638" spans="1:18" s="3" customFormat="1" ht="52.5" hidden="1" customHeight="1">
      <c r="A638" s="82"/>
      <c r="B638" s="145">
        <v>763</v>
      </c>
      <c r="C638" s="84"/>
      <c r="D638" s="84"/>
      <c r="E638" s="84"/>
      <c r="F638" s="84"/>
      <c r="G638" s="87"/>
      <c r="H638" s="87"/>
      <c r="I638" s="87"/>
      <c r="J638" s="173"/>
      <c r="K638" s="194"/>
      <c r="L638" s="194"/>
      <c r="M638" s="194"/>
      <c r="N638" s="194"/>
      <c r="O638" s="194"/>
      <c r="P638" s="194"/>
      <c r="Q638" s="194"/>
      <c r="R638" s="194"/>
    </row>
    <row r="639" spans="1:18" s="18" customFormat="1" ht="29.25" customHeight="1">
      <c r="A639" s="82" t="s">
        <v>1181</v>
      </c>
      <c r="B639" s="145">
        <v>763</v>
      </c>
      <c r="C639" s="84" t="s">
        <v>167</v>
      </c>
      <c r="D639" s="84" t="s">
        <v>18</v>
      </c>
      <c r="E639" s="84" t="s">
        <v>79</v>
      </c>
      <c r="F639" s="84"/>
      <c r="G639" s="87">
        <f t="shared" ref="G639:I640" si="170">G640</f>
        <v>3984079.81</v>
      </c>
      <c r="H639" s="87">
        <f t="shared" si="170"/>
        <v>5046400</v>
      </c>
      <c r="I639" s="87">
        <f t="shared" si="170"/>
        <v>5046400</v>
      </c>
      <c r="J639" s="173"/>
      <c r="K639" s="195"/>
      <c r="L639" s="195"/>
      <c r="M639" s="195"/>
      <c r="N639" s="208"/>
      <c r="O639" s="195"/>
      <c r="P639" s="195"/>
      <c r="Q639" s="195"/>
      <c r="R639" s="195"/>
    </row>
    <row r="640" spans="1:18" ht="30.75" customHeight="1">
      <c r="A640" s="82" t="s">
        <v>35</v>
      </c>
      <c r="B640" s="145">
        <v>763</v>
      </c>
      <c r="C640" s="84" t="s">
        <v>167</v>
      </c>
      <c r="D640" s="84" t="s">
        <v>18</v>
      </c>
      <c r="E640" s="84" t="s">
        <v>79</v>
      </c>
      <c r="F640" s="84" t="s">
        <v>36</v>
      </c>
      <c r="G640" s="87">
        <f t="shared" si="170"/>
        <v>3984079.81</v>
      </c>
      <c r="H640" s="87">
        <f t="shared" si="170"/>
        <v>5046400</v>
      </c>
      <c r="I640" s="87">
        <f t="shared" si="170"/>
        <v>5046400</v>
      </c>
      <c r="J640" s="173"/>
    </row>
    <row r="641" spans="1:18" s="18" customFormat="1" ht="34.5" customHeight="1">
      <c r="A641" s="82" t="s">
        <v>37</v>
      </c>
      <c r="B641" s="145">
        <v>763</v>
      </c>
      <c r="C641" s="84" t="s">
        <v>167</v>
      </c>
      <c r="D641" s="84" t="s">
        <v>18</v>
      </c>
      <c r="E641" s="84" t="s">
        <v>79</v>
      </c>
      <c r="F641" s="84" t="s">
        <v>38</v>
      </c>
      <c r="G641" s="87">
        <f>5046400-300000-442203.76-320116.43</f>
        <v>3984079.81</v>
      </c>
      <c r="H641" s="87">
        <v>5046400</v>
      </c>
      <c r="I641" s="87">
        <v>5046400</v>
      </c>
      <c r="J641" s="173"/>
      <c r="K641" s="195"/>
      <c r="L641" s="195"/>
      <c r="M641" s="195"/>
      <c r="N641" s="195"/>
      <c r="O641" s="195"/>
      <c r="P641" s="195"/>
      <c r="Q641" s="195"/>
      <c r="R641" s="195"/>
    </row>
    <row r="642" spans="1:18" s="22" customFormat="1" hidden="1">
      <c r="A642" s="348" t="s">
        <v>42</v>
      </c>
      <c r="B642" s="145">
        <v>763</v>
      </c>
      <c r="C642" s="158" t="s">
        <v>43</v>
      </c>
      <c r="D642" s="158"/>
      <c r="E642" s="20"/>
      <c r="F642" s="20"/>
      <c r="G642" s="12">
        <f>G643+G931</f>
        <v>0</v>
      </c>
      <c r="H642" s="96">
        <f>H643+H931</f>
        <v>0</v>
      </c>
      <c r="I642" s="96">
        <f>I643+I931</f>
        <v>0</v>
      </c>
      <c r="J642" s="187"/>
      <c r="K642" s="202"/>
      <c r="L642" s="202"/>
      <c r="M642" s="203"/>
      <c r="N642" s="202"/>
      <c r="O642" s="202"/>
      <c r="P642" s="202"/>
      <c r="Q642" s="202"/>
      <c r="R642" s="202"/>
    </row>
    <row r="643" spans="1:18" hidden="1">
      <c r="A643" s="16" t="s">
        <v>44</v>
      </c>
      <c r="B643" s="145">
        <v>763</v>
      </c>
      <c r="C643" s="84" t="s">
        <v>43</v>
      </c>
      <c r="D643" s="84" t="s">
        <v>18</v>
      </c>
      <c r="E643" s="15"/>
      <c r="F643" s="15"/>
      <c r="G643" s="70">
        <f>G645+G662+G928</f>
        <v>0</v>
      </c>
      <c r="H643" s="87">
        <f t="shared" ref="H643:I643" si="171">H645+H662</f>
        <v>0</v>
      </c>
      <c r="I643" s="87">
        <f t="shared" si="171"/>
        <v>0</v>
      </c>
      <c r="J643" s="173"/>
      <c r="M643" s="204"/>
    </row>
    <row r="644" spans="1:18" ht="26.4" hidden="1">
      <c r="A644" s="16" t="s">
        <v>1128</v>
      </c>
      <c r="B644" s="145">
        <v>763</v>
      </c>
      <c r="C644" s="84" t="s">
        <v>43</v>
      </c>
      <c r="D644" s="84" t="s">
        <v>18</v>
      </c>
      <c r="E644" s="15" t="s">
        <v>201</v>
      </c>
      <c r="F644" s="15"/>
      <c r="G644" s="70">
        <f>G645</f>
        <v>0</v>
      </c>
      <c r="H644" s="87">
        <v>0</v>
      </c>
      <c r="I644" s="87">
        <v>0</v>
      </c>
      <c r="J644" s="173"/>
      <c r="M644" s="204"/>
    </row>
    <row r="645" spans="1:18" s="18" customFormat="1" ht="63.75" hidden="1" customHeight="1">
      <c r="A645" s="16" t="s">
        <v>1182</v>
      </c>
      <c r="B645" s="145">
        <v>763</v>
      </c>
      <c r="C645" s="84" t="s">
        <v>43</v>
      </c>
      <c r="D645" s="84" t="s">
        <v>18</v>
      </c>
      <c r="E645" s="15" t="s">
        <v>1175</v>
      </c>
      <c r="F645" s="15"/>
      <c r="G645" s="70">
        <f>G647</f>
        <v>0</v>
      </c>
      <c r="H645" s="70">
        <f>H647</f>
        <v>0</v>
      </c>
      <c r="I645" s="70">
        <f>I647</f>
        <v>0</v>
      </c>
      <c r="J645" s="172"/>
      <c r="K645" s="180"/>
      <c r="L645" s="180"/>
      <c r="M645" s="180"/>
      <c r="N645" s="180"/>
      <c r="O645" s="180"/>
      <c r="P645" s="180"/>
      <c r="Q645" s="180"/>
      <c r="R645" s="180"/>
    </row>
    <row r="646" spans="1:18" s="18" customFormat="1" ht="39" hidden="1" customHeight="1">
      <c r="A646" s="16" t="s">
        <v>1066</v>
      </c>
      <c r="B646" s="145">
        <v>763</v>
      </c>
      <c r="C646" s="84" t="s">
        <v>43</v>
      </c>
      <c r="D646" s="84" t="s">
        <v>18</v>
      </c>
      <c r="E646" s="15" t="s">
        <v>1175</v>
      </c>
      <c r="F646" s="15"/>
      <c r="G646" s="70">
        <f>G647</f>
        <v>0</v>
      </c>
      <c r="H646" s="70">
        <f t="shared" ref="H646:I646" si="172">H647</f>
        <v>0</v>
      </c>
      <c r="I646" s="70">
        <f t="shared" si="172"/>
        <v>0</v>
      </c>
      <c r="J646" s="172"/>
      <c r="K646" s="180"/>
      <c r="L646" s="180"/>
      <c r="M646" s="180"/>
      <c r="N646" s="180"/>
      <c r="O646" s="180"/>
      <c r="P646" s="180"/>
      <c r="Q646" s="180"/>
      <c r="R646" s="180"/>
    </row>
    <row r="647" spans="1:18" ht="30.75" hidden="1" customHeight="1">
      <c r="A647" s="16" t="s">
        <v>35</v>
      </c>
      <c r="B647" s="145">
        <v>763</v>
      </c>
      <c r="C647" s="84" t="s">
        <v>43</v>
      </c>
      <c r="D647" s="84" t="s">
        <v>18</v>
      </c>
      <c r="E647" s="15" t="s">
        <v>1175</v>
      </c>
      <c r="F647" s="15" t="s">
        <v>36</v>
      </c>
      <c r="G647" s="70">
        <f t="shared" ref="G647:I647" si="173">G648</f>
        <v>0</v>
      </c>
      <c r="H647" s="70">
        <f t="shared" si="173"/>
        <v>0</v>
      </c>
      <c r="I647" s="70">
        <f t="shared" si="173"/>
        <v>0</v>
      </c>
      <c r="J647" s="172"/>
      <c r="K647" s="69"/>
      <c r="L647" s="69"/>
      <c r="M647" s="69"/>
      <c r="N647" s="69"/>
      <c r="O647" s="69"/>
      <c r="P647" s="69"/>
      <c r="Q647" s="69"/>
      <c r="R647" s="69"/>
    </row>
    <row r="648" spans="1:18" s="18" customFormat="1" ht="34.5" hidden="1" customHeight="1">
      <c r="A648" s="16" t="s">
        <v>37</v>
      </c>
      <c r="B648" s="145">
        <v>763</v>
      </c>
      <c r="C648" s="84" t="s">
        <v>43</v>
      </c>
      <c r="D648" s="84" t="s">
        <v>18</v>
      </c>
      <c r="E648" s="15" t="s">
        <v>1175</v>
      </c>
      <c r="F648" s="15" t="s">
        <v>38</v>
      </c>
      <c r="G648" s="70"/>
      <c r="H648" s="70">
        <v>0</v>
      </c>
      <c r="I648" s="70">
        <v>0</v>
      </c>
      <c r="J648" s="172"/>
      <c r="K648" s="180"/>
      <c r="L648" s="180"/>
      <c r="M648" s="180"/>
      <c r="N648" s="180"/>
      <c r="O648" s="180"/>
      <c r="P648" s="180"/>
      <c r="Q648" s="180"/>
      <c r="R648" s="180"/>
    </row>
    <row r="649" spans="1:18" s="122" customFormat="1">
      <c r="A649" s="377" t="s">
        <v>73</v>
      </c>
      <c r="B649" s="378"/>
      <c r="C649" s="379"/>
      <c r="D649" s="379"/>
      <c r="E649" s="379"/>
      <c r="F649" s="379"/>
      <c r="G649" s="380">
        <f>G546+G589+G627+G642</f>
        <v>31951105.649999999</v>
      </c>
      <c r="H649" s="380">
        <f>H546+H589+H627</f>
        <v>23824659</v>
      </c>
      <c r="I649" s="380">
        <f>I546+I589+I627</f>
        <v>23922186</v>
      </c>
      <c r="J649" s="187"/>
      <c r="K649" s="202"/>
      <c r="L649" s="202"/>
      <c r="M649" s="202"/>
      <c r="N649" s="202"/>
      <c r="O649" s="202"/>
      <c r="P649" s="202"/>
      <c r="Q649" s="202"/>
      <c r="R649" s="202"/>
    </row>
    <row r="650" spans="1:18" s="376" customFormat="1" ht="50.25" customHeight="1">
      <c r="A650" s="390" t="s">
        <v>1211</v>
      </c>
      <c r="B650" s="391">
        <v>774</v>
      </c>
      <c r="C650" s="392"/>
      <c r="D650" s="392"/>
      <c r="E650" s="392"/>
      <c r="F650" s="392"/>
      <c r="G650" s="393"/>
      <c r="H650" s="393"/>
      <c r="I650" s="393"/>
      <c r="J650" s="310"/>
      <c r="K650" s="375"/>
      <c r="L650" s="375"/>
      <c r="M650" s="375"/>
      <c r="N650" s="375"/>
      <c r="O650" s="375"/>
      <c r="P650" s="375"/>
      <c r="Q650" s="375"/>
      <c r="R650" s="375"/>
    </row>
    <row r="651" spans="1:18" hidden="1">
      <c r="A651" s="266" t="s">
        <v>17</v>
      </c>
      <c r="B651" s="260">
        <v>774</v>
      </c>
      <c r="C651" s="261" t="s">
        <v>18</v>
      </c>
      <c r="D651" s="261"/>
      <c r="E651" s="261"/>
      <c r="F651" s="261"/>
      <c r="G651" s="258">
        <f t="shared" ref="G651:I655" si="174">G652</f>
        <v>0</v>
      </c>
      <c r="H651" s="258">
        <f t="shared" si="174"/>
        <v>0</v>
      </c>
      <c r="I651" s="258">
        <f t="shared" si="174"/>
        <v>0</v>
      </c>
      <c r="J651" s="186"/>
    </row>
    <row r="652" spans="1:18" ht="18.75" hidden="1" customHeight="1">
      <c r="A652" s="134" t="s">
        <v>21</v>
      </c>
      <c r="B652" s="145">
        <v>774</v>
      </c>
      <c r="C652" s="84" t="s">
        <v>18</v>
      </c>
      <c r="D652" s="84" t="s">
        <v>22</v>
      </c>
      <c r="E652" s="84"/>
      <c r="F652" s="84"/>
      <c r="G652" s="87">
        <f t="shared" si="174"/>
        <v>0</v>
      </c>
      <c r="H652" s="87">
        <f t="shared" si="174"/>
        <v>0</v>
      </c>
      <c r="I652" s="87">
        <f t="shared" si="174"/>
        <v>0</v>
      </c>
      <c r="J652" s="173"/>
    </row>
    <row r="653" spans="1:18" s="22" customFormat="1" ht="26.25" hidden="1" customHeight="1">
      <c r="A653" s="82" t="s">
        <v>158</v>
      </c>
      <c r="B653" s="145">
        <v>774</v>
      </c>
      <c r="C653" s="84" t="s">
        <v>18</v>
      </c>
      <c r="D653" s="84" t="s">
        <v>22</v>
      </c>
      <c r="E653" s="143" t="s">
        <v>204</v>
      </c>
      <c r="F653" s="152"/>
      <c r="G653" s="87">
        <f t="shared" si="174"/>
        <v>0</v>
      </c>
      <c r="H653" s="87">
        <f t="shared" si="174"/>
        <v>0</v>
      </c>
      <c r="I653" s="87">
        <f t="shared" si="174"/>
        <v>0</v>
      </c>
      <c r="J653" s="173"/>
      <c r="K653" s="203"/>
      <c r="L653" s="202"/>
      <c r="M653" s="202"/>
      <c r="N653" s="202"/>
      <c r="O653" s="202"/>
      <c r="P653" s="202"/>
      <c r="Q653" s="202"/>
      <c r="R653" s="202"/>
    </row>
    <row r="654" spans="1:18" s="22" customFormat="1" ht="26.25" hidden="1" customHeight="1">
      <c r="A654" s="82" t="s">
        <v>418</v>
      </c>
      <c r="B654" s="145">
        <v>774</v>
      </c>
      <c r="C654" s="84" t="s">
        <v>18</v>
      </c>
      <c r="D654" s="84" t="s">
        <v>22</v>
      </c>
      <c r="E654" s="84" t="s">
        <v>487</v>
      </c>
      <c r="F654" s="152"/>
      <c r="G654" s="87">
        <f t="shared" si="174"/>
        <v>0</v>
      </c>
      <c r="H654" s="87">
        <f t="shared" si="174"/>
        <v>0</v>
      </c>
      <c r="I654" s="87">
        <f t="shared" si="174"/>
        <v>0</v>
      </c>
      <c r="J654" s="173"/>
      <c r="K654" s="203"/>
      <c r="L654" s="202"/>
      <c r="M654" s="202"/>
      <c r="N654" s="202"/>
      <c r="O654" s="202"/>
      <c r="P654" s="202"/>
      <c r="Q654" s="202"/>
      <c r="R654" s="202"/>
    </row>
    <row r="655" spans="1:18" ht="40.5" hidden="1" customHeight="1">
      <c r="A655" s="82" t="s">
        <v>418</v>
      </c>
      <c r="B655" s="145">
        <v>774</v>
      </c>
      <c r="C655" s="84" t="s">
        <v>18</v>
      </c>
      <c r="D655" s="84" t="s">
        <v>22</v>
      </c>
      <c r="E655" s="84" t="s">
        <v>417</v>
      </c>
      <c r="F655" s="84"/>
      <c r="G655" s="87">
        <f t="shared" si="174"/>
        <v>0</v>
      </c>
      <c r="H655" s="87">
        <f t="shared" si="174"/>
        <v>0</v>
      </c>
      <c r="I655" s="87">
        <f t="shared" si="174"/>
        <v>0</v>
      </c>
      <c r="J655" s="173"/>
      <c r="K655" s="204"/>
    </row>
    <row r="656" spans="1:18" hidden="1">
      <c r="A656" s="82" t="s">
        <v>62</v>
      </c>
      <c r="B656" s="145">
        <v>774</v>
      </c>
      <c r="C656" s="84" t="s">
        <v>18</v>
      </c>
      <c r="D656" s="84" t="s">
        <v>22</v>
      </c>
      <c r="E656" s="84" t="s">
        <v>417</v>
      </c>
      <c r="F656" s="84" t="s">
        <v>63</v>
      </c>
      <c r="G656" s="87">
        <f>G657</f>
        <v>0</v>
      </c>
      <c r="H656" s="87">
        <v>0</v>
      </c>
      <c r="I656" s="87">
        <v>0</v>
      </c>
      <c r="J656" s="173"/>
      <c r="K656" s="204"/>
    </row>
    <row r="657" spans="1:18" ht="15" hidden="1" customHeight="1">
      <c r="A657" s="82" t="s">
        <v>321</v>
      </c>
      <c r="B657" s="145">
        <v>774</v>
      </c>
      <c r="C657" s="84" t="s">
        <v>18</v>
      </c>
      <c r="D657" s="84" t="s">
        <v>22</v>
      </c>
      <c r="E657" s="84" t="s">
        <v>417</v>
      </c>
      <c r="F657" s="84" t="s">
        <v>320</v>
      </c>
      <c r="G657" s="87"/>
      <c r="H657" s="87">
        <v>0</v>
      </c>
      <c r="I657" s="87">
        <v>0</v>
      </c>
      <c r="J657" s="173"/>
      <c r="K657" s="204"/>
    </row>
    <row r="658" spans="1:18" ht="26.4">
      <c r="A658" s="259" t="s">
        <v>162</v>
      </c>
      <c r="B658" s="260">
        <v>774</v>
      </c>
      <c r="C658" s="261" t="s">
        <v>69</v>
      </c>
      <c r="D658" s="261"/>
      <c r="E658" s="261"/>
      <c r="F658" s="261"/>
      <c r="G658" s="258">
        <f>G659</f>
        <v>200000</v>
      </c>
      <c r="H658" s="258">
        <f t="shared" ref="H658:I658" si="175">H659</f>
        <v>200000</v>
      </c>
      <c r="I658" s="258">
        <f t="shared" si="175"/>
        <v>200000</v>
      </c>
      <c r="J658" s="186"/>
      <c r="M658" s="204"/>
      <c r="N658" s="204"/>
      <c r="O658" s="204"/>
      <c r="P658" s="204"/>
    </row>
    <row r="659" spans="1:18" s="46" customFormat="1" ht="26.4">
      <c r="A659" s="82" t="s">
        <v>328</v>
      </c>
      <c r="B659" s="145">
        <v>774</v>
      </c>
      <c r="C659" s="84" t="s">
        <v>69</v>
      </c>
      <c r="D659" s="84" t="s">
        <v>303</v>
      </c>
      <c r="E659" s="84"/>
      <c r="F659" s="84"/>
      <c r="G659" s="87">
        <f>G660</f>
        <v>200000</v>
      </c>
      <c r="H659" s="87">
        <f t="shared" ref="H659:I659" si="176">H660</f>
        <v>200000</v>
      </c>
      <c r="I659" s="87">
        <f t="shared" si="176"/>
        <v>200000</v>
      </c>
      <c r="J659" s="173"/>
      <c r="K659" s="181"/>
      <c r="L659" s="207"/>
      <c r="M659" s="207"/>
      <c r="N659" s="207"/>
      <c r="O659" s="215"/>
      <c r="P659" s="215"/>
      <c r="Q659" s="215"/>
      <c r="R659" s="215"/>
    </row>
    <row r="660" spans="1:18" ht="48.75" customHeight="1">
      <c r="A660" s="16" t="s">
        <v>1141</v>
      </c>
      <c r="B660" s="145">
        <v>774</v>
      </c>
      <c r="C660" s="84" t="s">
        <v>69</v>
      </c>
      <c r="D660" s="84" t="s">
        <v>303</v>
      </c>
      <c r="E660" s="84" t="s">
        <v>251</v>
      </c>
      <c r="F660" s="84"/>
      <c r="G660" s="87">
        <f t="shared" ref="G660:I662" si="177">G661</f>
        <v>200000</v>
      </c>
      <c r="H660" s="87">
        <f t="shared" si="177"/>
        <v>200000</v>
      </c>
      <c r="I660" s="87">
        <f t="shared" si="177"/>
        <v>200000</v>
      </c>
      <c r="J660" s="173"/>
      <c r="L660" s="204"/>
    </row>
    <row r="661" spans="1:18" ht="39.6">
      <c r="A661" s="16" t="s">
        <v>329</v>
      </c>
      <c r="B661" s="145">
        <v>774</v>
      </c>
      <c r="C661" s="84" t="s">
        <v>69</v>
      </c>
      <c r="D661" s="84" t="s">
        <v>303</v>
      </c>
      <c r="E661" s="84" t="s">
        <v>252</v>
      </c>
      <c r="F661" s="84"/>
      <c r="G661" s="87">
        <f>G662+G664</f>
        <v>200000</v>
      </c>
      <c r="H661" s="87">
        <f t="shared" ref="H661:I661" si="178">H662+H664</f>
        <v>200000</v>
      </c>
      <c r="I661" s="87">
        <f t="shared" si="178"/>
        <v>200000</v>
      </c>
      <c r="J661" s="173"/>
      <c r="L661" s="204"/>
    </row>
    <row r="662" spans="1:18" ht="26.4" hidden="1">
      <c r="A662" s="16" t="s">
        <v>37</v>
      </c>
      <c r="B662" s="145">
        <v>774</v>
      </c>
      <c r="C662" s="84" t="s">
        <v>69</v>
      </c>
      <c r="D662" s="84" t="s">
        <v>303</v>
      </c>
      <c r="E662" s="84" t="s">
        <v>252</v>
      </c>
      <c r="F662" s="84" t="s">
        <v>36</v>
      </c>
      <c r="G662" s="87">
        <f t="shared" si="177"/>
        <v>0</v>
      </c>
      <c r="H662" s="87">
        <f t="shared" si="177"/>
        <v>0</v>
      </c>
      <c r="I662" s="87">
        <f t="shared" si="177"/>
        <v>0</v>
      </c>
      <c r="J662" s="173"/>
    </row>
    <row r="663" spans="1:18" ht="31.5" hidden="1" customHeight="1">
      <c r="A663" s="16" t="s">
        <v>37</v>
      </c>
      <c r="B663" s="145">
        <v>774</v>
      </c>
      <c r="C663" s="84" t="s">
        <v>69</v>
      </c>
      <c r="D663" s="84" t="s">
        <v>303</v>
      </c>
      <c r="E663" s="84" t="s">
        <v>252</v>
      </c>
      <c r="F663" s="84" t="s">
        <v>38</v>
      </c>
      <c r="G663" s="87"/>
      <c r="H663" s="87"/>
      <c r="I663" s="87"/>
      <c r="J663" s="173"/>
    </row>
    <row r="664" spans="1:18" s="18" customFormat="1" ht="26.4">
      <c r="A664" s="16" t="s">
        <v>29</v>
      </c>
      <c r="B664" s="145">
        <v>774</v>
      </c>
      <c r="C664" s="84" t="s">
        <v>69</v>
      </c>
      <c r="D664" s="84" t="s">
        <v>303</v>
      </c>
      <c r="E664" s="84" t="s">
        <v>252</v>
      </c>
      <c r="F664" s="84" t="s">
        <v>30</v>
      </c>
      <c r="G664" s="87">
        <f t="shared" ref="G664:I664" si="179">G665</f>
        <v>200000</v>
      </c>
      <c r="H664" s="87">
        <f t="shared" si="179"/>
        <v>200000</v>
      </c>
      <c r="I664" s="87">
        <f t="shared" si="179"/>
        <v>200000</v>
      </c>
      <c r="J664" s="173"/>
      <c r="K664" s="195"/>
      <c r="L664" s="195"/>
      <c r="M664" s="195"/>
      <c r="N664" s="195"/>
      <c r="O664" s="195"/>
      <c r="P664" s="195"/>
      <c r="Q664" s="195"/>
      <c r="R664" s="195"/>
    </row>
    <row r="665" spans="1:18" s="18" customFormat="1">
      <c r="A665" s="16" t="s">
        <v>31</v>
      </c>
      <c r="B665" s="145">
        <v>774</v>
      </c>
      <c r="C665" s="84" t="s">
        <v>69</v>
      </c>
      <c r="D665" s="84" t="s">
        <v>303</v>
      </c>
      <c r="E665" s="84" t="s">
        <v>252</v>
      </c>
      <c r="F665" s="84" t="s">
        <v>32</v>
      </c>
      <c r="G665" s="70">
        <v>200000</v>
      </c>
      <c r="H665" s="87">
        <v>200000</v>
      </c>
      <c r="I665" s="87">
        <v>200000</v>
      </c>
      <c r="J665" s="173"/>
      <c r="K665" s="195"/>
      <c r="L665" s="195"/>
      <c r="M665" s="208"/>
      <c r="N665" s="195"/>
      <c r="O665" s="195"/>
      <c r="P665" s="195"/>
      <c r="Q665" s="195"/>
      <c r="R665" s="195"/>
    </row>
    <row r="666" spans="1:18" ht="19.5" hidden="1" customHeight="1">
      <c r="A666" s="34" t="s">
        <v>166</v>
      </c>
      <c r="B666" s="151">
        <v>774</v>
      </c>
      <c r="C666" s="152" t="s">
        <v>53</v>
      </c>
      <c r="D666" s="152" t="s">
        <v>120</v>
      </c>
      <c r="E666" s="152"/>
      <c r="F666" s="152"/>
      <c r="G666" s="153">
        <f>G667</f>
        <v>0</v>
      </c>
      <c r="H666" s="153">
        <f t="shared" ref="H666:I669" si="180">H667</f>
        <v>0</v>
      </c>
      <c r="I666" s="153">
        <f t="shared" si="180"/>
        <v>0</v>
      </c>
      <c r="J666" s="191"/>
    </row>
    <row r="667" spans="1:18" ht="47.25" hidden="1" customHeight="1">
      <c r="A667" s="16" t="s">
        <v>442</v>
      </c>
      <c r="B667" s="145">
        <v>774</v>
      </c>
      <c r="C667" s="84" t="s">
        <v>53</v>
      </c>
      <c r="D667" s="84" t="s">
        <v>120</v>
      </c>
      <c r="E667" s="84" t="s">
        <v>441</v>
      </c>
      <c r="F667" s="84"/>
      <c r="G667" s="87">
        <f>G668</f>
        <v>0</v>
      </c>
      <c r="H667" s="87">
        <f t="shared" si="180"/>
        <v>0</v>
      </c>
      <c r="I667" s="87">
        <f t="shared" si="180"/>
        <v>0</v>
      </c>
      <c r="J667" s="173"/>
    </row>
    <row r="668" spans="1:18" ht="33.75" hidden="1" customHeight="1">
      <c r="A668" s="16" t="s">
        <v>440</v>
      </c>
      <c r="B668" s="145">
        <v>774</v>
      </c>
      <c r="C668" s="84" t="s">
        <v>53</v>
      </c>
      <c r="D668" s="84" t="s">
        <v>120</v>
      </c>
      <c r="E668" s="84" t="s">
        <v>438</v>
      </c>
      <c r="F668" s="84"/>
      <c r="G668" s="87">
        <f>G669</f>
        <v>0</v>
      </c>
      <c r="H668" s="87">
        <f t="shared" si="180"/>
        <v>0</v>
      </c>
      <c r="I668" s="87">
        <f t="shared" si="180"/>
        <v>0</v>
      </c>
      <c r="J668" s="173"/>
    </row>
    <row r="669" spans="1:18" ht="30.75" hidden="1" customHeight="1">
      <c r="A669" s="16" t="s">
        <v>439</v>
      </c>
      <c r="B669" s="145">
        <v>774</v>
      </c>
      <c r="C669" s="84" t="s">
        <v>53</v>
      </c>
      <c r="D669" s="84" t="s">
        <v>120</v>
      </c>
      <c r="E669" s="84" t="s">
        <v>438</v>
      </c>
      <c r="F669" s="84" t="s">
        <v>36</v>
      </c>
      <c r="G669" s="87">
        <f>G670</f>
        <v>0</v>
      </c>
      <c r="H669" s="87">
        <f t="shared" si="180"/>
        <v>0</v>
      </c>
      <c r="I669" s="87">
        <f t="shared" si="180"/>
        <v>0</v>
      </c>
      <c r="J669" s="173"/>
    </row>
    <row r="670" spans="1:18" ht="33" hidden="1" customHeight="1">
      <c r="A670" s="16" t="s">
        <v>37</v>
      </c>
      <c r="B670" s="145">
        <v>774</v>
      </c>
      <c r="C670" s="84" t="s">
        <v>53</v>
      </c>
      <c r="D670" s="84" t="s">
        <v>120</v>
      </c>
      <c r="E670" s="84" t="s">
        <v>438</v>
      </c>
      <c r="F670" s="84" t="s">
        <v>38</v>
      </c>
      <c r="G670" s="87">
        <f>63000-63000</f>
        <v>0</v>
      </c>
      <c r="H670" s="87"/>
      <c r="I670" s="87"/>
      <c r="J670" s="173"/>
    </row>
    <row r="671" spans="1:18">
      <c r="A671" s="11" t="s">
        <v>24</v>
      </c>
      <c r="B671" s="260">
        <v>774</v>
      </c>
      <c r="C671" s="261" t="s">
        <v>25</v>
      </c>
      <c r="D671" s="261"/>
      <c r="E671" s="261"/>
      <c r="F671" s="261"/>
      <c r="G671" s="258">
        <f>G672+G788+G1126+G1255+G1313</f>
        <v>1225761904.9000001</v>
      </c>
      <c r="H671" s="258">
        <f>H672+H788+H1126+H1255+H1313</f>
        <v>1132742657.8500001</v>
      </c>
      <c r="I671" s="258">
        <f>I672+I788+I1126+I1255+I1313</f>
        <v>1141524351.9300001</v>
      </c>
      <c r="J671" s="186"/>
      <c r="K671" s="204"/>
    </row>
    <row r="672" spans="1:18">
      <c r="A672" s="16" t="s">
        <v>88</v>
      </c>
      <c r="B672" s="145">
        <v>774</v>
      </c>
      <c r="C672" s="84" t="s">
        <v>25</v>
      </c>
      <c r="D672" s="84" t="s">
        <v>18</v>
      </c>
      <c r="E672" s="84"/>
      <c r="F672" s="84"/>
      <c r="G672" s="87">
        <f>G673+G743+G747+G784</f>
        <v>355621153.22000003</v>
      </c>
      <c r="H672" s="87">
        <f>H673+H743+H747</f>
        <v>353711459.42999995</v>
      </c>
      <c r="I672" s="87">
        <f>I673+I743+I747</f>
        <v>355893617.69</v>
      </c>
      <c r="J672" s="173"/>
    </row>
    <row r="673" spans="1:19" s="18" customFormat="1" ht="29.25" customHeight="1">
      <c r="A673" s="16" t="s">
        <v>1133</v>
      </c>
      <c r="B673" s="145">
        <v>774</v>
      </c>
      <c r="C673" s="84" t="s">
        <v>25</v>
      </c>
      <c r="D673" s="84" t="s">
        <v>18</v>
      </c>
      <c r="E673" s="84" t="s">
        <v>183</v>
      </c>
      <c r="F673" s="84"/>
      <c r="G673" s="87">
        <f>G674+G704</f>
        <v>355550153.22000003</v>
      </c>
      <c r="H673" s="87">
        <f>H674+H704</f>
        <v>353711459.42999995</v>
      </c>
      <c r="I673" s="87">
        <f>I674+I704</f>
        <v>355893617.69</v>
      </c>
      <c r="J673" s="173"/>
      <c r="K673" s="195"/>
      <c r="L673" s="195"/>
      <c r="M673" s="195"/>
      <c r="N673" s="195"/>
      <c r="O673" s="195"/>
      <c r="P673" s="195"/>
      <c r="Q673" s="195"/>
      <c r="R673" s="195"/>
    </row>
    <row r="674" spans="1:19" s="18" customFormat="1" ht="48" customHeight="1">
      <c r="A674" s="82" t="s">
        <v>1172</v>
      </c>
      <c r="B674" s="84" t="s">
        <v>92</v>
      </c>
      <c r="C674" s="84" t="s">
        <v>25</v>
      </c>
      <c r="D674" s="84" t="s">
        <v>18</v>
      </c>
      <c r="E674" s="84" t="s">
        <v>209</v>
      </c>
      <c r="F674" s="84"/>
      <c r="G674" s="87">
        <f>G675+G678+G681+G687+G696+G698+G684+G693+G690</f>
        <v>351604569.56</v>
      </c>
      <c r="H674" s="87">
        <f>H675+H678+H681+H687+H696+H698+H684+H693+H690</f>
        <v>352117903.58999997</v>
      </c>
      <c r="I674" s="87">
        <f>I675+I678+I681+I687+I696+I698+I684+I693+I690</f>
        <v>354300061.85000002</v>
      </c>
      <c r="J674" s="173"/>
      <c r="K674" s="195"/>
      <c r="L674" s="195"/>
      <c r="M674" s="195"/>
      <c r="N674" s="195"/>
      <c r="O674" s="195"/>
      <c r="P674" s="195"/>
      <c r="Q674" s="195"/>
      <c r="R674" s="195"/>
    </row>
    <row r="675" spans="1:19" ht="87" customHeight="1">
      <c r="A675" s="104" t="s">
        <v>1053</v>
      </c>
      <c r="B675" s="84" t="s">
        <v>92</v>
      </c>
      <c r="C675" s="84" t="s">
        <v>25</v>
      </c>
      <c r="D675" s="84" t="s">
        <v>18</v>
      </c>
      <c r="E675" s="84" t="s">
        <v>867</v>
      </c>
      <c r="F675" s="84"/>
      <c r="G675" s="87">
        <f>G676</f>
        <v>22081947.170000002</v>
      </c>
      <c r="H675" s="87">
        <f t="shared" ref="G675:I676" si="181">H676</f>
        <v>18450000</v>
      </c>
      <c r="I675" s="87">
        <f t="shared" si="181"/>
        <v>15031360</v>
      </c>
      <c r="J675" s="173">
        <f>G977+G1302+G759</f>
        <v>0</v>
      </c>
    </row>
    <row r="676" spans="1:19" s="18" customFormat="1" ht="26.4">
      <c r="A676" s="82" t="s">
        <v>29</v>
      </c>
      <c r="B676" s="84" t="s">
        <v>92</v>
      </c>
      <c r="C676" s="84" t="s">
        <v>25</v>
      </c>
      <c r="D676" s="84" t="s">
        <v>18</v>
      </c>
      <c r="E676" s="84" t="s">
        <v>867</v>
      </c>
      <c r="F676" s="84" t="s">
        <v>30</v>
      </c>
      <c r="G676" s="87">
        <f t="shared" si="181"/>
        <v>22081947.170000002</v>
      </c>
      <c r="H676" s="87">
        <f t="shared" si="181"/>
        <v>18450000</v>
      </c>
      <c r="I676" s="87">
        <f t="shared" si="181"/>
        <v>15031360</v>
      </c>
      <c r="J676" s="173"/>
      <c r="K676" s="195"/>
      <c r="L676" s="195"/>
      <c r="M676" s="195"/>
      <c r="N676" s="195"/>
      <c r="O676" s="195"/>
      <c r="P676" s="195"/>
      <c r="Q676" s="195"/>
      <c r="R676" s="195"/>
    </row>
    <row r="677" spans="1:19" s="18" customFormat="1">
      <c r="A677" s="82" t="s">
        <v>31</v>
      </c>
      <c r="B677" s="84" t="s">
        <v>92</v>
      </c>
      <c r="C677" s="84" t="s">
        <v>25</v>
      </c>
      <c r="D677" s="84" t="s">
        <v>18</v>
      </c>
      <c r="E677" s="84" t="s">
        <v>867</v>
      </c>
      <c r="F677" s="84" t="s">
        <v>32</v>
      </c>
      <c r="G677" s="87">
        <f>20919000+1162947.17</f>
        <v>22081947.170000002</v>
      </c>
      <c r="H677" s="87">
        <f>20500000-2050000</f>
        <v>18450000</v>
      </c>
      <c r="I677" s="87">
        <v>15031360</v>
      </c>
      <c r="J677" s="173"/>
      <c r="K677" s="195"/>
      <c r="L677" s="195"/>
      <c r="M677" s="208"/>
      <c r="N677" s="195"/>
      <c r="O677" s="195"/>
      <c r="P677" s="195"/>
      <c r="Q677" s="195"/>
      <c r="R677" s="195"/>
    </row>
    <row r="678" spans="1:19" s="18" customFormat="1" ht="15" customHeight="1">
      <c r="A678" s="82" t="s">
        <v>1052</v>
      </c>
      <c r="B678" s="145">
        <v>774</v>
      </c>
      <c r="C678" s="84" t="s">
        <v>25</v>
      </c>
      <c r="D678" s="84" t="s">
        <v>18</v>
      </c>
      <c r="E678" s="84" t="s">
        <v>131</v>
      </c>
      <c r="F678" s="84"/>
      <c r="G678" s="87">
        <f t="shared" ref="G678:I679" si="182">G679</f>
        <v>211622067.49000001</v>
      </c>
      <c r="H678" s="87">
        <f t="shared" si="182"/>
        <v>214805923</v>
      </c>
      <c r="I678" s="87">
        <f t="shared" si="182"/>
        <v>219406733</v>
      </c>
      <c r="J678" s="173"/>
      <c r="K678" s="195"/>
      <c r="L678" s="195"/>
      <c r="M678" s="195"/>
      <c r="N678" s="195"/>
      <c r="O678" s="195"/>
      <c r="P678" s="195"/>
      <c r="Q678" s="208"/>
      <c r="R678" s="208"/>
      <c r="S678" s="17"/>
    </row>
    <row r="679" spans="1:19" s="18" customFormat="1" ht="26.4">
      <c r="A679" s="82" t="s">
        <v>29</v>
      </c>
      <c r="B679" s="145">
        <v>774</v>
      </c>
      <c r="C679" s="84" t="s">
        <v>25</v>
      </c>
      <c r="D679" s="84" t="s">
        <v>18</v>
      </c>
      <c r="E679" s="84" t="s">
        <v>131</v>
      </c>
      <c r="F679" s="84" t="s">
        <v>30</v>
      </c>
      <c r="G679" s="87">
        <f t="shared" si="182"/>
        <v>211622067.49000001</v>
      </c>
      <c r="H679" s="87">
        <f t="shared" si="182"/>
        <v>214805923</v>
      </c>
      <c r="I679" s="87">
        <f t="shared" si="182"/>
        <v>219406733</v>
      </c>
      <c r="J679" s="173"/>
      <c r="K679" s="195"/>
      <c r="L679" s="195"/>
      <c r="M679" s="195"/>
      <c r="N679" s="195"/>
      <c r="O679" s="195"/>
      <c r="P679" s="195"/>
      <c r="Q679" s="208"/>
      <c r="R679" s="208"/>
      <c r="S679" s="17"/>
    </row>
    <row r="680" spans="1:19" s="18" customFormat="1">
      <c r="A680" s="82" t="s">
        <v>31</v>
      </c>
      <c r="B680" s="145">
        <v>774</v>
      </c>
      <c r="C680" s="84" t="s">
        <v>25</v>
      </c>
      <c r="D680" s="84" t="s">
        <v>18</v>
      </c>
      <c r="E680" s="84" t="s">
        <v>131</v>
      </c>
      <c r="F680" s="84" t="s">
        <v>32</v>
      </c>
      <c r="G680" s="87">
        <v>211622067.49000001</v>
      </c>
      <c r="H680" s="87">
        <v>214805923</v>
      </c>
      <c r="I680" s="87">
        <v>219406733</v>
      </c>
      <c r="J680" s="173"/>
      <c r="K680" s="195"/>
      <c r="L680" s="195"/>
      <c r="M680" s="195"/>
      <c r="N680" s="195"/>
      <c r="O680" s="195"/>
      <c r="P680" s="195"/>
      <c r="Q680" s="208"/>
      <c r="R680" s="208"/>
      <c r="S680" s="17"/>
    </row>
    <row r="681" spans="1:19" s="18" customFormat="1" ht="26.4">
      <c r="A681" s="82" t="s">
        <v>91</v>
      </c>
      <c r="B681" s="145">
        <v>774</v>
      </c>
      <c r="C681" s="84" t="s">
        <v>25</v>
      </c>
      <c r="D681" s="84" t="s">
        <v>18</v>
      </c>
      <c r="E681" s="84" t="s">
        <v>211</v>
      </c>
      <c r="F681" s="84"/>
      <c r="G681" s="87">
        <f t="shared" ref="G681:I685" si="183">G682</f>
        <v>113421134.05</v>
      </c>
      <c r="H681" s="87">
        <f t="shared" si="183"/>
        <v>115129134.05</v>
      </c>
      <c r="I681" s="87">
        <f t="shared" si="183"/>
        <v>116129134.05</v>
      </c>
      <c r="J681" s="173"/>
      <c r="K681" s="195"/>
      <c r="L681" s="195"/>
      <c r="M681" s="195"/>
      <c r="N681" s="195"/>
      <c r="O681" s="195"/>
      <c r="P681" s="195"/>
      <c r="Q681" s="208"/>
      <c r="R681" s="208"/>
      <c r="S681" s="17"/>
    </row>
    <row r="682" spans="1:19" s="18" customFormat="1" ht="26.4">
      <c r="A682" s="82" t="s">
        <v>29</v>
      </c>
      <c r="B682" s="145">
        <v>774</v>
      </c>
      <c r="C682" s="84" t="s">
        <v>25</v>
      </c>
      <c r="D682" s="84" t="s">
        <v>18</v>
      </c>
      <c r="E682" s="84" t="s">
        <v>211</v>
      </c>
      <c r="F682" s="84" t="s">
        <v>30</v>
      </c>
      <c r="G682" s="87">
        <f t="shared" si="183"/>
        <v>113421134.05</v>
      </c>
      <c r="H682" s="87">
        <f t="shared" si="183"/>
        <v>115129134.05</v>
      </c>
      <c r="I682" s="87">
        <f t="shared" si="183"/>
        <v>116129134.05</v>
      </c>
      <c r="J682" s="173"/>
      <c r="K682" s="195"/>
      <c r="L682" s="195"/>
      <c r="M682" s="195"/>
      <c r="N682" s="195"/>
      <c r="O682" s="195"/>
      <c r="P682" s="195"/>
      <c r="Q682" s="208"/>
      <c r="R682" s="208"/>
      <c r="S682" s="17"/>
    </row>
    <row r="683" spans="1:19" s="18" customFormat="1">
      <c r="A683" s="82" t="s">
        <v>31</v>
      </c>
      <c r="B683" s="145">
        <v>774</v>
      </c>
      <c r="C683" s="84" t="s">
        <v>25</v>
      </c>
      <c r="D683" s="84" t="s">
        <v>18</v>
      </c>
      <c r="E683" s="84" t="s">
        <v>211</v>
      </c>
      <c r="F683" s="84" t="s">
        <v>32</v>
      </c>
      <c r="G683" s="70">
        <f>116129134.05-308000-2400000</f>
        <v>113421134.05</v>
      </c>
      <c r="H683" s="87">
        <f>116129134.05-1000000</f>
        <v>115129134.05</v>
      </c>
      <c r="I683" s="87">
        <v>116129134.05</v>
      </c>
      <c r="J683" s="173"/>
      <c r="K683" s="195"/>
      <c r="L683" s="195"/>
      <c r="M683" s="195"/>
      <c r="N683" s="195"/>
      <c r="O683" s="195"/>
      <c r="P683" s="195"/>
      <c r="Q683" s="208"/>
      <c r="R683" s="208"/>
      <c r="S683" s="17"/>
    </row>
    <row r="684" spans="1:19" s="18" customFormat="1" ht="17.399999999999999" customHeight="1">
      <c r="A684" s="82" t="s">
        <v>816</v>
      </c>
      <c r="B684" s="145">
        <v>774</v>
      </c>
      <c r="C684" s="84" t="s">
        <v>25</v>
      </c>
      <c r="D684" s="84" t="s">
        <v>18</v>
      </c>
      <c r="E684" s="84" t="s">
        <v>834</v>
      </c>
      <c r="F684" s="84"/>
      <c r="G684" s="70">
        <f t="shared" si="183"/>
        <v>710513.12</v>
      </c>
      <c r="H684" s="87">
        <f t="shared" si="183"/>
        <v>778350</v>
      </c>
      <c r="I684" s="87">
        <f t="shared" si="183"/>
        <v>778350</v>
      </c>
      <c r="J684" s="173"/>
      <c r="K684" s="195"/>
      <c r="L684" s="195"/>
      <c r="M684" s="195"/>
      <c r="N684" s="195"/>
      <c r="O684" s="195"/>
      <c r="P684" s="195"/>
      <c r="Q684" s="208"/>
      <c r="R684" s="208"/>
      <c r="S684" s="17"/>
    </row>
    <row r="685" spans="1:19" s="18" customFormat="1" ht="26.4">
      <c r="A685" s="82" t="s">
        <v>29</v>
      </c>
      <c r="B685" s="145">
        <v>774</v>
      </c>
      <c r="C685" s="84" t="s">
        <v>25</v>
      </c>
      <c r="D685" s="84" t="s">
        <v>18</v>
      </c>
      <c r="E685" s="84" t="s">
        <v>834</v>
      </c>
      <c r="F685" s="84" t="s">
        <v>30</v>
      </c>
      <c r="G685" s="70">
        <f t="shared" si="183"/>
        <v>710513.12</v>
      </c>
      <c r="H685" s="87">
        <f t="shared" si="183"/>
        <v>778350</v>
      </c>
      <c r="I685" s="87">
        <f t="shared" si="183"/>
        <v>778350</v>
      </c>
      <c r="J685" s="173"/>
      <c r="K685" s="195"/>
      <c r="L685" s="195"/>
      <c r="M685" s="195"/>
      <c r="N685" s="195"/>
      <c r="O685" s="195"/>
      <c r="P685" s="195"/>
      <c r="Q685" s="208"/>
      <c r="R685" s="208"/>
      <c r="S685" s="17"/>
    </row>
    <row r="686" spans="1:19" s="18" customFormat="1">
      <c r="A686" s="82" t="s">
        <v>31</v>
      </c>
      <c r="B686" s="145">
        <v>774</v>
      </c>
      <c r="C686" s="84" t="s">
        <v>25</v>
      </c>
      <c r="D686" s="84" t="s">
        <v>18</v>
      </c>
      <c r="E686" s="84" t="s">
        <v>834</v>
      </c>
      <c r="F686" s="84" t="s">
        <v>32</v>
      </c>
      <c r="G686" s="70">
        <f>701513.12+9000</f>
        <v>710513.12</v>
      </c>
      <c r="H686" s="87">
        <v>778350</v>
      </c>
      <c r="I686" s="87">
        <v>778350</v>
      </c>
      <c r="J686" s="173"/>
      <c r="K686" s="195"/>
      <c r="L686" s="195"/>
      <c r="M686" s="195"/>
      <c r="N686" s="195"/>
      <c r="O686" s="195"/>
      <c r="P686" s="195"/>
      <c r="Q686" s="208"/>
      <c r="R686" s="208"/>
      <c r="S686" s="17"/>
    </row>
    <row r="687" spans="1:19" s="18" customFormat="1" ht="31.5" customHeight="1">
      <c r="A687" s="271" t="s">
        <v>122</v>
      </c>
      <c r="B687" s="84" t="s">
        <v>92</v>
      </c>
      <c r="C687" s="84" t="s">
        <v>25</v>
      </c>
      <c r="D687" s="84" t="s">
        <v>18</v>
      </c>
      <c r="E687" s="84" t="s">
        <v>220</v>
      </c>
      <c r="F687" s="84"/>
      <c r="G687" s="70">
        <f t="shared" ref="G687:I694" si="184">G688</f>
        <v>908773.6399999999</v>
      </c>
      <c r="H687" s="87">
        <f t="shared" si="184"/>
        <v>568773.6399999999</v>
      </c>
      <c r="I687" s="87">
        <f t="shared" si="184"/>
        <v>568773.6399999999</v>
      </c>
      <c r="J687" s="173"/>
      <c r="K687" s="195"/>
      <c r="L687" s="195"/>
      <c r="M687" s="195"/>
      <c r="N687" s="195"/>
      <c r="O687" s="195"/>
      <c r="P687" s="195"/>
      <c r="Q687" s="208"/>
      <c r="R687" s="208"/>
      <c r="S687" s="17"/>
    </row>
    <row r="688" spans="1:19" s="18" customFormat="1" ht="26.4">
      <c r="A688" s="82" t="s">
        <v>29</v>
      </c>
      <c r="B688" s="84" t="s">
        <v>92</v>
      </c>
      <c r="C688" s="84" t="s">
        <v>25</v>
      </c>
      <c r="D688" s="84" t="s">
        <v>18</v>
      </c>
      <c r="E688" s="84" t="s">
        <v>220</v>
      </c>
      <c r="F688" s="84" t="s">
        <v>30</v>
      </c>
      <c r="G688" s="70">
        <f t="shared" si="184"/>
        <v>908773.6399999999</v>
      </c>
      <c r="H688" s="87">
        <f t="shared" si="184"/>
        <v>568773.6399999999</v>
      </c>
      <c r="I688" s="87">
        <f t="shared" si="184"/>
        <v>568773.6399999999</v>
      </c>
      <c r="J688" s="173"/>
      <c r="K688" s="195"/>
      <c r="L688" s="195"/>
      <c r="M688" s="195"/>
      <c r="N688" s="195"/>
      <c r="O688" s="195"/>
      <c r="P688" s="195"/>
      <c r="Q688" s="195"/>
      <c r="R688" s="195"/>
    </row>
    <row r="689" spans="1:19">
      <c r="A689" s="82" t="s">
        <v>31</v>
      </c>
      <c r="B689" s="84" t="s">
        <v>92</v>
      </c>
      <c r="C689" s="84" t="s">
        <v>25</v>
      </c>
      <c r="D689" s="84" t="s">
        <v>18</v>
      </c>
      <c r="E689" s="84" t="s">
        <v>220</v>
      </c>
      <c r="F689" s="84" t="s">
        <v>32</v>
      </c>
      <c r="G689" s="70">
        <f>1068773.64-160000</f>
        <v>908773.6399999999</v>
      </c>
      <c r="H689" s="87">
        <f>1068773.64-500000</f>
        <v>568773.6399999999</v>
      </c>
      <c r="I689" s="87">
        <f>1068773.64-500000</f>
        <v>568773.6399999999</v>
      </c>
      <c r="J689" s="173"/>
    </row>
    <row r="690" spans="1:19" s="18" customFormat="1" ht="26.4">
      <c r="A690" s="82" t="s">
        <v>1064</v>
      </c>
      <c r="B690" s="145">
        <v>774</v>
      </c>
      <c r="C690" s="84" t="s">
        <v>25</v>
      </c>
      <c r="D690" s="84" t="s">
        <v>18</v>
      </c>
      <c r="E690" s="84" t="s">
        <v>1065</v>
      </c>
      <c r="F690" s="84"/>
      <c r="G690" s="70">
        <f t="shared" ref="G690:I691" si="185">G691</f>
        <v>108000</v>
      </c>
      <c r="H690" s="87">
        <f t="shared" si="185"/>
        <v>0</v>
      </c>
      <c r="I690" s="87">
        <f t="shared" si="185"/>
        <v>0</v>
      </c>
      <c r="J690" s="173"/>
      <c r="K690" s="195"/>
      <c r="L690" s="195"/>
      <c r="M690" s="195"/>
      <c r="N690" s="195"/>
      <c r="O690" s="195"/>
      <c r="P690" s="195"/>
      <c r="Q690" s="208"/>
      <c r="R690" s="208"/>
      <c r="S690" s="17"/>
    </row>
    <row r="691" spans="1:19" s="18" customFormat="1" ht="26.4">
      <c r="A691" s="82" t="s">
        <v>29</v>
      </c>
      <c r="B691" s="145">
        <v>774</v>
      </c>
      <c r="C691" s="84" t="s">
        <v>25</v>
      </c>
      <c r="D691" s="84" t="s">
        <v>18</v>
      </c>
      <c r="E691" s="84" t="s">
        <v>1065</v>
      </c>
      <c r="F691" s="84" t="s">
        <v>30</v>
      </c>
      <c r="G691" s="70">
        <f t="shared" si="185"/>
        <v>108000</v>
      </c>
      <c r="H691" s="87">
        <f t="shared" si="185"/>
        <v>0</v>
      </c>
      <c r="I691" s="87">
        <f t="shared" si="185"/>
        <v>0</v>
      </c>
      <c r="J691" s="173"/>
      <c r="K691" s="195"/>
      <c r="L691" s="195"/>
      <c r="M691" s="195"/>
      <c r="N691" s="195"/>
      <c r="O691" s="195"/>
      <c r="P691" s="195"/>
      <c r="Q691" s="208"/>
      <c r="R691" s="208"/>
      <c r="S691" s="17"/>
    </row>
    <row r="692" spans="1:19" s="18" customFormat="1">
      <c r="A692" s="82" t="s">
        <v>31</v>
      </c>
      <c r="B692" s="145">
        <v>774</v>
      </c>
      <c r="C692" s="84" t="s">
        <v>25</v>
      </c>
      <c r="D692" s="84" t="s">
        <v>18</v>
      </c>
      <c r="E692" s="84" t="s">
        <v>1065</v>
      </c>
      <c r="F692" s="84" t="s">
        <v>32</v>
      </c>
      <c r="G692" s="70">
        <v>108000</v>
      </c>
      <c r="H692" s="87">
        <v>0</v>
      </c>
      <c r="I692" s="87">
        <v>0</v>
      </c>
      <c r="J692" s="173"/>
      <c r="K692" s="195"/>
      <c r="L692" s="195"/>
      <c r="M692" s="195"/>
      <c r="N692" s="195"/>
      <c r="O692" s="195"/>
      <c r="P692" s="195"/>
      <c r="Q692" s="208"/>
      <c r="R692" s="208"/>
      <c r="S692" s="17"/>
    </row>
    <row r="693" spans="1:19" s="18" customFormat="1" ht="42.75" hidden="1" customHeight="1">
      <c r="A693" s="271" t="s">
        <v>835</v>
      </c>
      <c r="B693" s="84" t="s">
        <v>92</v>
      </c>
      <c r="C693" s="84" t="s">
        <v>25</v>
      </c>
      <c r="D693" s="84" t="s">
        <v>18</v>
      </c>
      <c r="E693" s="84" t="s">
        <v>588</v>
      </c>
      <c r="F693" s="84"/>
      <c r="G693" s="87">
        <f t="shared" si="184"/>
        <v>0</v>
      </c>
      <c r="H693" s="87">
        <f t="shared" si="184"/>
        <v>0</v>
      </c>
      <c r="I693" s="87">
        <f t="shared" si="184"/>
        <v>0</v>
      </c>
      <c r="J693" s="173"/>
      <c r="K693" s="195"/>
      <c r="L693" s="195"/>
      <c r="M693" s="195"/>
      <c r="N693" s="195"/>
      <c r="O693" s="195"/>
      <c r="P693" s="195"/>
      <c r="Q693" s="208"/>
      <c r="R693" s="208"/>
      <c r="S693" s="17"/>
    </row>
    <row r="694" spans="1:19" s="18" customFormat="1" ht="26.4" hidden="1">
      <c r="A694" s="82" t="s">
        <v>29</v>
      </c>
      <c r="B694" s="84" t="s">
        <v>92</v>
      </c>
      <c r="C694" s="84" t="s">
        <v>25</v>
      </c>
      <c r="D694" s="84" t="s">
        <v>18</v>
      </c>
      <c r="E694" s="84" t="s">
        <v>588</v>
      </c>
      <c r="F694" s="84" t="s">
        <v>30</v>
      </c>
      <c r="G694" s="87">
        <f t="shared" si="184"/>
        <v>0</v>
      </c>
      <c r="H694" s="87">
        <f t="shared" si="184"/>
        <v>0</v>
      </c>
      <c r="I694" s="87">
        <f t="shared" si="184"/>
        <v>0</v>
      </c>
      <c r="J694" s="173"/>
      <c r="K694" s="195"/>
      <c r="L694" s="195"/>
      <c r="M694" s="195"/>
      <c r="N694" s="195"/>
      <c r="O694" s="195"/>
      <c r="P694" s="195"/>
      <c r="Q694" s="208"/>
      <c r="R694" s="208"/>
      <c r="S694" s="17"/>
    </row>
    <row r="695" spans="1:19" hidden="1">
      <c r="A695" s="82" t="s">
        <v>31</v>
      </c>
      <c r="B695" s="84" t="s">
        <v>92</v>
      </c>
      <c r="C695" s="84" t="s">
        <v>25</v>
      </c>
      <c r="D695" s="84" t="s">
        <v>18</v>
      </c>
      <c r="E695" s="84" t="s">
        <v>588</v>
      </c>
      <c r="F695" s="84" t="s">
        <v>32</v>
      </c>
      <c r="G695" s="87"/>
      <c r="H695" s="87"/>
      <c r="I695" s="87"/>
      <c r="J695" s="173"/>
    </row>
    <row r="696" spans="1:19" s="3" customFormat="1" ht="42.75" hidden="1" customHeight="1">
      <c r="A696" s="82" t="s">
        <v>705</v>
      </c>
      <c r="B696" s="145">
        <v>774</v>
      </c>
      <c r="C696" s="84" t="s">
        <v>25</v>
      </c>
      <c r="D696" s="84" t="s">
        <v>18</v>
      </c>
      <c r="E696" s="84" t="s">
        <v>692</v>
      </c>
      <c r="F696" s="84"/>
      <c r="G696" s="87">
        <f>G697</f>
        <v>0</v>
      </c>
      <c r="H696" s="87">
        <f>H697</f>
        <v>0</v>
      </c>
      <c r="I696" s="87">
        <f>I697</f>
        <v>0</v>
      </c>
      <c r="J696" s="173"/>
      <c r="K696" s="194"/>
      <c r="L696" s="194"/>
      <c r="M696" s="194"/>
      <c r="N696" s="194"/>
      <c r="O696" s="194"/>
      <c r="P696" s="194"/>
      <c r="Q696" s="194"/>
      <c r="R696" s="194"/>
    </row>
    <row r="697" spans="1:19" s="3" customFormat="1" hidden="1">
      <c r="A697" s="82" t="s">
        <v>31</v>
      </c>
      <c r="B697" s="145">
        <v>774</v>
      </c>
      <c r="C697" s="84" t="s">
        <v>25</v>
      </c>
      <c r="D697" s="84" t="s">
        <v>18</v>
      </c>
      <c r="E697" s="84" t="s">
        <v>692</v>
      </c>
      <c r="F697" s="84" t="s">
        <v>32</v>
      </c>
      <c r="G697" s="87"/>
      <c r="H697" s="87"/>
      <c r="I697" s="87"/>
      <c r="J697" s="173"/>
      <c r="K697" s="194"/>
      <c r="L697" s="194"/>
      <c r="M697" s="194"/>
      <c r="N697" s="194"/>
      <c r="O697" s="194"/>
      <c r="P697" s="194"/>
      <c r="Q697" s="194"/>
      <c r="R697" s="194"/>
    </row>
    <row r="698" spans="1:19" s="18" customFormat="1" ht="51" customHeight="1">
      <c r="A698" s="271" t="s">
        <v>840</v>
      </c>
      <c r="B698" s="84" t="s">
        <v>92</v>
      </c>
      <c r="C698" s="84" t="s">
        <v>25</v>
      </c>
      <c r="D698" s="84" t="s">
        <v>18</v>
      </c>
      <c r="E698" s="84" t="s">
        <v>836</v>
      </c>
      <c r="F698" s="84"/>
      <c r="G698" s="87">
        <f t="shared" ref="G698:I702" si="186">G699</f>
        <v>2752134.0900000003</v>
      </c>
      <c r="H698" s="87">
        <f t="shared" si="186"/>
        <v>2385722.9</v>
      </c>
      <c r="I698" s="87">
        <f t="shared" si="186"/>
        <v>2385711.16</v>
      </c>
      <c r="J698" s="173"/>
      <c r="K698" s="195"/>
      <c r="L698" s="195"/>
      <c r="M698" s="195"/>
      <c r="N698" s="195"/>
      <c r="O698" s="195"/>
      <c r="P698" s="195"/>
      <c r="Q698" s="195"/>
      <c r="R698" s="195"/>
    </row>
    <row r="699" spans="1:19" s="18" customFormat="1" ht="26.4">
      <c r="A699" s="82" t="s">
        <v>29</v>
      </c>
      <c r="B699" s="84" t="s">
        <v>92</v>
      </c>
      <c r="C699" s="84" t="s">
        <v>25</v>
      </c>
      <c r="D699" s="84" t="s">
        <v>18</v>
      </c>
      <c r="E699" s="84" t="s">
        <v>836</v>
      </c>
      <c r="F699" s="84" t="s">
        <v>30</v>
      </c>
      <c r="G699" s="87">
        <f t="shared" si="186"/>
        <v>2752134.0900000003</v>
      </c>
      <c r="H699" s="87">
        <f t="shared" si="186"/>
        <v>2385722.9</v>
      </c>
      <c r="I699" s="87">
        <f t="shared" si="186"/>
        <v>2385711.16</v>
      </c>
      <c r="J699" s="173"/>
      <c r="K699" s="195"/>
      <c r="L699" s="195"/>
      <c r="M699" s="195"/>
      <c r="N699" s="195"/>
      <c r="O699" s="195"/>
      <c r="P699" s="195"/>
      <c r="Q699" s="195"/>
      <c r="R699" s="195"/>
    </row>
    <row r="700" spans="1:19">
      <c r="A700" s="82" t="s">
        <v>31</v>
      </c>
      <c r="B700" s="84" t="s">
        <v>92</v>
      </c>
      <c r="C700" s="84" t="s">
        <v>25</v>
      </c>
      <c r="D700" s="84" t="s">
        <v>18</v>
      </c>
      <c r="E700" s="84" t="s">
        <v>836</v>
      </c>
      <c r="F700" s="84" t="s">
        <v>32</v>
      </c>
      <c r="G700" s="70">
        <f>3435684.72-113081.36-70469.27-500000</f>
        <v>2752134.0900000003</v>
      </c>
      <c r="H700" s="87">
        <v>2385722.9</v>
      </c>
      <c r="I700" s="87">
        <v>2385711.16</v>
      </c>
      <c r="J700" s="173"/>
    </row>
    <row r="701" spans="1:19" s="18" customFormat="1" ht="45.75" hidden="1" customHeight="1">
      <c r="A701" s="271" t="s">
        <v>589</v>
      </c>
      <c r="B701" s="84" t="s">
        <v>92</v>
      </c>
      <c r="C701" s="84" t="s">
        <v>25</v>
      </c>
      <c r="D701" s="84" t="s">
        <v>18</v>
      </c>
      <c r="E701" s="84" t="s">
        <v>588</v>
      </c>
      <c r="F701" s="84"/>
      <c r="G701" s="70">
        <f t="shared" si="186"/>
        <v>0</v>
      </c>
      <c r="H701" s="87">
        <f t="shared" si="186"/>
        <v>0</v>
      </c>
      <c r="I701" s="87">
        <f t="shared" si="186"/>
        <v>0</v>
      </c>
      <c r="J701" s="173"/>
      <c r="K701" s="195"/>
      <c r="L701" s="195"/>
      <c r="M701" s="195"/>
      <c r="N701" s="195"/>
      <c r="O701" s="195"/>
      <c r="P701" s="195"/>
      <c r="Q701" s="195"/>
      <c r="R701" s="195"/>
    </row>
    <row r="702" spans="1:19" s="18" customFormat="1" ht="26.4" hidden="1">
      <c r="A702" s="82" t="s">
        <v>29</v>
      </c>
      <c r="B702" s="84" t="s">
        <v>92</v>
      </c>
      <c r="C702" s="84" t="s">
        <v>25</v>
      </c>
      <c r="D702" s="84" t="s">
        <v>18</v>
      </c>
      <c r="E702" s="84" t="s">
        <v>588</v>
      </c>
      <c r="F702" s="84" t="s">
        <v>30</v>
      </c>
      <c r="G702" s="70">
        <f t="shared" si="186"/>
        <v>0</v>
      </c>
      <c r="H702" s="87">
        <f t="shared" si="186"/>
        <v>0</v>
      </c>
      <c r="I702" s="87">
        <f t="shared" si="186"/>
        <v>0</v>
      </c>
      <c r="J702" s="173"/>
      <c r="K702" s="195"/>
      <c r="L702" s="195"/>
      <c r="M702" s="195"/>
      <c r="N702" s="195"/>
      <c r="O702" s="195"/>
      <c r="P702" s="195"/>
      <c r="Q702" s="195"/>
      <c r="R702" s="195"/>
    </row>
    <row r="703" spans="1:19" hidden="1">
      <c r="A703" s="82" t="s">
        <v>31</v>
      </c>
      <c r="B703" s="84" t="s">
        <v>92</v>
      </c>
      <c r="C703" s="84" t="s">
        <v>25</v>
      </c>
      <c r="D703" s="84" t="s">
        <v>18</v>
      </c>
      <c r="E703" s="84" t="s">
        <v>588</v>
      </c>
      <c r="F703" s="84" t="s">
        <v>32</v>
      </c>
      <c r="G703" s="70"/>
      <c r="H703" s="87"/>
      <c r="I703" s="87"/>
      <c r="J703" s="173"/>
    </row>
    <row r="704" spans="1:19" s="3" customFormat="1" ht="26.4">
      <c r="A704" s="82" t="s">
        <v>1185</v>
      </c>
      <c r="B704" s="145">
        <v>774</v>
      </c>
      <c r="C704" s="84" t="s">
        <v>25</v>
      </c>
      <c r="D704" s="84" t="s">
        <v>18</v>
      </c>
      <c r="E704" s="84" t="s">
        <v>212</v>
      </c>
      <c r="F704" s="84"/>
      <c r="G704" s="70">
        <f>G719+G730+G736+G742+G731+G705+G737+G714+G713+G708+G756+G757+G771+G774+G777+G780+G763+G753+G766+G781+G760</f>
        <v>3945583.6599999997</v>
      </c>
      <c r="H704" s="87">
        <f>H719+H730+H736+H742+H731+H705+H737+H714+H713+H708+H756</f>
        <v>1593555.84</v>
      </c>
      <c r="I704" s="87">
        <f>I719+I730+I736+I742+I731+I705+I737+I714+I713+I708+I756</f>
        <v>1593555.84</v>
      </c>
      <c r="J704" s="173"/>
      <c r="K704" s="194"/>
      <c r="L704" s="194"/>
      <c r="M704" s="194"/>
      <c r="N704" s="194"/>
      <c r="O704" s="194"/>
      <c r="P704" s="194"/>
      <c r="Q704" s="194"/>
      <c r="R704" s="194"/>
    </row>
    <row r="705" spans="1:18" ht="25.5" hidden="1" customHeight="1">
      <c r="A705" s="82" t="s">
        <v>739</v>
      </c>
      <c r="B705" s="145">
        <v>774</v>
      </c>
      <c r="C705" s="84" t="s">
        <v>25</v>
      </c>
      <c r="D705" s="84" t="s">
        <v>18</v>
      </c>
      <c r="E705" s="84" t="s">
        <v>738</v>
      </c>
      <c r="F705" s="145"/>
      <c r="G705" s="70">
        <f t="shared" ref="G705:I706" si="187">G706</f>
        <v>0</v>
      </c>
      <c r="H705" s="87">
        <f t="shared" si="187"/>
        <v>0</v>
      </c>
      <c r="I705" s="87">
        <f t="shared" si="187"/>
        <v>0</v>
      </c>
      <c r="J705" s="173"/>
    </row>
    <row r="706" spans="1:18" ht="25.5" hidden="1" customHeight="1">
      <c r="A706" s="82" t="s">
        <v>29</v>
      </c>
      <c r="B706" s="145">
        <v>774</v>
      </c>
      <c r="C706" s="84" t="s">
        <v>25</v>
      </c>
      <c r="D706" s="84" t="s">
        <v>18</v>
      </c>
      <c r="E706" s="84" t="s">
        <v>738</v>
      </c>
      <c r="F706" s="84" t="s">
        <v>30</v>
      </c>
      <c r="G706" s="70">
        <f t="shared" si="187"/>
        <v>0</v>
      </c>
      <c r="H706" s="87">
        <f t="shared" si="187"/>
        <v>0</v>
      </c>
      <c r="I706" s="87">
        <f t="shared" si="187"/>
        <v>0</v>
      </c>
      <c r="J706" s="173"/>
    </row>
    <row r="707" spans="1:18" ht="25.5" hidden="1" customHeight="1">
      <c r="A707" s="82" t="s">
        <v>31</v>
      </c>
      <c r="B707" s="145">
        <v>774</v>
      </c>
      <c r="C707" s="84" t="s">
        <v>25</v>
      </c>
      <c r="D707" s="84" t="s">
        <v>18</v>
      </c>
      <c r="E707" s="84" t="s">
        <v>738</v>
      </c>
      <c r="F707" s="84" t="s">
        <v>32</v>
      </c>
      <c r="G707" s="70"/>
      <c r="H707" s="87"/>
      <c r="I707" s="87"/>
      <c r="J707" s="173"/>
    </row>
    <row r="708" spans="1:18" s="3" customFormat="1" ht="26.4" hidden="1">
      <c r="A708" s="82" t="s">
        <v>951</v>
      </c>
      <c r="B708" s="145">
        <v>774</v>
      </c>
      <c r="C708" s="84" t="s">
        <v>25</v>
      </c>
      <c r="D708" s="84" t="s">
        <v>18</v>
      </c>
      <c r="E708" s="84" t="s">
        <v>213</v>
      </c>
      <c r="F708" s="84"/>
      <c r="G708" s="70">
        <f t="shared" ref="G708:I709" si="188">G709</f>
        <v>0</v>
      </c>
      <c r="H708" s="87">
        <f t="shared" si="188"/>
        <v>0</v>
      </c>
      <c r="I708" s="87">
        <f t="shared" si="188"/>
        <v>0</v>
      </c>
      <c r="J708" s="173"/>
      <c r="K708" s="194"/>
      <c r="L708" s="194"/>
      <c r="M708" s="194"/>
      <c r="N708" s="194"/>
      <c r="O708" s="194"/>
      <c r="P708" s="194"/>
      <c r="Q708" s="194"/>
      <c r="R708" s="194"/>
    </row>
    <row r="709" spans="1:18" s="3" customFormat="1" ht="26.4" hidden="1">
      <c r="A709" s="82" t="s">
        <v>29</v>
      </c>
      <c r="B709" s="145">
        <v>774</v>
      </c>
      <c r="C709" s="84" t="s">
        <v>25</v>
      </c>
      <c r="D709" s="84" t="s">
        <v>18</v>
      </c>
      <c r="E709" s="84" t="s">
        <v>213</v>
      </c>
      <c r="F709" s="84" t="s">
        <v>30</v>
      </c>
      <c r="G709" s="70">
        <f t="shared" si="188"/>
        <v>0</v>
      </c>
      <c r="H709" s="87">
        <f t="shared" si="188"/>
        <v>0</v>
      </c>
      <c r="I709" s="87">
        <f t="shared" si="188"/>
        <v>0</v>
      </c>
      <c r="J709" s="173"/>
      <c r="K709" s="194"/>
      <c r="L709" s="194"/>
      <c r="M709" s="194"/>
      <c r="N709" s="194"/>
      <c r="O709" s="194"/>
      <c r="P709" s="194"/>
      <c r="Q709" s="194"/>
      <c r="R709" s="194"/>
    </row>
    <row r="710" spans="1:18" s="3" customFormat="1" hidden="1">
      <c r="A710" s="82" t="s">
        <v>31</v>
      </c>
      <c r="B710" s="145">
        <v>774</v>
      </c>
      <c r="C710" s="84" t="s">
        <v>25</v>
      </c>
      <c r="D710" s="84" t="s">
        <v>18</v>
      </c>
      <c r="E710" s="84" t="s">
        <v>213</v>
      </c>
      <c r="F710" s="84" t="s">
        <v>32</v>
      </c>
      <c r="G710" s="70"/>
      <c r="H710" s="87"/>
      <c r="I710" s="87"/>
      <c r="J710" s="173"/>
      <c r="K710" s="194"/>
      <c r="L710" s="194"/>
      <c r="M710" s="194"/>
      <c r="N710" s="194"/>
      <c r="O710" s="194"/>
      <c r="P710" s="194"/>
      <c r="Q710" s="194"/>
      <c r="R710" s="194"/>
    </row>
    <row r="711" spans="1:18" s="3" customFormat="1" ht="26.4">
      <c r="A711" s="82" t="s">
        <v>950</v>
      </c>
      <c r="B711" s="145">
        <v>774</v>
      </c>
      <c r="C711" s="84" t="s">
        <v>25</v>
      </c>
      <c r="D711" s="84" t="s">
        <v>18</v>
      </c>
      <c r="E711" s="84" t="s">
        <v>948</v>
      </c>
      <c r="F711" s="84"/>
      <c r="G711" s="70">
        <f t="shared" ref="G711:I712" si="189">G712</f>
        <v>167179</v>
      </c>
      <c r="H711" s="87">
        <f t="shared" si="189"/>
        <v>60000</v>
      </c>
      <c r="I711" s="87">
        <f t="shared" si="189"/>
        <v>60000</v>
      </c>
      <c r="J711" s="173"/>
      <c r="K711" s="194"/>
      <c r="L711" s="194"/>
      <c r="M711" s="194"/>
      <c r="N711" s="194"/>
      <c r="O711" s="194"/>
      <c r="P711" s="194"/>
      <c r="Q711" s="194"/>
      <c r="R711" s="194"/>
    </row>
    <row r="712" spans="1:18" s="3" customFormat="1" ht="26.4">
      <c r="A712" s="82" t="s">
        <v>29</v>
      </c>
      <c r="B712" s="145">
        <v>774</v>
      </c>
      <c r="C712" s="84" t="s">
        <v>25</v>
      </c>
      <c r="D712" s="84" t="s">
        <v>18</v>
      </c>
      <c r="E712" s="84" t="s">
        <v>948</v>
      </c>
      <c r="F712" s="84" t="s">
        <v>30</v>
      </c>
      <c r="G712" s="70">
        <f t="shared" si="189"/>
        <v>167179</v>
      </c>
      <c r="H712" s="87">
        <f t="shared" si="189"/>
        <v>60000</v>
      </c>
      <c r="I712" s="87">
        <f t="shared" si="189"/>
        <v>60000</v>
      </c>
      <c r="J712" s="173"/>
      <c r="K712" s="194"/>
      <c r="L712" s="194"/>
      <c r="M712" s="194"/>
      <c r="N712" s="194"/>
      <c r="O712" s="194"/>
      <c r="P712" s="194"/>
      <c r="Q712" s="194"/>
      <c r="R712" s="194"/>
    </row>
    <row r="713" spans="1:18" s="3" customFormat="1">
      <c r="A713" s="82" t="s">
        <v>31</v>
      </c>
      <c r="B713" s="145">
        <v>774</v>
      </c>
      <c r="C713" s="84" t="s">
        <v>25</v>
      </c>
      <c r="D713" s="84" t="s">
        <v>18</v>
      </c>
      <c r="E713" s="84" t="s">
        <v>948</v>
      </c>
      <c r="F713" s="84" t="s">
        <v>32</v>
      </c>
      <c r="G713" s="70">
        <f>60000+57179+50000</f>
        <v>167179</v>
      </c>
      <c r="H713" s="87">
        <v>60000</v>
      </c>
      <c r="I713" s="87">
        <v>60000</v>
      </c>
      <c r="J713" s="173"/>
      <c r="K713" s="194"/>
      <c r="L713" s="194"/>
      <c r="M713" s="194"/>
      <c r="N713" s="194"/>
      <c r="O713" s="194"/>
      <c r="P713" s="194"/>
      <c r="Q713" s="194"/>
      <c r="R713" s="194"/>
    </row>
    <row r="714" spans="1:18" s="3" customFormat="1" ht="65.25" hidden="1" customHeight="1">
      <c r="A714" s="82" t="s">
        <v>913</v>
      </c>
      <c r="B714" s="145">
        <v>774</v>
      </c>
      <c r="C714" s="84" t="s">
        <v>25</v>
      </c>
      <c r="D714" s="84" t="s">
        <v>18</v>
      </c>
      <c r="E714" s="84" t="s">
        <v>702</v>
      </c>
      <c r="F714" s="84"/>
      <c r="G714" s="70">
        <f t="shared" ref="G714:I715" si="190">G715</f>
        <v>0</v>
      </c>
      <c r="H714" s="87">
        <f t="shared" si="190"/>
        <v>0</v>
      </c>
      <c r="I714" s="87">
        <f t="shared" si="190"/>
        <v>0</v>
      </c>
      <c r="J714" s="173"/>
      <c r="K714" s="194"/>
      <c r="L714" s="194"/>
      <c r="M714" s="194"/>
      <c r="N714" s="194"/>
      <c r="O714" s="194"/>
      <c r="P714" s="194"/>
      <c r="Q714" s="194"/>
      <c r="R714" s="194"/>
    </row>
    <row r="715" spans="1:18" s="3" customFormat="1" ht="26.4" hidden="1">
      <c r="A715" s="82" t="s">
        <v>29</v>
      </c>
      <c r="B715" s="145">
        <v>774</v>
      </c>
      <c r="C715" s="84" t="s">
        <v>25</v>
      </c>
      <c r="D715" s="84" t="s">
        <v>18</v>
      </c>
      <c r="E715" s="84" t="s">
        <v>702</v>
      </c>
      <c r="F715" s="84" t="s">
        <v>30</v>
      </c>
      <c r="G715" s="70">
        <f t="shared" si="190"/>
        <v>0</v>
      </c>
      <c r="H715" s="87">
        <f t="shared" si="190"/>
        <v>0</v>
      </c>
      <c r="I715" s="87">
        <f t="shared" si="190"/>
        <v>0</v>
      </c>
      <c r="J715" s="173"/>
      <c r="K715" s="194"/>
      <c r="L715" s="194"/>
      <c r="M715" s="194"/>
      <c r="N715" s="194"/>
      <c r="O715" s="194"/>
      <c r="P715" s="194"/>
      <c r="Q715" s="194"/>
      <c r="R715" s="194"/>
    </row>
    <row r="716" spans="1:18" s="3" customFormat="1" hidden="1">
      <c r="A716" s="82" t="s">
        <v>31</v>
      </c>
      <c r="B716" s="145">
        <v>774</v>
      </c>
      <c r="C716" s="84" t="s">
        <v>25</v>
      </c>
      <c r="D716" s="84" t="s">
        <v>18</v>
      </c>
      <c r="E716" s="84" t="s">
        <v>702</v>
      </c>
      <c r="F716" s="84" t="s">
        <v>32</v>
      </c>
      <c r="G716" s="70"/>
      <c r="H716" s="87"/>
      <c r="I716" s="87"/>
      <c r="J716" s="173"/>
      <c r="K716" s="194"/>
      <c r="L716" s="194"/>
      <c r="M716" s="194"/>
      <c r="N716" s="194"/>
      <c r="O716" s="194"/>
      <c r="P716" s="194"/>
      <c r="Q716" s="194"/>
      <c r="R716" s="194"/>
    </row>
    <row r="717" spans="1:18" ht="25.5" customHeight="1">
      <c r="A717" s="82" t="s">
        <v>288</v>
      </c>
      <c r="B717" s="145">
        <v>774</v>
      </c>
      <c r="C717" s="84" t="s">
        <v>25</v>
      </c>
      <c r="D717" s="84" t="s">
        <v>18</v>
      </c>
      <c r="E717" s="84" t="s">
        <v>287</v>
      </c>
      <c r="F717" s="145"/>
      <c r="G717" s="70">
        <f t="shared" ref="G717:I718" si="191">G718</f>
        <v>1127593</v>
      </c>
      <c r="H717" s="87">
        <f t="shared" si="191"/>
        <v>1283555.8400000001</v>
      </c>
      <c r="I717" s="87">
        <f t="shared" si="191"/>
        <v>1283555.8400000001</v>
      </c>
      <c r="J717" s="173"/>
    </row>
    <row r="718" spans="1:18" ht="25.5" customHeight="1">
      <c r="A718" s="82" t="s">
        <v>29</v>
      </c>
      <c r="B718" s="145">
        <v>774</v>
      </c>
      <c r="C718" s="84" t="s">
        <v>25</v>
      </c>
      <c r="D718" s="84" t="s">
        <v>18</v>
      </c>
      <c r="E718" s="84" t="s">
        <v>287</v>
      </c>
      <c r="F718" s="84" t="s">
        <v>30</v>
      </c>
      <c r="G718" s="70">
        <f t="shared" si="191"/>
        <v>1127593</v>
      </c>
      <c r="H718" s="87">
        <f t="shared" si="191"/>
        <v>1283555.8400000001</v>
      </c>
      <c r="I718" s="87">
        <f t="shared" si="191"/>
        <v>1283555.8400000001</v>
      </c>
      <c r="J718" s="173"/>
    </row>
    <row r="719" spans="1:18" ht="25.5" customHeight="1">
      <c r="A719" s="82" t="s">
        <v>31</v>
      </c>
      <c r="B719" s="145">
        <v>774</v>
      </c>
      <c r="C719" s="84" t="s">
        <v>25</v>
      </c>
      <c r="D719" s="84" t="s">
        <v>18</v>
      </c>
      <c r="E719" s="84" t="s">
        <v>287</v>
      </c>
      <c r="F719" s="84" t="s">
        <v>32</v>
      </c>
      <c r="G719" s="70">
        <f>1127593+155962.84-155962.84</f>
        <v>1127593</v>
      </c>
      <c r="H719" s="87">
        <v>1283555.8400000001</v>
      </c>
      <c r="I719" s="87">
        <v>1283555.8400000001</v>
      </c>
      <c r="J719" s="173"/>
    </row>
    <row r="720" spans="1:18" ht="96" hidden="1" customHeight="1">
      <c r="A720" s="82" t="s">
        <v>3</v>
      </c>
      <c r="B720" s="145">
        <v>774</v>
      </c>
      <c r="C720" s="84" t="s">
        <v>25</v>
      </c>
      <c r="D720" s="84" t="s">
        <v>18</v>
      </c>
      <c r="E720" s="84" t="s">
        <v>4</v>
      </c>
      <c r="F720" s="145"/>
      <c r="G720" s="87">
        <f t="shared" ref="G720:I721" si="192">G721</f>
        <v>0</v>
      </c>
      <c r="H720" s="87">
        <f t="shared" si="192"/>
        <v>0</v>
      </c>
      <c r="I720" s="87">
        <f t="shared" si="192"/>
        <v>0</v>
      </c>
      <c r="J720" s="173"/>
    </row>
    <row r="721" spans="1:18" ht="25.5" hidden="1" customHeight="1">
      <c r="A721" s="82" t="s">
        <v>29</v>
      </c>
      <c r="B721" s="145">
        <v>774</v>
      </c>
      <c r="C721" s="84" t="s">
        <v>25</v>
      </c>
      <c r="D721" s="84" t="s">
        <v>18</v>
      </c>
      <c r="E721" s="84" t="s">
        <v>4</v>
      </c>
      <c r="F721" s="84" t="s">
        <v>30</v>
      </c>
      <c r="G721" s="87">
        <f t="shared" si="192"/>
        <v>0</v>
      </c>
      <c r="H721" s="87">
        <f t="shared" si="192"/>
        <v>0</v>
      </c>
      <c r="I721" s="87">
        <f t="shared" si="192"/>
        <v>0</v>
      </c>
      <c r="J721" s="173"/>
    </row>
    <row r="722" spans="1:18" ht="25.5" hidden="1" customHeight="1">
      <c r="A722" s="82" t="s">
        <v>31</v>
      </c>
      <c r="B722" s="145">
        <v>774</v>
      </c>
      <c r="C722" s="84" t="s">
        <v>25</v>
      </c>
      <c r="D722" s="84" t="s">
        <v>18</v>
      </c>
      <c r="E722" s="84" t="s">
        <v>4</v>
      </c>
      <c r="F722" s="84" t="s">
        <v>32</v>
      </c>
      <c r="G722" s="87"/>
      <c r="H722" s="87"/>
      <c r="I722" s="87"/>
      <c r="J722" s="173"/>
    </row>
    <row r="723" spans="1:18" ht="96" hidden="1" customHeight="1">
      <c r="A723" s="130" t="s">
        <v>41</v>
      </c>
      <c r="B723" s="145">
        <v>774</v>
      </c>
      <c r="C723" s="84" t="s">
        <v>25</v>
      </c>
      <c r="D723" s="84" t="s">
        <v>18</v>
      </c>
      <c r="E723" s="84" t="s">
        <v>40</v>
      </c>
      <c r="F723" s="145"/>
      <c r="G723" s="87">
        <f t="shared" ref="G723:I724" si="193">G724</f>
        <v>0</v>
      </c>
      <c r="H723" s="87">
        <f t="shared" si="193"/>
        <v>0</v>
      </c>
      <c r="I723" s="87">
        <f t="shared" si="193"/>
        <v>0</v>
      </c>
      <c r="J723" s="173"/>
    </row>
    <row r="724" spans="1:18" ht="25.5" hidden="1" customHeight="1">
      <c r="A724" s="82" t="s">
        <v>29</v>
      </c>
      <c r="B724" s="145">
        <v>774</v>
      </c>
      <c r="C724" s="84" t="s">
        <v>25</v>
      </c>
      <c r="D724" s="84" t="s">
        <v>18</v>
      </c>
      <c r="E724" s="84" t="s">
        <v>4</v>
      </c>
      <c r="F724" s="84" t="s">
        <v>30</v>
      </c>
      <c r="G724" s="87">
        <f t="shared" si="193"/>
        <v>0</v>
      </c>
      <c r="H724" s="87">
        <f t="shared" si="193"/>
        <v>0</v>
      </c>
      <c r="I724" s="87">
        <f t="shared" si="193"/>
        <v>0</v>
      </c>
      <c r="J724" s="173"/>
    </row>
    <row r="725" spans="1:18" ht="25.5" hidden="1" customHeight="1">
      <c r="A725" s="82" t="s">
        <v>31</v>
      </c>
      <c r="B725" s="145">
        <v>774</v>
      </c>
      <c r="C725" s="84" t="s">
        <v>25</v>
      </c>
      <c r="D725" s="84" t="s">
        <v>18</v>
      </c>
      <c r="E725" s="84" t="s">
        <v>4</v>
      </c>
      <c r="F725" s="84" t="s">
        <v>32</v>
      </c>
      <c r="G725" s="87"/>
      <c r="H725" s="87"/>
      <c r="I725" s="87"/>
      <c r="J725" s="173"/>
    </row>
    <row r="726" spans="1:18" ht="48" hidden="1" customHeight="1">
      <c r="A726" s="82" t="s">
        <v>375</v>
      </c>
      <c r="B726" s="145">
        <v>774</v>
      </c>
      <c r="C726" s="84" t="s">
        <v>25</v>
      </c>
      <c r="D726" s="84" t="s">
        <v>18</v>
      </c>
      <c r="E726" s="84" t="s">
        <v>371</v>
      </c>
      <c r="F726" s="84"/>
      <c r="G726" s="87">
        <f>G727</f>
        <v>0</v>
      </c>
      <c r="H726" s="87">
        <f>H727</f>
        <v>0</v>
      </c>
      <c r="I726" s="87">
        <f>I727</f>
        <v>0</v>
      </c>
      <c r="J726" s="173"/>
    </row>
    <row r="727" spans="1:18" ht="25.5" hidden="1" customHeight="1">
      <c r="A727" s="82" t="s">
        <v>31</v>
      </c>
      <c r="B727" s="145">
        <v>774</v>
      </c>
      <c r="C727" s="84" t="s">
        <v>25</v>
      </c>
      <c r="D727" s="84" t="s">
        <v>18</v>
      </c>
      <c r="E727" s="84" t="s">
        <v>371</v>
      </c>
      <c r="F727" s="84" t="s">
        <v>32</v>
      </c>
      <c r="G727" s="87"/>
      <c r="H727" s="87"/>
      <c r="I727" s="87"/>
      <c r="J727" s="173"/>
    </row>
    <row r="728" spans="1:18" s="3" customFormat="1" hidden="1">
      <c r="A728" s="82" t="s">
        <v>1</v>
      </c>
      <c r="B728" s="145">
        <v>774</v>
      </c>
      <c r="C728" s="84" t="s">
        <v>25</v>
      </c>
      <c r="D728" s="84" t="s">
        <v>18</v>
      </c>
      <c r="E728" s="84" t="s">
        <v>213</v>
      </c>
      <c r="F728" s="84"/>
      <c r="G728" s="87">
        <f t="shared" ref="G728:I729" si="194">G729</f>
        <v>0</v>
      </c>
      <c r="H728" s="87">
        <f t="shared" si="194"/>
        <v>0</v>
      </c>
      <c r="I728" s="87">
        <f t="shared" si="194"/>
        <v>0</v>
      </c>
      <c r="J728" s="173"/>
      <c r="K728" s="194"/>
      <c r="L728" s="194"/>
      <c r="M728" s="194"/>
      <c r="N728" s="194"/>
      <c r="O728" s="194"/>
      <c r="P728" s="194"/>
      <c r="Q728" s="194"/>
      <c r="R728" s="194"/>
    </row>
    <row r="729" spans="1:18" s="3" customFormat="1" ht="26.4" hidden="1">
      <c r="A729" s="82" t="s">
        <v>29</v>
      </c>
      <c r="B729" s="145">
        <v>774</v>
      </c>
      <c r="C729" s="84" t="s">
        <v>25</v>
      </c>
      <c r="D729" s="84" t="s">
        <v>18</v>
      </c>
      <c r="E729" s="84" t="s">
        <v>213</v>
      </c>
      <c r="F729" s="84" t="s">
        <v>30</v>
      </c>
      <c r="G729" s="87">
        <f t="shared" si="194"/>
        <v>0</v>
      </c>
      <c r="H729" s="87">
        <f t="shared" si="194"/>
        <v>0</v>
      </c>
      <c r="I729" s="87">
        <f t="shared" si="194"/>
        <v>0</v>
      </c>
      <c r="J729" s="173"/>
      <c r="K729" s="194"/>
      <c r="L729" s="194"/>
      <c r="M729" s="194"/>
      <c r="N729" s="194"/>
      <c r="O729" s="194"/>
      <c r="P729" s="194"/>
      <c r="Q729" s="194"/>
      <c r="R729" s="194"/>
    </row>
    <row r="730" spans="1:18" s="3" customFormat="1" hidden="1">
      <c r="A730" s="82" t="s">
        <v>31</v>
      </c>
      <c r="B730" s="145">
        <v>774</v>
      </c>
      <c r="C730" s="84" t="s">
        <v>25</v>
      </c>
      <c r="D730" s="84" t="s">
        <v>18</v>
      </c>
      <c r="E730" s="84" t="s">
        <v>213</v>
      </c>
      <c r="F730" s="84" t="s">
        <v>32</v>
      </c>
      <c r="G730" s="87">
        <v>0</v>
      </c>
      <c r="H730" s="87"/>
      <c r="I730" s="87"/>
      <c r="J730" s="173"/>
      <c r="K730" s="194"/>
      <c r="L730" s="194"/>
      <c r="M730" s="194"/>
      <c r="N730" s="194"/>
      <c r="O730" s="194"/>
      <c r="P730" s="194"/>
      <c r="Q730" s="194"/>
      <c r="R730" s="194"/>
    </row>
    <row r="731" spans="1:18" s="3" customFormat="1" ht="54.75" hidden="1" customHeight="1">
      <c r="A731" s="82" t="s">
        <v>712</v>
      </c>
      <c r="B731" s="145">
        <v>774</v>
      </c>
      <c r="C731" s="84" t="s">
        <v>25</v>
      </c>
      <c r="D731" s="84" t="s">
        <v>18</v>
      </c>
      <c r="E731" s="84" t="s">
        <v>700</v>
      </c>
      <c r="F731" s="84"/>
      <c r="G731" s="87">
        <f t="shared" ref="G731:I732" si="195">G732</f>
        <v>0</v>
      </c>
      <c r="H731" s="87">
        <f t="shared" si="195"/>
        <v>0</v>
      </c>
      <c r="I731" s="87">
        <f t="shared" si="195"/>
        <v>0</v>
      </c>
      <c r="J731" s="173"/>
      <c r="K731" s="194"/>
      <c r="L731" s="194"/>
      <c r="M731" s="194"/>
      <c r="N731" s="194"/>
      <c r="O731" s="194"/>
      <c r="P731" s="194"/>
      <c r="Q731" s="194"/>
      <c r="R731" s="194"/>
    </row>
    <row r="732" spans="1:18" s="3" customFormat="1" ht="26.4" hidden="1">
      <c r="A732" s="82" t="s">
        <v>29</v>
      </c>
      <c r="B732" s="145">
        <v>774</v>
      </c>
      <c r="C732" s="84" t="s">
        <v>25</v>
      </c>
      <c r="D732" s="84" t="s">
        <v>18</v>
      </c>
      <c r="E732" s="84" t="s">
        <v>700</v>
      </c>
      <c r="F732" s="84" t="s">
        <v>30</v>
      </c>
      <c r="G732" s="87">
        <f t="shared" si="195"/>
        <v>0</v>
      </c>
      <c r="H732" s="87">
        <f t="shared" si="195"/>
        <v>0</v>
      </c>
      <c r="I732" s="87">
        <f t="shared" si="195"/>
        <v>0</v>
      </c>
      <c r="J732" s="173"/>
      <c r="K732" s="194"/>
      <c r="L732" s="194"/>
      <c r="M732" s="194"/>
      <c r="N732" s="194"/>
      <c r="O732" s="194"/>
      <c r="P732" s="194"/>
      <c r="Q732" s="194"/>
      <c r="R732" s="194"/>
    </row>
    <row r="733" spans="1:18" s="3" customFormat="1" hidden="1">
      <c r="A733" s="82" t="s">
        <v>31</v>
      </c>
      <c r="B733" s="145">
        <v>774</v>
      </c>
      <c r="C733" s="84" t="s">
        <v>25</v>
      </c>
      <c r="D733" s="84" t="s">
        <v>18</v>
      </c>
      <c r="E733" s="84" t="s">
        <v>700</v>
      </c>
      <c r="F733" s="84" t="s">
        <v>32</v>
      </c>
      <c r="G733" s="87"/>
      <c r="H733" s="87"/>
      <c r="I733" s="87"/>
      <c r="J733" s="173"/>
      <c r="K733" s="194"/>
      <c r="L733" s="194"/>
      <c r="M733" s="194"/>
      <c r="N733" s="194"/>
      <c r="O733" s="194"/>
      <c r="P733" s="194"/>
      <c r="Q733" s="194"/>
      <c r="R733" s="194"/>
    </row>
    <row r="734" spans="1:18" s="3" customFormat="1" ht="39.6" hidden="1">
      <c r="A734" s="82" t="s">
        <v>782</v>
      </c>
      <c r="B734" s="145">
        <v>774</v>
      </c>
      <c r="C734" s="84" t="s">
        <v>25</v>
      </c>
      <c r="D734" s="84" t="s">
        <v>18</v>
      </c>
      <c r="E734" s="84" t="s">
        <v>429</v>
      </c>
      <c r="F734" s="84"/>
      <c r="G734" s="87">
        <f>G735</f>
        <v>0</v>
      </c>
      <c r="H734" s="87">
        <f t="shared" ref="H734:I734" si="196">H735</f>
        <v>0</v>
      </c>
      <c r="I734" s="87">
        <f t="shared" si="196"/>
        <v>0</v>
      </c>
      <c r="J734" s="173"/>
      <c r="K734" s="194"/>
      <c r="L734" s="194"/>
      <c r="M734" s="194"/>
      <c r="N734" s="194"/>
      <c r="O734" s="194"/>
      <c r="P734" s="194"/>
      <c r="Q734" s="194"/>
      <c r="R734" s="194"/>
    </row>
    <row r="735" spans="1:18" s="3" customFormat="1" ht="33" hidden="1" customHeight="1">
      <c r="A735" s="82" t="s">
        <v>29</v>
      </c>
      <c r="B735" s="145">
        <v>774</v>
      </c>
      <c r="C735" s="84" t="s">
        <v>25</v>
      </c>
      <c r="D735" s="84" t="s">
        <v>18</v>
      </c>
      <c r="E735" s="84" t="s">
        <v>429</v>
      </c>
      <c r="F735" s="84" t="s">
        <v>30</v>
      </c>
      <c r="G735" s="87">
        <f>G736</f>
        <v>0</v>
      </c>
      <c r="H735" s="87">
        <f t="shared" ref="H735:I735" si="197">H736</f>
        <v>0</v>
      </c>
      <c r="I735" s="87">
        <f t="shared" si="197"/>
        <v>0</v>
      </c>
      <c r="J735" s="173"/>
      <c r="K735" s="194"/>
      <c r="L735" s="194"/>
      <c r="M735" s="194"/>
      <c r="N735" s="194"/>
      <c r="O735" s="194"/>
      <c r="P735" s="194"/>
      <c r="Q735" s="194"/>
      <c r="R735" s="194"/>
    </row>
    <row r="736" spans="1:18" s="3" customFormat="1" hidden="1">
      <c r="A736" s="82" t="s">
        <v>31</v>
      </c>
      <c r="B736" s="145">
        <v>774</v>
      </c>
      <c r="C736" s="84" t="s">
        <v>25</v>
      </c>
      <c r="D736" s="84" t="s">
        <v>18</v>
      </c>
      <c r="E736" s="84" t="s">
        <v>429</v>
      </c>
      <c r="F736" s="84" t="s">
        <v>32</v>
      </c>
      <c r="G736" s="160">
        <v>0</v>
      </c>
      <c r="H736" s="87">
        <v>0</v>
      </c>
      <c r="I736" s="87">
        <v>0</v>
      </c>
      <c r="J736" s="173"/>
      <c r="K736" s="194"/>
      <c r="L736" s="194"/>
      <c r="M736" s="194"/>
      <c r="N736" s="194"/>
      <c r="O736" s="194"/>
      <c r="P736" s="194"/>
      <c r="Q736" s="194"/>
      <c r="R736" s="194"/>
    </row>
    <row r="737" spans="1:18" s="3" customFormat="1" hidden="1">
      <c r="A737" s="82"/>
      <c r="B737" s="145"/>
      <c r="C737" s="84"/>
      <c r="D737" s="84"/>
      <c r="E737" s="84"/>
      <c r="F737" s="84"/>
      <c r="G737" s="87"/>
      <c r="H737" s="87"/>
      <c r="I737" s="87"/>
      <c r="J737" s="173"/>
      <c r="K737" s="194"/>
      <c r="L737" s="194"/>
      <c r="M737" s="194"/>
      <c r="N737" s="194"/>
      <c r="O737" s="194"/>
      <c r="P737" s="194"/>
      <c r="Q737" s="194"/>
      <c r="R737" s="194"/>
    </row>
    <row r="738" spans="1:18" s="3" customFormat="1" ht="33" hidden="1" customHeight="1">
      <c r="A738" s="82"/>
      <c r="B738" s="145"/>
      <c r="C738" s="84"/>
      <c r="D738" s="84"/>
      <c r="E738" s="84"/>
      <c r="F738" s="84"/>
      <c r="G738" s="87"/>
      <c r="H738" s="87"/>
      <c r="I738" s="87"/>
      <c r="J738" s="173"/>
      <c r="K738" s="194"/>
      <c r="L738" s="194"/>
      <c r="M738" s="194"/>
      <c r="N738" s="194"/>
      <c r="O738" s="194"/>
      <c r="P738" s="194"/>
      <c r="Q738" s="194"/>
      <c r="R738" s="194"/>
    </row>
    <row r="739" spans="1:18" s="3" customFormat="1" hidden="1">
      <c r="A739" s="82"/>
      <c r="B739" s="145"/>
      <c r="C739" s="84"/>
      <c r="D739" s="84"/>
      <c r="E739" s="84"/>
      <c r="F739" s="84"/>
      <c r="G739" s="87"/>
      <c r="H739" s="87"/>
      <c r="I739" s="87"/>
      <c r="J739" s="173"/>
      <c r="K739" s="194"/>
      <c r="L739" s="194"/>
      <c r="M739" s="194"/>
      <c r="N739" s="194"/>
      <c r="O739" s="194"/>
      <c r="P739" s="194"/>
      <c r="Q739" s="194"/>
      <c r="R739" s="194"/>
    </row>
    <row r="740" spans="1:18" s="3" customFormat="1" ht="30.75" hidden="1" customHeight="1">
      <c r="A740" s="82" t="s">
        <v>695</v>
      </c>
      <c r="B740" s="145">
        <v>774</v>
      </c>
      <c r="C740" s="84" t="s">
        <v>25</v>
      </c>
      <c r="D740" s="84" t="s">
        <v>18</v>
      </c>
      <c r="E740" s="84" t="s">
        <v>696</v>
      </c>
      <c r="F740" s="84"/>
      <c r="G740" s="87">
        <f>G741</f>
        <v>0</v>
      </c>
      <c r="H740" s="87">
        <f>H742</f>
        <v>0</v>
      </c>
      <c r="I740" s="87">
        <f>I742</f>
        <v>0</v>
      </c>
      <c r="J740" s="173"/>
      <c r="K740" s="194"/>
      <c r="L740" s="194"/>
      <c r="M740" s="194"/>
      <c r="N740" s="194"/>
      <c r="O740" s="194"/>
      <c r="P740" s="194"/>
      <c r="Q740" s="194"/>
      <c r="R740" s="194"/>
    </row>
    <row r="741" spans="1:18" s="3" customFormat="1" ht="29.25" hidden="1" customHeight="1">
      <c r="A741" s="82" t="s">
        <v>29</v>
      </c>
      <c r="B741" s="145">
        <v>774</v>
      </c>
      <c r="C741" s="84" t="s">
        <v>25</v>
      </c>
      <c r="D741" s="84" t="s">
        <v>18</v>
      </c>
      <c r="E741" s="84" t="s">
        <v>696</v>
      </c>
      <c r="F741" s="84" t="s">
        <v>30</v>
      </c>
      <c r="G741" s="87">
        <f>G742</f>
        <v>0</v>
      </c>
      <c r="H741" s="87">
        <v>0</v>
      </c>
      <c r="I741" s="87">
        <v>0</v>
      </c>
      <c r="J741" s="173"/>
      <c r="K741" s="194"/>
      <c r="L741" s="194"/>
      <c r="M741" s="194"/>
      <c r="N741" s="194"/>
      <c r="O741" s="194"/>
      <c r="P741" s="194"/>
      <c r="Q741" s="194"/>
      <c r="R741" s="194"/>
    </row>
    <row r="742" spans="1:18" s="3" customFormat="1" hidden="1">
      <c r="A742" s="82" t="s">
        <v>31</v>
      </c>
      <c r="B742" s="145">
        <v>774</v>
      </c>
      <c r="C742" s="84" t="s">
        <v>25</v>
      </c>
      <c r="D742" s="84" t="s">
        <v>18</v>
      </c>
      <c r="E742" s="84" t="s">
        <v>696</v>
      </c>
      <c r="F742" s="84" t="s">
        <v>32</v>
      </c>
      <c r="G742" s="87">
        <v>0</v>
      </c>
      <c r="H742" s="87">
        <v>0</v>
      </c>
      <c r="I742" s="87">
        <v>0</v>
      </c>
      <c r="J742" s="173"/>
      <c r="K742" s="194"/>
      <c r="L742" s="194"/>
      <c r="M742" s="194"/>
      <c r="N742" s="194"/>
      <c r="O742" s="194"/>
      <c r="P742" s="194"/>
      <c r="Q742" s="194"/>
      <c r="R742" s="194"/>
    </row>
    <row r="743" spans="1:18" s="18" customFormat="1" ht="25.5" hidden="1" customHeight="1">
      <c r="A743" s="132" t="s">
        <v>459</v>
      </c>
      <c r="B743" s="145">
        <v>774</v>
      </c>
      <c r="C743" s="84" t="s">
        <v>25</v>
      </c>
      <c r="D743" s="84" t="s">
        <v>18</v>
      </c>
      <c r="E743" s="84" t="s">
        <v>214</v>
      </c>
      <c r="F743" s="84"/>
      <c r="G743" s="87">
        <f t="shared" ref="G743:I745" si="198">G744</f>
        <v>0</v>
      </c>
      <c r="H743" s="87">
        <f t="shared" si="198"/>
        <v>0</v>
      </c>
      <c r="I743" s="87">
        <f t="shared" si="198"/>
        <v>0</v>
      </c>
      <c r="J743" s="173"/>
      <c r="K743" s="195"/>
      <c r="L743" s="195"/>
      <c r="M743" s="195"/>
      <c r="N743" s="195"/>
      <c r="O743" s="195"/>
      <c r="P743" s="195"/>
      <c r="Q743" s="195"/>
      <c r="R743" s="195"/>
    </row>
    <row r="744" spans="1:18" s="18" customFormat="1" ht="26.4" hidden="1">
      <c r="A744" s="82" t="s">
        <v>96</v>
      </c>
      <c r="B744" s="84" t="s">
        <v>92</v>
      </c>
      <c r="C744" s="84" t="s">
        <v>25</v>
      </c>
      <c r="D744" s="84" t="s">
        <v>18</v>
      </c>
      <c r="E744" s="84" t="s">
        <v>215</v>
      </c>
      <c r="F744" s="84"/>
      <c r="G744" s="87">
        <f t="shared" si="198"/>
        <v>0</v>
      </c>
      <c r="H744" s="87">
        <f t="shared" si="198"/>
        <v>0</v>
      </c>
      <c r="I744" s="87">
        <f t="shared" si="198"/>
        <v>0</v>
      </c>
      <c r="J744" s="173"/>
      <c r="K744" s="195"/>
      <c r="L744" s="195"/>
      <c r="M744" s="195"/>
      <c r="N744" s="195"/>
      <c r="O744" s="195"/>
      <c r="P744" s="195"/>
      <c r="Q744" s="195"/>
      <c r="R744" s="195"/>
    </row>
    <row r="745" spans="1:18" s="18" customFormat="1" ht="30.75" hidden="1" customHeight="1">
      <c r="A745" s="82" t="s">
        <v>29</v>
      </c>
      <c r="B745" s="84" t="s">
        <v>92</v>
      </c>
      <c r="C745" s="84" t="s">
        <v>25</v>
      </c>
      <c r="D745" s="84" t="s">
        <v>18</v>
      </c>
      <c r="E745" s="84" t="s">
        <v>215</v>
      </c>
      <c r="F745" s="84" t="s">
        <v>30</v>
      </c>
      <c r="G745" s="87">
        <f t="shared" si="198"/>
        <v>0</v>
      </c>
      <c r="H745" s="87">
        <f t="shared" si="198"/>
        <v>0</v>
      </c>
      <c r="I745" s="87">
        <f t="shared" si="198"/>
        <v>0</v>
      </c>
      <c r="J745" s="173"/>
      <c r="K745" s="195"/>
      <c r="L745" s="195"/>
      <c r="M745" s="195"/>
      <c r="N745" s="195"/>
      <c r="O745" s="195"/>
      <c r="P745" s="195"/>
      <c r="Q745" s="195"/>
      <c r="R745" s="195"/>
    </row>
    <row r="746" spans="1:18" s="18" customFormat="1" hidden="1">
      <c r="A746" s="82" t="s">
        <v>31</v>
      </c>
      <c r="B746" s="84" t="s">
        <v>92</v>
      </c>
      <c r="C746" s="84" t="s">
        <v>25</v>
      </c>
      <c r="D746" s="84" t="s">
        <v>18</v>
      </c>
      <c r="E746" s="84" t="s">
        <v>215</v>
      </c>
      <c r="F746" s="84" t="s">
        <v>32</v>
      </c>
      <c r="G746" s="87"/>
      <c r="H746" s="87"/>
      <c r="I746" s="87"/>
      <c r="J746" s="173"/>
      <c r="K746" s="195"/>
      <c r="L746" s="195"/>
      <c r="M746" s="195"/>
      <c r="N746" s="195"/>
      <c r="O746" s="195"/>
      <c r="P746" s="195"/>
      <c r="Q746" s="195"/>
      <c r="R746" s="195"/>
    </row>
    <row r="747" spans="1:18" s="18" customFormat="1" ht="26.4" hidden="1">
      <c r="A747" s="82" t="s">
        <v>163</v>
      </c>
      <c r="B747" s="84" t="s">
        <v>92</v>
      </c>
      <c r="C747" s="84" t="s">
        <v>25</v>
      </c>
      <c r="D747" s="84" t="s">
        <v>18</v>
      </c>
      <c r="E747" s="84" t="s">
        <v>228</v>
      </c>
      <c r="F747" s="84"/>
      <c r="G747" s="87">
        <f>G748</f>
        <v>0</v>
      </c>
      <c r="H747" s="87">
        <v>0</v>
      </c>
      <c r="I747" s="87">
        <v>0</v>
      </c>
      <c r="J747" s="173"/>
      <c r="K747" s="195"/>
      <c r="L747" s="195"/>
      <c r="M747" s="195"/>
      <c r="N747" s="195"/>
      <c r="O747" s="195"/>
      <c r="P747" s="195"/>
      <c r="Q747" s="195"/>
      <c r="R747" s="195"/>
    </row>
    <row r="748" spans="1:18" s="18" customFormat="1" ht="47.25" hidden="1" customHeight="1">
      <c r="A748" s="82" t="s">
        <v>163</v>
      </c>
      <c r="B748" s="84" t="s">
        <v>92</v>
      </c>
      <c r="C748" s="84" t="s">
        <v>25</v>
      </c>
      <c r="D748" s="84" t="s">
        <v>18</v>
      </c>
      <c r="E748" s="84" t="s">
        <v>270</v>
      </c>
      <c r="F748" s="84"/>
      <c r="G748" s="87">
        <f>G749</f>
        <v>0</v>
      </c>
      <c r="H748" s="87">
        <f t="shared" ref="H748:I749" si="199">H749</f>
        <v>0</v>
      </c>
      <c r="I748" s="87">
        <f t="shared" si="199"/>
        <v>0</v>
      </c>
      <c r="J748" s="173"/>
      <c r="K748" s="195"/>
      <c r="L748" s="195"/>
      <c r="M748" s="195"/>
      <c r="N748" s="195"/>
      <c r="O748" s="195"/>
      <c r="P748" s="195"/>
      <c r="Q748" s="195"/>
      <c r="R748" s="195"/>
    </row>
    <row r="749" spans="1:18" s="18" customFormat="1" ht="26.4" hidden="1">
      <c r="A749" s="82" t="s">
        <v>29</v>
      </c>
      <c r="B749" s="84" t="s">
        <v>92</v>
      </c>
      <c r="C749" s="84" t="s">
        <v>25</v>
      </c>
      <c r="D749" s="84" t="s">
        <v>18</v>
      </c>
      <c r="E749" s="84" t="s">
        <v>270</v>
      </c>
      <c r="F749" s="84" t="s">
        <v>30</v>
      </c>
      <c r="G749" s="87">
        <f>G750</f>
        <v>0</v>
      </c>
      <c r="H749" s="87">
        <f t="shared" si="199"/>
        <v>0</v>
      </c>
      <c r="I749" s="87">
        <f t="shared" si="199"/>
        <v>0</v>
      </c>
      <c r="J749" s="173"/>
      <c r="K749" s="195"/>
      <c r="L749" s="195"/>
      <c r="M749" s="195"/>
      <c r="N749" s="195"/>
      <c r="O749" s="195"/>
      <c r="P749" s="195"/>
      <c r="Q749" s="195"/>
      <c r="R749" s="195"/>
    </row>
    <row r="750" spans="1:18" s="18" customFormat="1" hidden="1">
      <c r="A750" s="82" t="s">
        <v>31</v>
      </c>
      <c r="B750" s="84" t="s">
        <v>92</v>
      </c>
      <c r="C750" s="84" t="s">
        <v>25</v>
      </c>
      <c r="D750" s="84" t="s">
        <v>18</v>
      </c>
      <c r="E750" s="84" t="s">
        <v>270</v>
      </c>
      <c r="F750" s="84" t="s">
        <v>32</v>
      </c>
      <c r="G750" s="87"/>
      <c r="H750" s="87">
        <v>0</v>
      </c>
      <c r="I750" s="87">
        <v>0</v>
      </c>
      <c r="J750" s="173"/>
      <c r="K750" s="195"/>
      <c r="L750" s="195"/>
      <c r="M750" s="195"/>
      <c r="N750" s="195"/>
      <c r="O750" s="195"/>
      <c r="P750" s="195"/>
      <c r="Q750" s="195"/>
      <c r="R750" s="195"/>
    </row>
    <row r="751" spans="1:18" s="3" customFormat="1" ht="25.5" customHeight="1">
      <c r="A751" s="16" t="s">
        <v>951</v>
      </c>
      <c r="B751" s="14">
        <v>774</v>
      </c>
      <c r="C751" s="15" t="s">
        <v>25</v>
      </c>
      <c r="D751" s="15" t="s">
        <v>18</v>
      </c>
      <c r="E751" s="15" t="s">
        <v>213</v>
      </c>
      <c r="F751" s="84"/>
      <c r="G751" s="87">
        <f t="shared" ref="G751:I752" si="200">G752</f>
        <v>245477.98</v>
      </c>
      <c r="H751" s="87">
        <f t="shared" si="200"/>
        <v>0</v>
      </c>
      <c r="I751" s="87">
        <f t="shared" si="200"/>
        <v>0</v>
      </c>
      <c r="J751" s="173"/>
      <c r="K751" s="194"/>
      <c r="L751" s="194"/>
      <c r="M751" s="194"/>
      <c r="N751" s="194"/>
      <c r="O751" s="194"/>
      <c r="P751" s="194"/>
      <c r="Q751" s="194"/>
      <c r="R751" s="194"/>
    </row>
    <row r="752" spans="1:18" s="3" customFormat="1" ht="26.4">
      <c r="A752" s="16" t="s">
        <v>29</v>
      </c>
      <c r="B752" s="14">
        <v>774</v>
      </c>
      <c r="C752" s="15" t="s">
        <v>25</v>
      </c>
      <c r="D752" s="15" t="s">
        <v>18</v>
      </c>
      <c r="E752" s="15" t="s">
        <v>213</v>
      </c>
      <c r="F752" s="84" t="s">
        <v>30</v>
      </c>
      <c r="G752" s="87">
        <f t="shared" si="200"/>
        <v>245477.98</v>
      </c>
      <c r="H752" s="87">
        <f t="shared" si="200"/>
        <v>0</v>
      </c>
      <c r="I752" s="87">
        <f t="shared" si="200"/>
        <v>0</v>
      </c>
      <c r="J752" s="173"/>
      <c r="K752" s="194"/>
      <c r="L752" s="194"/>
      <c r="M752" s="194"/>
      <c r="N752" s="194"/>
      <c r="O752" s="194"/>
      <c r="P752" s="194"/>
      <c r="Q752" s="194"/>
      <c r="R752" s="194"/>
    </row>
    <row r="753" spans="1:18" s="3" customFormat="1">
      <c r="A753" s="16" t="s">
        <v>31</v>
      </c>
      <c r="B753" s="14">
        <v>774</v>
      </c>
      <c r="C753" s="15" t="s">
        <v>25</v>
      </c>
      <c r="D753" s="15" t="s">
        <v>18</v>
      </c>
      <c r="E753" s="15" t="s">
        <v>213</v>
      </c>
      <c r="F753" s="84" t="s">
        <v>32</v>
      </c>
      <c r="G753" s="70">
        <v>245477.98</v>
      </c>
      <c r="H753" s="87">
        <v>0</v>
      </c>
      <c r="I753" s="87">
        <v>0</v>
      </c>
      <c r="J753" s="173"/>
      <c r="K753" s="194"/>
      <c r="L753" s="194"/>
      <c r="M753" s="194"/>
      <c r="N753" s="194"/>
      <c r="O753" s="194"/>
      <c r="P753" s="194"/>
      <c r="Q753" s="194"/>
      <c r="R753" s="194"/>
    </row>
    <row r="754" spans="1:18" s="3" customFormat="1" ht="25.5" customHeight="1">
      <c r="A754" s="82" t="s">
        <v>845</v>
      </c>
      <c r="B754" s="145">
        <v>774</v>
      </c>
      <c r="C754" s="84" t="s">
        <v>25</v>
      </c>
      <c r="D754" s="84" t="s">
        <v>18</v>
      </c>
      <c r="E754" s="84" t="s">
        <v>844</v>
      </c>
      <c r="F754" s="84"/>
      <c r="G754" s="87">
        <f t="shared" ref="G754:I755" si="201">G755</f>
        <v>0</v>
      </c>
      <c r="H754" s="87">
        <f t="shared" si="201"/>
        <v>250000</v>
      </c>
      <c r="I754" s="87">
        <f t="shared" si="201"/>
        <v>250000</v>
      </c>
      <c r="J754" s="173"/>
      <c r="K754" s="194"/>
      <c r="L754" s="194"/>
      <c r="M754" s="194"/>
      <c r="N754" s="194"/>
      <c r="O754" s="194"/>
      <c r="P754" s="194"/>
      <c r="Q754" s="194"/>
      <c r="R754" s="194"/>
    </row>
    <row r="755" spans="1:18" s="3" customFormat="1" ht="26.4">
      <c r="A755" s="82" t="s">
        <v>29</v>
      </c>
      <c r="B755" s="145">
        <v>774</v>
      </c>
      <c r="C755" s="84" t="s">
        <v>25</v>
      </c>
      <c r="D755" s="84" t="s">
        <v>18</v>
      </c>
      <c r="E755" s="84" t="s">
        <v>844</v>
      </c>
      <c r="F755" s="84" t="s">
        <v>30</v>
      </c>
      <c r="G755" s="87">
        <f t="shared" si="201"/>
        <v>0</v>
      </c>
      <c r="H755" s="87">
        <f t="shared" si="201"/>
        <v>250000</v>
      </c>
      <c r="I755" s="87">
        <f t="shared" si="201"/>
        <v>250000</v>
      </c>
      <c r="J755" s="173"/>
      <c r="K755" s="194"/>
      <c r="L755" s="194"/>
      <c r="M755" s="194"/>
      <c r="N755" s="194"/>
      <c r="O755" s="194"/>
      <c r="P755" s="194"/>
      <c r="Q755" s="194"/>
      <c r="R755" s="194"/>
    </row>
    <row r="756" spans="1:18" s="3" customFormat="1">
      <c r="A756" s="82" t="s">
        <v>31</v>
      </c>
      <c r="B756" s="145">
        <v>774</v>
      </c>
      <c r="C756" s="84" t="s">
        <v>25</v>
      </c>
      <c r="D756" s="84" t="s">
        <v>18</v>
      </c>
      <c r="E756" s="84" t="s">
        <v>844</v>
      </c>
      <c r="F756" s="84" t="s">
        <v>32</v>
      </c>
      <c r="G756" s="70">
        <f>250000-250000</f>
        <v>0</v>
      </c>
      <c r="H756" s="87">
        <v>250000</v>
      </c>
      <c r="I756" s="87">
        <v>250000</v>
      </c>
      <c r="J756" s="173"/>
      <c r="K756" s="194"/>
      <c r="L756" s="194"/>
      <c r="M756" s="194"/>
      <c r="N756" s="194"/>
      <c r="O756" s="194"/>
      <c r="P756" s="194"/>
      <c r="Q756" s="194"/>
      <c r="R756" s="194"/>
    </row>
    <row r="757" spans="1:18" s="3" customFormat="1" ht="26.4" hidden="1">
      <c r="A757" s="82" t="s">
        <v>1066</v>
      </c>
      <c r="B757" s="145">
        <v>774</v>
      </c>
      <c r="C757" s="84" t="s">
        <v>25</v>
      </c>
      <c r="D757" s="84" t="s">
        <v>18</v>
      </c>
      <c r="E757" s="84" t="s">
        <v>1067</v>
      </c>
      <c r="F757" s="84"/>
      <c r="G757" s="87">
        <f t="shared" ref="G757:I785" si="202">G758</f>
        <v>0</v>
      </c>
      <c r="H757" s="87">
        <f t="shared" si="202"/>
        <v>0</v>
      </c>
      <c r="I757" s="87">
        <f t="shared" si="202"/>
        <v>0</v>
      </c>
      <c r="J757" s="173"/>
      <c r="K757" s="194"/>
      <c r="L757" s="194"/>
      <c r="M757" s="194"/>
      <c r="N757" s="194"/>
      <c r="O757" s="194"/>
      <c r="P757" s="194"/>
      <c r="Q757" s="194"/>
      <c r="R757" s="194"/>
    </row>
    <row r="758" spans="1:18" s="3" customFormat="1" ht="26.4" hidden="1">
      <c r="A758" s="82" t="s">
        <v>29</v>
      </c>
      <c r="B758" s="145">
        <v>774</v>
      </c>
      <c r="C758" s="84" t="s">
        <v>25</v>
      </c>
      <c r="D758" s="84" t="s">
        <v>18</v>
      </c>
      <c r="E758" s="84" t="s">
        <v>1067</v>
      </c>
      <c r="F758" s="84" t="s">
        <v>30</v>
      </c>
      <c r="G758" s="87">
        <f t="shared" si="202"/>
        <v>0</v>
      </c>
      <c r="H758" s="87">
        <f t="shared" si="202"/>
        <v>0</v>
      </c>
      <c r="I758" s="87">
        <f t="shared" si="202"/>
        <v>0</v>
      </c>
      <c r="J758" s="173"/>
      <c r="K758" s="194"/>
      <c r="L758" s="194"/>
      <c r="M758" s="194"/>
      <c r="N758" s="194"/>
      <c r="O758" s="194"/>
      <c r="P758" s="194"/>
      <c r="Q758" s="194"/>
      <c r="R758" s="194"/>
    </row>
    <row r="759" spans="1:18" s="3" customFormat="1" hidden="1">
      <c r="A759" s="82" t="s">
        <v>31</v>
      </c>
      <c r="B759" s="145">
        <v>774</v>
      </c>
      <c r="C759" s="84" t="s">
        <v>25</v>
      </c>
      <c r="D759" s="84" t="s">
        <v>18</v>
      </c>
      <c r="E759" s="84" t="s">
        <v>1067</v>
      </c>
      <c r="F759" s="84" t="s">
        <v>32</v>
      </c>
      <c r="G759" s="87"/>
      <c r="H759" s="87">
        <v>0</v>
      </c>
      <c r="I759" s="87">
        <v>0</v>
      </c>
      <c r="J759" s="173"/>
      <c r="K759" s="194"/>
      <c r="L759" s="194"/>
      <c r="M759" s="194"/>
      <c r="N759" s="194"/>
      <c r="O759" s="194"/>
      <c r="P759" s="194"/>
      <c r="Q759" s="194"/>
      <c r="R759" s="194"/>
    </row>
    <row r="760" spans="1:18" s="3" customFormat="1" ht="26.4">
      <c r="A760" s="82" t="s">
        <v>1518</v>
      </c>
      <c r="B760" s="145">
        <v>774</v>
      </c>
      <c r="C760" s="84" t="s">
        <v>25</v>
      </c>
      <c r="D760" s="84" t="s">
        <v>18</v>
      </c>
      <c r="E760" s="84" t="s">
        <v>1517</v>
      </c>
      <c r="F760" s="84"/>
      <c r="G760" s="70">
        <f t="shared" ref="G760:I761" si="203">G761</f>
        <v>77000</v>
      </c>
      <c r="H760" s="87">
        <f t="shared" si="203"/>
        <v>0</v>
      </c>
      <c r="I760" s="87">
        <f t="shared" si="203"/>
        <v>0</v>
      </c>
      <c r="J760" s="173"/>
      <c r="K760" s="194"/>
      <c r="L760" s="194"/>
      <c r="M760" s="194"/>
      <c r="N760" s="194"/>
      <c r="O760" s="194"/>
      <c r="P760" s="194"/>
      <c r="Q760" s="194"/>
      <c r="R760" s="194"/>
    </row>
    <row r="761" spans="1:18" s="3" customFormat="1" ht="26.4">
      <c r="A761" s="82" t="s">
        <v>29</v>
      </c>
      <c r="B761" s="145">
        <v>774</v>
      </c>
      <c r="C761" s="84" t="s">
        <v>25</v>
      </c>
      <c r="D761" s="84" t="s">
        <v>18</v>
      </c>
      <c r="E761" s="84" t="s">
        <v>1517</v>
      </c>
      <c r="F761" s="84" t="s">
        <v>30</v>
      </c>
      <c r="G761" s="70">
        <f t="shared" si="203"/>
        <v>77000</v>
      </c>
      <c r="H761" s="87">
        <f t="shared" si="203"/>
        <v>0</v>
      </c>
      <c r="I761" s="87">
        <f t="shared" si="203"/>
        <v>0</v>
      </c>
      <c r="J761" s="173"/>
      <c r="K761" s="194"/>
      <c r="L761" s="194"/>
      <c r="M761" s="194"/>
      <c r="N761" s="194"/>
      <c r="O761" s="194"/>
      <c r="P761" s="194"/>
      <c r="Q761" s="194"/>
      <c r="R761" s="194"/>
    </row>
    <row r="762" spans="1:18" s="3" customFormat="1">
      <c r="A762" s="82" t="s">
        <v>31</v>
      </c>
      <c r="B762" s="145">
        <v>774</v>
      </c>
      <c r="C762" s="84" t="s">
        <v>25</v>
      </c>
      <c r="D762" s="84" t="s">
        <v>18</v>
      </c>
      <c r="E762" s="84" t="s">
        <v>1517</v>
      </c>
      <c r="F762" s="84" t="s">
        <v>32</v>
      </c>
      <c r="G762" s="70">
        <v>77000</v>
      </c>
      <c r="H762" s="87"/>
      <c r="I762" s="87"/>
      <c r="J762" s="173"/>
      <c r="K762" s="194"/>
      <c r="L762" s="194"/>
      <c r="M762" s="194"/>
      <c r="N762" s="194"/>
      <c r="O762" s="194"/>
      <c r="P762" s="194"/>
      <c r="Q762" s="194"/>
      <c r="R762" s="194"/>
    </row>
    <row r="763" spans="1:18" s="3" customFormat="1" ht="25.5" customHeight="1">
      <c r="A763" s="82" t="s">
        <v>1283</v>
      </c>
      <c r="B763" s="145">
        <v>774</v>
      </c>
      <c r="C763" s="84" t="s">
        <v>25</v>
      </c>
      <c r="D763" s="84" t="s">
        <v>18</v>
      </c>
      <c r="E763" s="84" t="s">
        <v>1282</v>
      </c>
      <c r="F763" s="84"/>
      <c r="G763" s="87">
        <f t="shared" ref="G763:I764" si="204">G764</f>
        <v>1106622.68</v>
      </c>
      <c r="H763" s="87">
        <f t="shared" si="204"/>
        <v>0</v>
      </c>
      <c r="I763" s="87">
        <f t="shared" si="204"/>
        <v>0</v>
      </c>
      <c r="J763" s="173"/>
      <c r="K763" s="194"/>
      <c r="L763" s="194"/>
      <c r="M763" s="194"/>
      <c r="N763" s="194"/>
      <c r="O763" s="194"/>
      <c r="P763" s="194"/>
      <c r="Q763" s="194"/>
      <c r="R763" s="194"/>
    </row>
    <row r="764" spans="1:18" s="3" customFormat="1" ht="26.4">
      <c r="A764" s="82" t="s">
        <v>29</v>
      </c>
      <c r="B764" s="145">
        <v>774</v>
      </c>
      <c r="C764" s="84" t="s">
        <v>25</v>
      </c>
      <c r="D764" s="84" t="s">
        <v>18</v>
      </c>
      <c r="E764" s="84" t="s">
        <v>1282</v>
      </c>
      <c r="F764" s="84" t="s">
        <v>30</v>
      </c>
      <c r="G764" s="87">
        <f t="shared" si="204"/>
        <v>1106622.68</v>
      </c>
      <c r="H764" s="87">
        <f t="shared" si="204"/>
        <v>0</v>
      </c>
      <c r="I764" s="87">
        <f t="shared" si="204"/>
        <v>0</v>
      </c>
      <c r="J764" s="173"/>
      <c r="K764" s="194"/>
      <c r="L764" s="194"/>
      <c r="M764" s="194"/>
      <c r="N764" s="194"/>
      <c r="O764" s="194"/>
      <c r="P764" s="194"/>
      <c r="Q764" s="194"/>
      <c r="R764" s="194"/>
    </row>
    <row r="765" spans="1:18" s="3" customFormat="1">
      <c r="A765" s="82" t="s">
        <v>31</v>
      </c>
      <c r="B765" s="145">
        <v>774</v>
      </c>
      <c r="C765" s="84" t="s">
        <v>25</v>
      </c>
      <c r="D765" s="84" t="s">
        <v>18</v>
      </c>
      <c r="E765" s="84" t="s">
        <v>1282</v>
      </c>
      <c r="F765" s="84" t="s">
        <v>32</v>
      </c>
      <c r="G765" s="70">
        <v>1106622.68</v>
      </c>
      <c r="H765" s="87">
        <v>0</v>
      </c>
      <c r="I765" s="87">
        <v>0</v>
      </c>
      <c r="J765" s="173"/>
      <c r="K765" s="194"/>
      <c r="L765" s="194"/>
      <c r="M765" s="194"/>
      <c r="N765" s="194"/>
      <c r="O765" s="194"/>
      <c r="P765" s="194"/>
      <c r="Q765" s="194"/>
      <c r="R765" s="194"/>
    </row>
    <row r="766" spans="1:18" ht="85.5" customHeight="1">
      <c r="A766" s="104" t="s">
        <v>1490</v>
      </c>
      <c r="B766" s="145">
        <v>774</v>
      </c>
      <c r="C766" s="84" t="s">
        <v>25</v>
      </c>
      <c r="D766" s="84" t="s">
        <v>18</v>
      </c>
      <c r="E766" s="84" t="s">
        <v>1489</v>
      </c>
      <c r="F766" s="15"/>
      <c r="G766" s="8">
        <f>G767</f>
        <v>70327</v>
      </c>
      <c r="H766" s="85">
        <f t="shared" ref="H766:I767" si="205">H767</f>
        <v>0</v>
      </c>
      <c r="I766" s="85">
        <f t="shared" si="205"/>
        <v>0</v>
      </c>
      <c r="J766" s="173"/>
    </row>
    <row r="767" spans="1:18" ht="39.75" customHeight="1">
      <c r="A767" s="82" t="s">
        <v>29</v>
      </c>
      <c r="B767" s="145">
        <v>774</v>
      </c>
      <c r="C767" s="84" t="s">
        <v>25</v>
      </c>
      <c r="D767" s="84" t="s">
        <v>18</v>
      </c>
      <c r="E767" s="84" t="s">
        <v>1489</v>
      </c>
      <c r="F767" s="15" t="s">
        <v>30</v>
      </c>
      <c r="G767" s="8">
        <f>G768</f>
        <v>70327</v>
      </c>
      <c r="H767" s="85">
        <f t="shared" si="205"/>
        <v>0</v>
      </c>
      <c r="I767" s="85">
        <f t="shared" si="205"/>
        <v>0</v>
      </c>
      <c r="J767" s="173"/>
    </row>
    <row r="768" spans="1:18" ht="19.5" customHeight="1">
      <c r="A768" s="130" t="s">
        <v>31</v>
      </c>
      <c r="B768" s="145">
        <v>774</v>
      </c>
      <c r="C768" s="84" t="s">
        <v>25</v>
      </c>
      <c r="D768" s="84" t="s">
        <v>18</v>
      </c>
      <c r="E768" s="84" t="s">
        <v>1489</v>
      </c>
      <c r="F768" s="15" t="s">
        <v>32</v>
      </c>
      <c r="G768" s="8">
        <v>70327</v>
      </c>
      <c r="H768" s="87"/>
      <c r="I768" s="87"/>
      <c r="J768" s="173"/>
    </row>
    <row r="769" spans="1:18" s="3" customFormat="1" ht="107.4" customHeight="1">
      <c r="A769" s="130" t="s">
        <v>1535</v>
      </c>
      <c r="B769" s="145">
        <v>774</v>
      </c>
      <c r="C769" s="84" t="s">
        <v>25</v>
      </c>
      <c r="D769" s="84" t="s">
        <v>18</v>
      </c>
      <c r="E769" s="84" t="s">
        <v>1227</v>
      </c>
      <c r="F769" s="84"/>
      <c r="G769" s="87">
        <f t="shared" si="202"/>
        <v>670000</v>
      </c>
      <c r="H769" s="87">
        <f t="shared" si="202"/>
        <v>0</v>
      </c>
      <c r="I769" s="87">
        <f t="shared" si="202"/>
        <v>0</v>
      </c>
      <c r="J769" s="173"/>
      <c r="K769" s="194"/>
      <c r="L769" s="194"/>
      <c r="M769" s="194"/>
      <c r="N769" s="194"/>
      <c r="O769" s="194"/>
      <c r="P769" s="194"/>
      <c r="Q769" s="194"/>
      <c r="R769" s="194"/>
    </row>
    <row r="770" spans="1:18" s="3" customFormat="1" ht="26.4">
      <c r="A770" s="82" t="s">
        <v>29</v>
      </c>
      <c r="B770" s="145">
        <v>774</v>
      </c>
      <c r="C770" s="84" t="s">
        <v>25</v>
      </c>
      <c r="D770" s="84" t="s">
        <v>18</v>
      </c>
      <c r="E770" s="84" t="s">
        <v>1227</v>
      </c>
      <c r="F770" s="84" t="s">
        <v>30</v>
      </c>
      <c r="G770" s="87">
        <f t="shared" si="202"/>
        <v>670000</v>
      </c>
      <c r="H770" s="87">
        <f t="shared" si="202"/>
        <v>0</v>
      </c>
      <c r="I770" s="87">
        <f t="shared" si="202"/>
        <v>0</v>
      </c>
      <c r="J770" s="173"/>
      <c r="K770" s="194"/>
      <c r="L770" s="194"/>
      <c r="M770" s="194"/>
      <c r="N770" s="194"/>
      <c r="O770" s="194"/>
      <c r="P770" s="194"/>
      <c r="Q770" s="194"/>
      <c r="R770" s="194"/>
    </row>
    <row r="771" spans="1:18" s="3" customFormat="1" ht="22.95" customHeight="1">
      <c r="A771" s="82" t="s">
        <v>31</v>
      </c>
      <c r="B771" s="145">
        <v>774</v>
      </c>
      <c r="C771" s="84" t="s">
        <v>25</v>
      </c>
      <c r="D771" s="84" t="s">
        <v>18</v>
      </c>
      <c r="E771" s="84" t="s">
        <v>1227</v>
      </c>
      <c r="F771" s="84" t="s">
        <v>32</v>
      </c>
      <c r="G771" s="87">
        <v>670000</v>
      </c>
      <c r="H771" s="87">
        <v>0</v>
      </c>
      <c r="I771" s="87">
        <v>0</v>
      </c>
      <c r="J771" s="173"/>
      <c r="K771" s="194"/>
      <c r="L771" s="194"/>
      <c r="M771" s="194"/>
      <c r="N771" s="194"/>
      <c r="O771" s="194"/>
      <c r="P771" s="194"/>
      <c r="Q771" s="194"/>
      <c r="R771" s="194"/>
    </row>
    <row r="772" spans="1:18" s="3" customFormat="1" ht="116.25" customHeight="1">
      <c r="A772" s="130" t="s">
        <v>1536</v>
      </c>
      <c r="B772" s="145">
        <v>774</v>
      </c>
      <c r="C772" s="84" t="s">
        <v>25</v>
      </c>
      <c r="D772" s="84" t="s">
        <v>18</v>
      </c>
      <c r="E772" s="84" t="s">
        <v>1228</v>
      </c>
      <c r="F772" s="84"/>
      <c r="G772" s="87">
        <f t="shared" si="202"/>
        <v>250000</v>
      </c>
      <c r="H772" s="87">
        <f t="shared" si="202"/>
        <v>0</v>
      </c>
      <c r="I772" s="87">
        <f t="shared" si="202"/>
        <v>0</v>
      </c>
      <c r="J772" s="173"/>
      <c r="K772" s="194"/>
      <c r="L772" s="194"/>
      <c r="M772" s="194"/>
      <c r="N772" s="194"/>
      <c r="O772" s="194"/>
      <c r="P772" s="194"/>
      <c r="Q772" s="194"/>
      <c r="R772" s="194"/>
    </row>
    <row r="773" spans="1:18" s="3" customFormat="1" ht="26.4">
      <c r="A773" s="82" t="s">
        <v>29</v>
      </c>
      <c r="B773" s="145">
        <v>774</v>
      </c>
      <c r="C773" s="84" t="s">
        <v>25</v>
      </c>
      <c r="D773" s="84" t="s">
        <v>18</v>
      </c>
      <c r="E773" s="84" t="s">
        <v>1228</v>
      </c>
      <c r="F773" s="84" t="s">
        <v>30</v>
      </c>
      <c r="G773" s="87">
        <f t="shared" si="202"/>
        <v>250000</v>
      </c>
      <c r="H773" s="87">
        <f t="shared" si="202"/>
        <v>0</v>
      </c>
      <c r="I773" s="87">
        <f t="shared" si="202"/>
        <v>0</v>
      </c>
      <c r="J773" s="173"/>
      <c r="K773" s="194"/>
      <c r="L773" s="194"/>
      <c r="M773" s="194"/>
      <c r="N773" s="194"/>
      <c r="O773" s="194"/>
      <c r="P773" s="194"/>
      <c r="Q773" s="194"/>
      <c r="R773" s="194"/>
    </row>
    <row r="774" spans="1:18" s="3" customFormat="1">
      <c r="A774" s="82" t="s">
        <v>31</v>
      </c>
      <c r="B774" s="145">
        <v>774</v>
      </c>
      <c r="C774" s="84" t="s">
        <v>25</v>
      </c>
      <c r="D774" s="84" t="s">
        <v>18</v>
      </c>
      <c r="E774" s="84" t="s">
        <v>1228</v>
      </c>
      <c r="F774" s="84" t="s">
        <v>32</v>
      </c>
      <c r="G774" s="87">
        <v>250000</v>
      </c>
      <c r="H774" s="87">
        <v>0</v>
      </c>
      <c r="I774" s="87">
        <v>0</v>
      </c>
      <c r="J774" s="173"/>
      <c r="K774" s="194"/>
      <c r="L774" s="194"/>
      <c r="M774" s="194"/>
      <c r="N774" s="194"/>
      <c r="O774" s="194"/>
      <c r="P774" s="194"/>
      <c r="Q774" s="194"/>
      <c r="R774" s="194"/>
    </row>
    <row r="775" spans="1:18" s="3" customFormat="1" ht="105.6" hidden="1">
      <c r="A775" s="82" t="s">
        <v>1230</v>
      </c>
      <c r="B775" s="145">
        <v>774</v>
      </c>
      <c r="C775" s="84" t="s">
        <v>25</v>
      </c>
      <c r="D775" s="84" t="s">
        <v>18</v>
      </c>
      <c r="E775" s="84" t="s">
        <v>1229</v>
      </c>
      <c r="F775" s="84"/>
      <c r="G775" s="87">
        <f t="shared" si="202"/>
        <v>0</v>
      </c>
      <c r="H775" s="87">
        <f t="shared" si="202"/>
        <v>0</v>
      </c>
      <c r="I775" s="87">
        <f t="shared" si="202"/>
        <v>0</v>
      </c>
      <c r="J775" s="173"/>
      <c r="K775" s="194"/>
      <c r="L775" s="194"/>
      <c r="M775" s="194"/>
      <c r="N775" s="194"/>
      <c r="O775" s="194"/>
      <c r="P775" s="194"/>
      <c r="Q775" s="194"/>
      <c r="R775" s="194"/>
    </row>
    <row r="776" spans="1:18" s="3" customFormat="1" ht="26.4" hidden="1">
      <c r="A776" s="82" t="s">
        <v>29</v>
      </c>
      <c r="B776" s="145">
        <v>774</v>
      </c>
      <c r="C776" s="84" t="s">
        <v>25</v>
      </c>
      <c r="D776" s="84" t="s">
        <v>18</v>
      </c>
      <c r="E776" s="84" t="s">
        <v>1229</v>
      </c>
      <c r="F776" s="84" t="s">
        <v>30</v>
      </c>
      <c r="G776" s="87">
        <f t="shared" si="202"/>
        <v>0</v>
      </c>
      <c r="H776" s="87">
        <f t="shared" si="202"/>
        <v>0</v>
      </c>
      <c r="I776" s="87">
        <f t="shared" si="202"/>
        <v>0</v>
      </c>
      <c r="J776" s="173"/>
      <c r="K776" s="194"/>
      <c r="L776" s="194"/>
      <c r="M776" s="194"/>
      <c r="N776" s="194"/>
      <c r="O776" s="194"/>
      <c r="P776" s="194"/>
      <c r="Q776" s="194"/>
      <c r="R776" s="194"/>
    </row>
    <row r="777" spans="1:18" s="3" customFormat="1" hidden="1">
      <c r="A777" s="82" t="s">
        <v>31</v>
      </c>
      <c r="B777" s="145">
        <v>774</v>
      </c>
      <c r="C777" s="84" t="s">
        <v>25</v>
      </c>
      <c r="D777" s="84" t="s">
        <v>18</v>
      </c>
      <c r="E777" s="84" t="s">
        <v>1229</v>
      </c>
      <c r="F777" s="84" t="s">
        <v>32</v>
      </c>
      <c r="G777" s="87">
        <f>114000-114000</f>
        <v>0</v>
      </c>
      <c r="H777" s="87">
        <v>0</v>
      </c>
      <c r="I777" s="87">
        <v>0</v>
      </c>
      <c r="J777" s="173"/>
      <c r="K777" s="194"/>
      <c r="L777" s="194"/>
      <c r="M777" s="194"/>
      <c r="N777" s="194"/>
      <c r="O777" s="194"/>
      <c r="P777" s="194"/>
      <c r="Q777" s="194"/>
      <c r="R777" s="194"/>
    </row>
    <row r="778" spans="1:18" s="3" customFormat="1" ht="105.75" customHeight="1">
      <c r="A778" s="130" t="s">
        <v>1537</v>
      </c>
      <c r="B778" s="145">
        <v>774</v>
      </c>
      <c r="C778" s="84" t="s">
        <v>25</v>
      </c>
      <c r="D778" s="84" t="s">
        <v>18</v>
      </c>
      <c r="E778" s="84" t="s">
        <v>1231</v>
      </c>
      <c r="F778" s="84"/>
      <c r="G778" s="87">
        <f t="shared" si="202"/>
        <v>42000</v>
      </c>
      <c r="H778" s="87">
        <f t="shared" si="202"/>
        <v>0</v>
      </c>
      <c r="I778" s="87">
        <f t="shared" si="202"/>
        <v>0</v>
      </c>
      <c r="J778" s="173"/>
      <c r="K778" s="194"/>
      <c r="L778" s="194"/>
      <c r="M778" s="194"/>
      <c r="N778" s="194"/>
      <c r="O778" s="194"/>
      <c r="P778" s="194"/>
      <c r="Q778" s="194"/>
      <c r="R778" s="194"/>
    </row>
    <row r="779" spans="1:18" s="3" customFormat="1" ht="26.4">
      <c r="A779" s="82" t="s">
        <v>29</v>
      </c>
      <c r="B779" s="145">
        <v>774</v>
      </c>
      <c r="C779" s="84" t="s">
        <v>25</v>
      </c>
      <c r="D779" s="84" t="s">
        <v>18</v>
      </c>
      <c r="E779" s="84" t="s">
        <v>1231</v>
      </c>
      <c r="F779" s="84" t="s">
        <v>30</v>
      </c>
      <c r="G779" s="87">
        <f t="shared" si="202"/>
        <v>42000</v>
      </c>
      <c r="H779" s="87">
        <f t="shared" si="202"/>
        <v>0</v>
      </c>
      <c r="I779" s="87">
        <f t="shared" si="202"/>
        <v>0</v>
      </c>
      <c r="J779" s="173"/>
      <c r="K779" s="194"/>
      <c r="L779" s="194"/>
      <c r="M779" s="194"/>
      <c r="N779" s="194"/>
      <c r="O779" s="194"/>
      <c r="P779" s="194"/>
      <c r="Q779" s="194"/>
      <c r="R779" s="194"/>
    </row>
    <row r="780" spans="1:18" s="3" customFormat="1">
      <c r="A780" s="82" t="s">
        <v>31</v>
      </c>
      <c r="B780" s="145">
        <v>774</v>
      </c>
      <c r="C780" s="84" t="s">
        <v>25</v>
      </c>
      <c r="D780" s="84" t="s">
        <v>18</v>
      </c>
      <c r="E780" s="84" t="s">
        <v>1231</v>
      </c>
      <c r="F780" s="84" t="s">
        <v>32</v>
      </c>
      <c r="G780" s="87">
        <v>42000</v>
      </c>
      <c r="H780" s="87">
        <v>0</v>
      </c>
      <c r="I780" s="87">
        <v>0</v>
      </c>
      <c r="J780" s="173"/>
      <c r="K780" s="194"/>
      <c r="L780" s="194"/>
      <c r="M780" s="194"/>
      <c r="N780" s="194"/>
      <c r="O780" s="194"/>
      <c r="P780" s="194"/>
      <c r="Q780" s="194"/>
      <c r="R780" s="194"/>
    </row>
    <row r="781" spans="1:18" ht="93" customHeight="1">
      <c r="A781" s="104" t="s">
        <v>1486</v>
      </c>
      <c r="B781" s="145">
        <v>774</v>
      </c>
      <c r="C781" s="84" t="s">
        <v>25</v>
      </c>
      <c r="D781" s="84" t="s">
        <v>18</v>
      </c>
      <c r="E781" s="84" t="s">
        <v>1485</v>
      </c>
      <c r="F781" s="15"/>
      <c r="G781" s="8">
        <f>G782</f>
        <v>189384</v>
      </c>
      <c r="H781" s="85">
        <f t="shared" ref="H781:I782" si="206">H782</f>
        <v>0</v>
      </c>
      <c r="I781" s="85">
        <f t="shared" si="206"/>
        <v>0</v>
      </c>
      <c r="J781" s="173"/>
    </row>
    <row r="782" spans="1:18" ht="39.75" customHeight="1">
      <c r="A782" s="82" t="s">
        <v>29</v>
      </c>
      <c r="B782" s="145">
        <v>774</v>
      </c>
      <c r="C782" s="84" t="s">
        <v>25</v>
      </c>
      <c r="D782" s="84" t="s">
        <v>18</v>
      </c>
      <c r="E782" s="84" t="s">
        <v>1485</v>
      </c>
      <c r="F782" s="15" t="s">
        <v>30</v>
      </c>
      <c r="G782" s="8">
        <f>G783</f>
        <v>189384</v>
      </c>
      <c r="H782" s="85">
        <f t="shared" si="206"/>
        <v>0</v>
      </c>
      <c r="I782" s="85">
        <f t="shared" si="206"/>
        <v>0</v>
      </c>
      <c r="J782" s="173"/>
    </row>
    <row r="783" spans="1:18" ht="19.5" customHeight="1">
      <c r="A783" s="130" t="s">
        <v>31</v>
      </c>
      <c r="B783" s="145">
        <v>774</v>
      </c>
      <c r="C783" s="84" t="s">
        <v>25</v>
      </c>
      <c r="D783" s="84" t="s">
        <v>18</v>
      </c>
      <c r="E783" s="84" t="s">
        <v>1485</v>
      </c>
      <c r="F783" s="15" t="s">
        <v>32</v>
      </c>
      <c r="G783" s="8">
        <v>189384</v>
      </c>
      <c r="H783" s="87"/>
      <c r="I783" s="87"/>
      <c r="J783" s="173"/>
    </row>
    <row r="784" spans="1:18" s="3" customFormat="1">
      <c r="A784" s="82" t="s">
        <v>1278</v>
      </c>
      <c r="B784" s="145">
        <v>774</v>
      </c>
      <c r="C784" s="84" t="s">
        <v>25</v>
      </c>
      <c r="D784" s="84" t="s">
        <v>18</v>
      </c>
      <c r="E784" s="84" t="s">
        <v>228</v>
      </c>
      <c r="F784" s="84"/>
      <c r="G784" s="87">
        <f>G785</f>
        <v>71000</v>
      </c>
      <c r="H784" s="87">
        <v>0</v>
      </c>
      <c r="I784" s="87">
        <v>0</v>
      </c>
      <c r="J784" s="173"/>
      <c r="K784" s="194"/>
      <c r="L784" s="194"/>
      <c r="M784" s="194"/>
      <c r="N784" s="194"/>
      <c r="O784" s="194"/>
      <c r="P784" s="194"/>
      <c r="Q784" s="194"/>
      <c r="R784" s="194"/>
    </row>
    <row r="785" spans="1:18" s="3" customFormat="1">
      <c r="A785" s="82" t="s">
        <v>1278</v>
      </c>
      <c r="B785" s="145">
        <v>774</v>
      </c>
      <c r="C785" s="84" t="s">
        <v>25</v>
      </c>
      <c r="D785" s="84" t="s">
        <v>18</v>
      </c>
      <c r="E785" s="84" t="s">
        <v>270</v>
      </c>
      <c r="F785" s="84"/>
      <c r="G785" s="87">
        <f t="shared" si="202"/>
        <v>71000</v>
      </c>
      <c r="H785" s="87">
        <f t="shared" si="202"/>
        <v>0</v>
      </c>
      <c r="I785" s="87">
        <f t="shared" si="202"/>
        <v>0</v>
      </c>
      <c r="J785" s="173"/>
      <c r="K785" s="194"/>
      <c r="L785" s="194"/>
      <c r="M785" s="194"/>
      <c r="N785" s="194"/>
      <c r="O785" s="194"/>
      <c r="P785" s="194"/>
      <c r="Q785" s="194"/>
      <c r="R785" s="194"/>
    </row>
    <row r="786" spans="1:18" s="3" customFormat="1" ht="26.4">
      <c r="A786" s="82" t="s">
        <v>29</v>
      </c>
      <c r="B786" s="145">
        <v>774</v>
      </c>
      <c r="C786" s="84" t="s">
        <v>25</v>
      </c>
      <c r="D786" s="84" t="s">
        <v>18</v>
      </c>
      <c r="E786" s="84" t="s">
        <v>270</v>
      </c>
      <c r="F786" s="84" t="s">
        <v>30</v>
      </c>
      <c r="G786" s="87">
        <f t="shared" ref="G786:I786" si="207">G787</f>
        <v>71000</v>
      </c>
      <c r="H786" s="87">
        <f t="shared" si="207"/>
        <v>0</v>
      </c>
      <c r="I786" s="87">
        <f t="shared" si="207"/>
        <v>0</v>
      </c>
      <c r="J786" s="173"/>
      <c r="K786" s="194"/>
      <c r="L786" s="194"/>
      <c r="M786" s="194"/>
      <c r="N786" s="194"/>
      <c r="O786" s="194"/>
      <c r="P786" s="194"/>
      <c r="Q786" s="194"/>
      <c r="R786" s="194"/>
    </row>
    <row r="787" spans="1:18" s="3" customFormat="1">
      <c r="A787" s="82" t="s">
        <v>31</v>
      </c>
      <c r="B787" s="145">
        <v>774</v>
      </c>
      <c r="C787" s="84" t="s">
        <v>25</v>
      </c>
      <c r="D787" s="84" t="s">
        <v>18</v>
      </c>
      <c r="E787" s="84" t="s">
        <v>270</v>
      </c>
      <c r="F787" s="84" t="s">
        <v>32</v>
      </c>
      <c r="G787" s="87">
        <v>71000</v>
      </c>
      <c r="H787" s="87">
        <v>0</v>
      </c>
      <c r="I787" s="87">
        <v>0</v>
      </c>
      <c r="J787" s="173"/>
      <c r="K787" s="194"/>
      <c r="L787" s="194"/>
      <c r="M787" s="194"/>
      <c r="N787" s="194"/>
      <c r="O787" s="194"/>
      <c r="P787" s="194"/>
      <c r="Q787" s="194"/>
      <c r="R787" s="194"/>
    </row>
    <row r="788" spans="1:18" ht="22.5" customHeight="1">
      <c r="A788" s="132" t="s">
        <v>26</v>
      </c>
      <c r="B788" s="84" t="s">
        <v>92</v>
      </c>
      <c r="C788" s="84" t="s">
        <v>25</v>
      </c>
      <c r="D788" s="84" t="s">
        <v>27</v>
      </c>
      <c r="E788" s="84"/>
      <c r="F788" s="84"/>
      <c r="G788" s="87">
        <f>G789+G1103+G1118+G1114+G1122</f>
        <v>729936170.12</v>
      </c>
      <c r="H788" s="87">
        <f>H789+H1053+H1061+H1072+H1076+H1057+H1079+H1089+H1107</f>
        <v>641676388.32000005</v>
      </c>
      <c r="I788" s="87">
        <f>I789+I1053+I1061+I1072+I1076+I1057+I1079+I1089+I1107</f>
        <v>645667622.29000008</v>
      </c>
      <c r="J788" s="173"/>
    </row>
    <row r="789" spans="1:18" s="28" customFormat="1" ht="36" customHeight="1">
      <c r="A789" s="16" t="s">
        <v>1133</v>
      </c>
      <c r="B789" s="84" t="s">
        <v>92</v>
      </c>
      <c r="C789" s="84" t="s">
        <v>25</v>
      </c>
      <c r="D789" s="84" t="s">
        <v>27</v>
      </c>
      <c r="E789" s="84" t="s">
        <v>183</v>
      </c>
      <c r="F789" s="164"/>
      <c r="G789" s="87">
        <f>G790+G881+G1049+G1045</f>
        <v>728676549.99000001</v>
      </c>
      <c r="H789" s="87">
        <f>H790+H881+H1049</f>
        <v>641676388.32000005</v>
      </c>
      <c r="I789" s="87">
        <f>I790+I881+I1049</f>
        <v>645667622.29000008</v>
      </c>
      <c r="J789" s="173"/>
      <c r="K789" s="199"/>
      <c r="L789" s="199"/>
      <c r="M789" s="199"/>
      <c r="N789" s="205"/>
      <c r="O789" s="199"/>
      <c r="P789" s="199"/>
      <c r="Q789" s="199"/>
      <c r="R789" s="199"/>
    </row>
    <row r="790" spans="1:18" ht="54" customHeight="1">
      <c r="A790" s="82" t="s">
        <v>1172</v>
      </c>
      <c r="B790" s="84" t="s">
        <v>92</v>
      </c>
      <c r="C790" s="84" t="s">
        <v>25</v>
      </c>
      <c r="D790" s="84" t="s">
        <v>27</v>
      </c>
      <c r="E790" s="84" t="s">
        <v>209</v>
      </c>
      <c r="F790" s="84"/>
      <c r="G790" s="87">
        <f>G796+G799+G813+G818+G826+G829+G835+G847+G850+G862+G865+G868+G807+G819+G830+G875+G878</f>
        <v>645764552.57000005</v>
      </c>
      <c r="H790" s="87">
        <f t="shared" ref="H790:I790" si="208">H796+H799+H813+H818+H826+H829+H835+H847+H850+H862+H865+H868+H807+H819+H830+H875+H878</f>
        <v>637430468.20000005</v>
      </c>
      <c r="I790" s="87">
        <f t="shared" si="208"/>
        <v>641421702.17000008</v>
      </c>
      <c r="J790" s="173"/>
      <c r="K790" s="173"/>
      <c r="L790" s="173"/>
      <c r="M790" s="173"/>
      <c r="N790" s="173"/>
      <c r="O790" s="173"/>
    </row>
    <row r="791" spans="1:18" ht="50.25" hidden="1" customHeight="1">
      <c r="A791" s="82" t="s">
        <v>619</v>
      </c>
      <c r="B791" s="84" t="s">
        <v>92</v>
      </c>
      <c r="C791" s="84" t="s">
        <v>25</v>
      </c>
      <c r="D791" s="84" t="s">
        <v>27</v>
      </c>
      <c r="E791" s="84" t="s">
        <v>618</v>
      </c>
      <c r="F791" s="84"/>
      <c r="G791" s="87">
        <f t="shared" ref="G791:I792" si="209">G792</f>
        <v>0</v>
      </c>
      <c r="H791" s="87">
        <f t="shared" si="209"/>
        <v>0</v>
      </c>
      <c r="I791" s="87">
        <f t="shared" si="209"/>
        <v>0</v>
      </c>
      <c r="J791" s="173"/>
    </row>
    <row r="792" spans="1:18" s="18" customFormat="1" ht="26.4" hidden="1">
      <c r="A792" s="82" t="s">
        <v>29</v>
      </c>
      <c r="B792" s="84" t="s">
        <v>92</v>
      </c>
      <c r="C792" s="84" t="s">
        <v>25</v>
      </c>
      <c r="D792" s="84" t="s">
        <v>27</v>
      </c>
      <c r="E792" s="84" t="s">
        <v>618</v>
      </c>
      <c r="F792" s="84" t="s">
        <v>30</v>
      </c>
      <c r="G792" s="87">
        <f t="shared" si="209"/>
        <v>0</v>
      </c>
      <c r="H792" s="87">
        <f>H793</f>
        <v>0</v>
      </c>
      <c r="I792" s="87">
        <f>I793</f>
        <v>0</v>
      </c>
      <c r="J792" s="173"/>
      <c r="K792" s="195"/>
      <c r="L792" s="195"/>
      <c r="M792" s="208"/>
      <c r="N792" s="208"/>
      <c r="O792" s="195"/>
      <c r="P792" s="195"/>
      <c r="Q792" s="195"/>
      <c r="R792" s="195"/>
    </row>
    <row r="793" spans="1:18" s="18" customFormat="1" hidden="1">
      <c r="A793" s="82" t="s">
        <v>31</v>
      </c>
      <c r="B793" s="84" t="s">
        <v>92</v>
      </c>
      <c r="C793" s="84" t="s">
        <v>25</v>
      </c>
      <c r="D793" s="84" t="s">
        <v>27</v>
      </c>
      <c r="E793" s="84" t="s">
        <v>618</v>
      </c>
      <c r="F793" s="84" t="s">
        <v>32</v>
      </c>
      <c r="G793" s="87"/>
      <c r="H793" s="87"/>
      <c r="I793" s="87"/>
      <c r="J793" s="173"/>
      <c r="K793" s="195"/>
      <c r="L793" s="195"/>
      <c r="M793" s="195"/>
      <c r="N793" s="195"/>
      <c r="O793" s="195"/>
      <c r="P793" s="195"/>
      <c r="Q793" s="195"/>
      <c r="R793" s="195"/>
    </row>
    <row r="794" spans="1:18" ht="83.25" customHeight="1">
      <c r="A794" s="104" t="s">
        <v>1053</v>
      </c>
      <c r="B794" s="84" t="s">
        <v>92</v>
      </c>
      <c r="C794" s="84" t="s">
        <v>25</v>
      </c>
      <c r="D794" s="84" t="s">
        <v>27</v>
      </c>
      <c r="E794" s="84" t="s">
        <v>867</v>
      </c>
      <c r="F794" s="84"/>
      <c r="G794" s="87">
        <f t="shared" ref="G794:I795" si="210">G795</f>
        <v>41081006.910000004</v>
      </c>
      <c r="H794" s="87">
        <f t="shared" si="210"/>
        <v>34750000</v>
      </c>
      <c r="I794" s="87">
        <f t="shared" si="210"/>
        <v>28376960</v>
      </c>
      <c r="J794" s="173"/>
      <c r="K794" s="173"/>
      <c r="L794" s="173"/>
      <c r="Q794" s="204"/>
    </row>
    <row r="795" spans="1:18" s="18" customFormat="1" ht="26.4">
      <c r="A795" s="82" t="s">
        <v>29</v>
      </c>
      <c r="B795" s="84" t="s">
        <v>92</v>
      </c>
      <c r="C795" s="84" t="s">
        <v>25</v>
      </c>
      <c r="D795" s="84" t="s">
        <v>27</v>
      </c>
      <c r="E795" s="84" t="s">
        <v>867</v>
      </c>
      <c r="F795" s="84" t="s">
        <v>30</v>
      </c>
      <c r="G795" s="87">
        <f t="shared" si="210"/>
        <v>41081006.910000004</v>
      </c>
      <c r="H795" s="87">
        <f t="shared" si="210"/>
        <v>34750000</v>
      </c>
      <c r="I795" s="87">
        <f t="shared" si="210"/>
        <v>28376960</v>
      </c>
      <c r="J795" s="173"/>
      <c r="K795" s="195"/>
      <c r="L795" s="195"/>
      <c r="M795" s="208"/>
      <c r="N795" s="208"/>
      <c r="O795" s="195"/>
      <c r="P795" s="195"/>
      <c r="Q795" s="208"/>
      <c r="R795" s="195"/>
    </row>
    <row r="796" spans="1:18" s="18" customFormat="1">
      <c r="A796" s="82" t="s">
        <v>31</v>
      </c>
      <c r="B796" s="84" t="s">
        <v>92</v>
      </c>
      <c r="C796" s="84" t="s">
        <v>25</v>
      </c>
      <c r="D796" s="84" t="s">
        <v>27</v>
      </c>
      <c r="E796" s="84" t="s">
        <v>867</v>
      </c>
      <c r="F796" s="84" t="s">
        <v>32</v>
      </c>
      <c r="G796" s="70">
        <f>38751802.46+2329204.45</f>
        <v>41081006.910000004</v>
      </c>
      <c r="H796" s="87">
        <f>38600000-3850000</f>
        <v>34750000</v>
      </c>
      <c r="I796" s="87">
        <v>28376960</v>
      </c>
      <c r="J796" s="173"/>
      <c r="K796" s="195"/>
      <c r="L796" s="195"/>
      <c r="M796" s="195"/>
      <c r="N796" s="195"/>
      <c r="O796" s="195"/>
      <c r="P796" s="195"/>
      <c r="Q796" s="195"/>
      <c r="R796" s="195"/>
    </row>
    <row r="797" spans="1:18" s="18" customFormat="1" ht="15" customHeight="1">
      <c r="A797" s="299" t="s">
        <v>1052</v>
      </c>
      <c r="B797" s="84" t="s">
        <v>92</v>
      </c>
      <c r="C797" s="84" t="s">
        <v>25</v>
      </c>
      <c r="D797" s="84" t="s">
        <v>27</v>
      </c>
      <c r="E797" s="84" t="s">
        <v>210</v>
      </c>
      <c r="F797" s="84"/>
      <c r="G797" s="70">
        <f t="shared" ref="G797:I798" si="211">G798</f>
        <v>414473614.50999999</v>
      </c>
      <c r="H797" s="87">
        <f t="shared" si="211"/>
        <v>414510706</v>
      </c>
      <c r="I797" s="87">
        <f t="shared" si="211"/>
        <v>423388884</v>
      </c>
      <c r="J797" s="173"/>
      <c r="K797" s="195"/>
      <c r="L797" s="195"/>
      <c r="M797" s="195"/>
      <c r="N797" s="195"/>
      <c r="O797" s="195"/>
      <c r="P797" s="195"/>
      <c r="Q797" s="195"/>
      <c r="R797" s="195"/>
    </row>
    <row r="798" spans="1:18" s="18" customFormat="1" ht="26.4">
      <c r="A798" s="82" t="s">
        <v>29</v>
      </c>
      <c r="B798" s="84" t="s">
        <v>92</v>
      </c>
      <c r="C798" s="84" t="s">
        <v>25</v>
      </c>
      <c r="D798" s="84" t="s">
        <v>27</v>
      </c>
      <c r="E798" s="84" t="s">
        <v>131</v>
      </c>
      <c r="F798" s="84" t="s">
        <v>30</v>
      </c>
      <c r="G798" s="70">
        <f t="shared" si="211"/>
        <v>414473614.50999999</v>
      </c>
      <c r="H798" s="87">
        <f t="shared" si="211"/>
        <v>414510706</v>
      </c>
      <c r="I798" s="87">
        <f t="shared" si="211"/>
        <v>423388884</v>
      </c>
      <c r="J798" s="173"/>
      <c r="K798" s="195"/>
      <c r="L798" s="195"/>
      <c r="M798" s="195"/>
      <c r="N798" s="195"/>
      <c r="O798" s="195"/>
      <c r="P798" s="195"/>
      <c r="Q798" s="218"/>
      <c r="R798" s="195"/>
    </row>
    <row r="799" spans="1:18" s="18" customFormat="1">
      <c r="A799" s="82" t="s">
        <v>31</v>
      </c>
      <c r="B799" s="84" t="s">
        <v>92</v>
      </c>
      <c r="C799" s="84" t="s">
        <v>25</v>
      </c>
      <c r="D799" s="84" t="s">
        <v>27</v>
      </c>
      <c r="E799" s="84" t="s">
        <v>131</v>
      </c>
      <c r="F799" s="84" t="s">
        <v>32</v>
      </c>
      <c r="G799" s="70">
        <v>414473614.50999999</v>
      </c>
      <c r="H799" s="87">
        <v>414510706</v>
      </c>
      <c r="I799" s="87">
        <v>423388884</v>
      </c>
      <c r="J799" s="173"/>
      <c r="K799" s="195"/>
      <c r="L799" s="195"/>
      <c r="M799" s="195"/>
      <c r="N799" s="195"/>
      <c r="O799" s="195"/>
      <c r="P799" s="195"/>
      <c r="Q799" s="195"/>
      <c r="R799" s="195"/>
    </row>
    <row r="800" spans="1:18" s="18" customFormat="1" ht="39.6" hidden="1">
      <c r="A800" s="82" t="s">
        <v>291</v>
      </c>
      <c r="B800" s="84" t="s">
        <v>92</v>
      </c>
      <c r="C800" s="84" t="s">
        <v>25</v>
      </c>
      <c r="D800" s="84" t="s">
        <v>27</v>
      </c>
      <c r="E800" s="84" t="s">
        <v>131</v>
      </c>
      <c r="F800" s="84"/>
      <c r="G800" s="70">
        <f t="shared" ref="G800:I801" si="212">G801</f>
        <v>0</v>
      </c>
      <c r="H800" s="87">
        <f t="shared" si="212"/>
        <v>0</v>
      </c>
      <c r="I800" s="87">
        <f t="shared" si="212"/>
        <v>0</v>
      </c>
      <c r="J800" s="173"/>
      <c r="K800" s="195"/>
      <c r="L800" s="195"/>
      <c r="M800" s="195"/>
      <c r="N800" s="195"/>
      <c r="O800" s="195"/>
      <c r="P800" s="195"/>
      <c r="Q800" s="195"/>
      <c r="R800" s="195"/>
    </row>
    <row r="801" spans="1:19" s="18" customFormat="1" hidden="1">
      <c r="A801" s="82" t="s">
        <v>62</v>
      </c>
      <c r="B801" s="84" t="s">
        <v>92</v>
      </c>
      <c r="C801" s="84" t="s">
        <v>25</v>
      </c>
      <c r="D801" s="84" t="s">
        <v>27</v>
      </c>
      <c r="E801" s="84" t="s">
        <v>131</v>
      </c>
      <c r="F801" s="84" t="s">
        <v>63</v>
      </c>
      <c r="G801" s="70">
        <f t="shared" si="212"/>
        <v>0</v>
      </c>
      <c r="H801" s="87">
        <f t="shared" si="212"/>
        <v>0</v>
      </c>
      <c r="I801" s="87">
        <f t="shared" si="212"/>
        <v>0</v>
      </c>
      <c r="J801" s="173"/>
      <c r="K801" s="195"/>
      <c r="L801" s="195"/>
      <c r="M801" s="195"/>
      <c r="N801" s="195"/>
      <c r="O801" s="195"/>
      <c r="P801" s="195"/>
      <c r="Q801" s="195"/>
      <c r="R801" s="195"/>
    </row>
    <row r="802" spans="1:19" s="18" customFormat="1" hidden="1">
      <c r="A802" s="82" t="s">
        <v>174</v>
      </c>
      <c r="B802" s="84" t="s">
        <v>92</v>
      </c>
      <c r="C802" s="84" t="s">
        <v>25</v>
      </c>
      <c r="D802" s="84" t="s">
        <v>27</v>
      </c>
      <c r="E802" s="84" t="s">
        <v>131</v>
      </c>
      <c r="F802" s="84" t="s">
        <v>175</v>
      </c>
      <c r="G802" s="70"/>
      <c r="H802" s="87"/>
      <c r="I802" s="87"/>
      <c r="J802" s="173"/>
      <c r="K802" s="195"/>
      <c r="L802" s="195"/>
      <c r="M802" s="195"/>
      <c r="N802" s="195"/>
      <c r="O802" s="195"/>
      <c r="P802" s="195"/>
      <c r="Q802" s="195"/>
      <c r="R802" s="195"/>
    </row>
    <row r="803" spans="1:19" ht="57" customHeight="1">
      <c r="A803" s="82" t="s">
        <v>115</v>
      </c>
      <c r="B803" s="84" t="s">
        <v>92</v>
      </c>
      <c r="C803" s="84" t="s">
        <v>25</v>
      </c>
      <c r="D803" s="84" t="s">
        <v>27</v>
      </c>
      <c r="E803" s="84" t="s">
        <v>216</v>
      </c>
      <c r="F803" s="84"/>
      <c r="G803" s="70">
        <f>G806+G804</f>
        <v>152487872.59</v>
      </c>
      <c r="H803" s="87">
        <f t="shared" ref="H803:I803" si="213">H806</f>
        <v>149270276.62</v>
      </c>
      <c r="I803" s="87">
        <f t="shared" si="213"/>
        <v>150756372.59</v>
      </c>
      <c r="J803" s="173"/>
      <c r="Q803" s="219"/>
    </row>
    <row r="804" spans="1:19" ht="26.4" hidden="1">
      <c r="A804" s="82" t="s">
        <v>94</v>
      </c>
      <c r="B804" s="84" t="s">
        <v>92</v>
      </c>
      <c r="C804" s="84" t="s">
        <v>25</v>
      </c>
      <c r="D804" s="84" t="s">
        <v>27</v>
      </c>
      <c r="E804" s="84" t="s">
        <v>701</v>
      </c>
      <c r="F804" s="84" t="s">
        <v>338</v>
      </c>
      <c r="G804" s="70">
        <f>G805</f>
        <v>0</v>
      </c>
      <c r="H804" s="87">
        <f>H805</f>
        <v>0</v>
      </c>
      <c r="I804" s="87">
        <f>I805</f>
        <v>0</v>
      </c>
      <c r="J804" s="173"/>
    </row>
    <row r="805" spans="1:19" s="3" customFormat="1" ht="92.4" hidden="1">
      <c r="A805" s="82" t="s">
        <v>407</v>
      </c>
      <c r="B805" s="145">
        <v>774</v>
      </c>
      <c r="C805" s="84" t="s">
        <v>25</v>
      </c>
      <c r="D805" s="84" t="s">
        <v>27</v>
      </c>
      <c r="E805" s="84" t="s">
        <v>701</v>
      </c>
      <c r="F805" s="84" t="s">
        <v>406</v>
      </c>
      <c r="G805" s="70"/>
      <c r="H805" s="87">
        <v>0</v>
      </c>
      <c r="I805" s="87">
        <v>0</v>
      </c>
      <c r="J805" s="173"/>
      <c r="K805" s="194"/>
      <c r="L805" s="194"/>
      <c r="M805" s="194"/>
      <c r="N805" s="194"/>
      <c r="O805" s="194"/>
      <c r="P805" s="194"/>
      <c r="Q805" s="194"/>
      <c r="R805" s="194"/>
    </row>
    <row r="806" spans="1:19" ht="26.4">
      <c r="A806" s="82" t="s">
        <v>29</v>
      </c>
      <c r="B806" s="84" t="s">
        <v>92</v>
      </c>
      <c r="C806" s="84" t="s">
        <v>25</v>
      </c>
      <c r="D806" s="84" t="s">
        <v>27</v>
      </c>
      <c r="E806" s="84" t="s">
        <v>216</v>
      </c>
      <c r="F806" s="84" t="s">
        <v>30</v>
      </c>
      <c r="G806" s="70">
        <f>G807</f>
        <v>152487872.59</v>
      </c>
      <c r="H806" s="87">
        <f>H807</f>
        <v>149270276.62</v>
      </c>
      <c r="I806" s="87">
        <f>I807</f>
        <v>150756372.59</v>
      </c>
      <c r="J806" s="173"/>
    </row>
    <row r="807" spans="1:19">
      <c r="A807" s="82" t="s">
        <v>31</v>
      </c>
      <c r="B807" s="84" t="s">
        <v>92</v>
      </c>
      <c r="C807" s="84" t="s">
        <v>25</v>
      </c>
      <c r="D807" s="84" t="s">
        <v>27</v>
      </c>
      <c r="E807" s="84" t="s">
        <v>216</v>
      </c>
      <c r="F807" s="84" t="s">
        <v>32</v>
      </c>
      <c r="G807" s="70">
        <f>150756372.59-300000+31500+2000000</f>
        <v>152487872.59</v>
      </c>
      <c r="H807" s="87">
        <f>150756372.59-1486095.97</f>
        <v>149270276.62</v>
      </c>
      <c r="I807" s="87">
        <v>150756372.59</v>
      </c>
      <c r="J807" s="173"/>
    </row>
    <row r="808" spans="1:19" ht="43.5" hidden="1" customHeight="1">
      <c r="A808" s="82" t="s">
        <v>707</v>
      </c>
      <c r="B808" s="84" t="s">
        <v>92</v>
      </c>
      <c r="C808" s="84" t="s">
        <v>25</v>
      </c>
      <c r="D808" s="84" t="s">
        <v>27</v>
      </c>
      <c r="E808" s="84" t="s">
        <v>701</v>
      </c>
      <c r="F808" s="84"/>
      <c r="G808" s="70">
        <f>G809</f>
        <v>0</v>
      </c>
      <c r="H808" s="87"/>
      <c r="I808" s="87"/>
      <c r="J808" s="173"/>
      <c r="K808" s="208"/>
    </row>
    <row r="809" spans="1:19" ht="26.4" hidden="1">
      <c r="A809" s="82" t="s">
        <v>94</v>
      </c>
      <c r="B809" s="84" t="s">
        <v>92</v>
      </c>
      <c r="C809" s="84" t="s">
        <v>25</v>
      </c>
      <c r="D809" s="84" t="s">
        <v>27</v>
      </c>
      <c r="E809" s="84" t="s">
        <v>701</v>
      </c>
      <c r="F809" s="84" t="s">
        <v>338</v>
      </c>
      <c r="G809" s="70">
        <f>G810</f>
        <v>0</v>
      </c>
      <c r="H809" s="87">
        <f>H810</f>
        <v>0</v>
      </c>
      <c r="I809" s="87">
        <f>I810</f>
        <v>0</v>
      </c>
      <c r="J809" s="173"/>
    </row>
    <row r="810" spans="1:19" s="3" customFormat="1" ht="92.4" hidden="1">
      <c r="A810" s="82" t="s">
        <v>407</v>
      </c>
      <c r="B810" s="145">
        <v>774</v>
      </c>
      <c r="C810" s="84" t="s">
        <v>25</v>
      </c>
      <c r="D810" s="84" t="s">
        <v>27</v>
      </c>
      <c r="E810" s="84" t="s">
        <v>701</v>
      </c>
      <c r="F810" s="84" t="s">
        <v>406</v>
      </c>
      <c r="G810" s="70"/>
      <c r="H810" s="87">
        <v>0</v>
      </c>
      <c r="I810" s="87">
        <v>0</v>
      </c>
      <c r="J810" s="173"/>
      <c r="K810" s="194"/>
      <c r="L810" s="194"/>
      <c r="M810" s="194"/>
      <c r="N810" s="194"/>
      <c r="O810" s="194"/>
      <c r="P810" s="194"/>
      <c r="Q810" s="194"/>
      <c r="R810" s="194"/>
    </row>
    <row r="811" spans="1:19" s="18" customFormat="1">
      <c r="A811" s="82" t="s">
        <v>816</v>
      </c>
      <c r="B811" s="145">
        <v>774</v>
      </c>
      <c r="C811" s="84" t="s">
        <v>25</v>
      </c>
      <c r="D811" s="84" t="s">
        <v>27</v>
      </c>
      <c r="E811" s="84" t="s">
        <v>834</v>
      </c>
      <c r="F811" s="84"/>
      <c r="G811" s="70">
        <f t="shared" ref="G811:I812" si="214">G812</f>
        <v>1049016.44</v>
      </c>
      <c r="H811" s="87">
        <f t="shared" si="214"/>
        <v>1100730</v>
      </c>
      <c r="I811" s="87">
        <f t="shared" si="214"/>
        <v>1100730</v>
      </c>
      <c r="J811" s="173"/>
      <c r="K811" s="195"/>
      <c r="L811" s="195"/>
      <c r="M811" s="195"/>
      <c r="N811" s="195"/>
      <c r="O811" s="195"/>
      <c r="P811" s="195"/>
      <c r="Q811" s="208"/>
      <c r="R811" s="208"/>
      <c r="S811" s="17"/>
    </row>
    <row r="812" spans="1:19" s="18" customFormat="1" ht="26.4">
      <c r="A812" s="82" t="s">
        <v>29</v>
      </c>
      <c r="B812" s="145">
        <v>774</v>
      </c>
      <c r="C812" s="84" t="s">
        <v>25</v>
      </c>
      <c r="D812" s="84" t="s">
        <v>27</v>
      </c>
      <c r="E812" s="84" t="s">
        <v>834</v>
      </c>
      <c r="F812" s="84" t="s">
        <v>30</v>
      </c>
      <c r="G812" s="70">
        <f t="shared" si="214"/>
        <v>1049016.44</v>
      </c>
      <c r="H812" s="87">
        <f t="shared" si="214"/>
        <v>1100730</v>
      </c>
      <c r="I812" s="87">
        <f t="shared" si="214"/>
        <v>1100730</v>
      </c>
      <c r="J812" s="173"/>
      <c r="K812" s="195"/>
      <c r="L812" s="195"/>
      <c r="M812" s="195"/>
      <c r="N812" s="195"/>
      <c r="O812" s="195"/>
      <c r="P812" s="195"/>
      <c r="Q812" s="208"/>
      <c r="R812" s="208"/>
      <c r="S812" s="17"/>
    </row>
    <row r="813" spans="1:19" s="18" customFormat="1">
      <c r="A813" s="82" t="s">
        <v>31</v>
      </c>
      <c r="B813" s="145">
        <v>774</v>
      </c>
      <c r="C813" s="84" t="s">
        <v>25</v>
      </c>
      <c r="D813" s="84" t="s">
        <v>27</v>
      </c>
      <c r="E813" s="84" t="s">
        <v>834</v>
      </c>
      <c r="F813" s="84" t="s">
        <v>32</v>
      </c>
      <c r="G813" s="70">
        <v>1049016.44</v>
      </c>
      <c r="H813" s="87">
        <v>1100730</v>
      </c>
      <c r="I813" s="87">
        <v>1100730</v>
      </c>
      <c r="J813" s="173"/>
      <c r="K813" s="195"/>
      <c r="L813" s="195"/>
      <c r="M813" s="195"/>
      <c r="N813" s="195"/>
      <c r="O813" s="195"/>
      <c r="P813" s="195"/>
      <c r="Q813" s="208"/>
      <c r="R813" s="208"/>
      <c r="S813" s="17"/>
    </row>
    <row r="814" spans="1:19" ht="74.25" hidden="1" customHeight="1">
      <c r="A814" s="82" t="s">
        <v>727</v>
      </c>
      <c r="B814" s="84" t="s">
        <v>92</v>
      </c>
      <c r="C814" s="84" t="s">
        <v>25</v>
      </c>
      <c r="D814" s="84" t="s">
        <v>27</v>
      </c>
      <c r="E814" s="84" t="s">
        <v>725</v>
      </c>
      <c r="F814" s="84"/>
      <c r="G814" s="70">
        <f>G817+G815</f>
        <v>0</v>
      </c>
      <c r="H814" s="87">
        <f t="shared" ref="H814:I814" si="215">H817</f>
        <v>0</v>
      </c>
      <c r="I814" s="87">
        <f t="shared" si="215"/>
        <v>0</v>
      </c>
      <c r="J814" s="173"/>
    </row>
    <row r="815" spans="1:19" ht="26.4" hidden="1">
      <c r="A815" s="82" t="s">
        <v>94</v>
      </c>
      <c r="B815" s="84" t="s">
        <v>92</v>
      </c>
      <c r="C815" s="84" t="s">
        <v>25</v>
      </c>
      <c r="D815" s="84" t="s">
        <v>27</v>
      </c>
      <c r="E815" s="84" t="s">
        <v>701</v>
      </c>
      <c r="F815" s="84" t="s">
        <v>338</v>
      </c>
      <c r="G815" s="70">
        <f>G816</f>
        <v>0</v>
      </c>
      <c r="H815" s="87">
        <f>H816</f>
        <v>0</v>
      </c>
      <c r="I815" s="87">
        <f>I816</f>
        <v>0</v>
      </c>
      <c r="J815" s="173"/>
    </row>
    <row r="816" spans="1:19" s="3" customFormat="1" ht="92.4" hidden="1">
      <c r="A816" s="82" t="s">
        <v>407</v>
      </c>
      <c r="B816" s="145">
        <v>774</v>
      </c>
      <c r="C816" s="84" t="s">
        <v>25</v>
      </c>
      <c r="D816" s="84" t="s">
        <v>27</v>
      </c>
      <c r="E816" s="84" t="s">
        <v>701</v>
      </c>
      <c r="F816" s="84" t="s">
        <v>406</v>
      </c>
      <c r="G816" s="70"/>
      <c r="H816" s="87">
        <v>0</v>
      </c>
      <c r="I816" s="87">
        <v>0</v>
      </c>
      <c r="J816" s="173"/>
      <c r="K816" s="194"/>
      <c r="L816" s="194"/>
      <c r="M816" s="194"/>
      <c r="N816" s="194"/>
      <c r="O816" s="194"/>
      <c r="P816" s="194"/>
      <c r="Q816" s="194"/>
      <c r="R816" s="194"/>
    </row>
    <row r="817" spans="1:18" ht="26.4" hidden="1">
      <c r="A817" s="82" t="s">
        <v>29</v>
      </c>
      <c r="B817" s="84" t="s">
        <v>92</v>
      </c>
      <c r="C817" s="84" t="s">
        <v>25</v>
      </c>
      <c r="D817" s="84" t="s">
        <v>27</v>
      </c>
      <c r="E817" s="84" t="s">
        <v>725</v>
      </c>
      <c r="F817" s="84" t="s">
        <v>30</v>
      </c>
      <c r="G817" s="70">
        <f>G818</f>
        <v>0</v>
      </c>
      <c r="H817" s="87">
        <f>H818</f>
        <v>0</v>
      </c>
      <c r="I817" s="87">
        <f>I818</f>
        <v>0</v>
      </c>
      <c r="J817" s="173"/>
    </row>
    <row r="818" spans="1:18" hidden="1">
      <c r="A818" s="82" t="s">
        <v>31</v>
      </c>
      <c r="B818" s="84" t="s">
        <v>92</v>
      </c>
      <c r="C818" s="84" t="s">
        <v>25</v>
      </c>
      <c r="D818" s="84" t="s">
        <v>27</v>
      </c>
      <c r="E818" s="84" t="s">
        <v>725</v>
      </c>
      <c r="F818" s="84" t="s">
        <v>32</v>
      </c>
      <c r="G818" s="70"/>
      <c r="H818" s="87"/>
      <c r="I818" s="87"/>
      <c r="J818" s="173"/>
    </row>
    <row r="819" spans="1:18" ht="57" hidden="1" customHeight="1">
      <c r="A819" s="82" t="s">
        <v>726</v>
      </c>
      <c r="B819" s="84" t="s">
        <v>92</v>
      </c>
      <c r="C819" s="84" t="s">
        <v>25</v>
      </c>
      <c r="D819" s="84" t="s">
        <v>27</v>
      </c>
      <c r="E819" s="84" t="s">
        <v>724</v>
      </c>
      <c r="F819" s="84"/>
      <c r="G819" s="70">
        <f>G822+G820</f>
        <v>0</v>
      </c>
      <c r="H819" s="87">
        <f t="shared" ref="H819:I819" si="216">H822</f>
        <v>0</v>
      </c>
      <c r="I819" s="87">
        <f t="shared" si="216"/>
        <v>0</v>
      </c>
      <c r="J819" s="173"/>
    </row>
    <row r="820" spans="1:18" ht="26.4" hidden="1">
      <c r="A820" s="82" t="s">
        <v>94</v>
      </c>
      <c r="B820" s="84" t="s">
        <v>92</v>
      </c>
      <c r="C820" s="84" t="s">
        <v>25</v>
      </c>
      <c r="D820" s="84" t="s">
        <v>27</v>
      </c>
      <c r="E820" s="84" t="s">
        <v>701</v>
      </c>
      <c r="F820" s="84" t="s">
        <v>338</v>
      </c>
      <c r="G820" s="70">
        <f>G821</f>
        <v>0</v>
      </c>
      <c r="H820" s="87">
        <f>H821</f>
        <v>0</v>
      </c>
      <c r="I820" s="87">
        <f>I821</f>
        <v>0</v>
      </c>
      <c r="J820" s="173"/>
    </row>
    <row r="821" spans="1:18" s="3" customFormat="1" ht="92.4" hidden="1">
      <c r="A821" s="82" t="s">
        <v>407</v>
      </c>
      <c r="B821" s="145">
        <v>774</v>
      </c>
      <c r="C821" s="84" t="s">
        <v>25</v>
      </c>
      <c r="D821" s="84" t="s">
        <v>27</v>
      </c>
      <c r="E821" s="84" t="s">
        <v>701</v>
      </c>
      <c r="F821" s="84" t="s">
        <v>406</v>
      </c>
      <c r="G821" s="70"/>
      <c r="H821" s="87">
        <v>0</v>
      </c>
      <c r="I821" s="87">
        <v>0</v>
      </c>
      <c r="J821" s="173"/>
      <c r="K821" s="194"/>
      <c r="L821" s="194"/>
      <c r="M821" s="194"/>
      <c r="N821" s="194"/>
      <c r="O821" s="194"/>
      <c r="P821" s="194"/>
      <c r="Q821" s="194"/>
      <c r="R821" s="194"/>
    </row>
    <row r="822" spans="1:18" ht="26.4" hidden="1">
      <c r="A822" s="82" t="s">
        <v>29</v>
      </c>
      <c r="B822" s="84" t="s">
        <v>92</v>
      </c>
      <c r="C822" s="84" t="s">
        <v>25</v>
      </c>
      <c r="D822" s="84" t="s">
        <v>27</v>
      </c>
      <c r="E822" s="84" t="s">
        <v>724</v>
      </c>
      <c r="F822" s="84" t="s">
        <v>30</v>
      </c>
      <c r="G822" s="70">
        <f>G823</f>
        <v>0</v>
      </c>
      <c r="H822" s="87">
        <f>H823</f>
        <v>0</v>
      </c>
      <c r="I822" s="87">
        <f>I823</f>
        <v>0</v>
      </c>
      <c r="J822" s="173"/>
    </row>
    <row r="823" spans="1:18" hidden="1">
      <c r="A823" s="82" t="s">
        <v>31</v>
      </c>
      <c r="B823" s="84" t="s">
        <v>92</v>
      </c>
      <c r="C823" s="84" t="s">
        <v>25</v>
      </c>
      <c r="D823" s="84" t="s">
        <v>27</v>
      </c>
      <c r="E823" s="84" t="s">
        <v>724</v>
      </c>
      <c r="F823" s="84" t="s">
        <v>32</v>
      </c>
      <c r="G823" s="70"/>
      <c r="H823" s="87"/>
      <c r="I823" s="87"/>
      <c r="J823" s="173"/>
    </row>
    <row r="824" spans="1:18" ht="32.25" hidden="1" customHeight="1">
      <c r="A824" s="82" t="s">
        <v>138</v>
      </c>
      <c r="B824" s="84" t="s">
        <v>92</v>
      </c>
      <c r="C824" s="84" t="s">
        <v>25</v>
      </c>
      <c r="D824" s="84" t="s">
        <v>27</v>
      </c>
      <c r="E824" s="84" t="s">
        <v>682</v>
      </c>
      <c r="F824" s="84"/>
      <c r="G824" s="70">
        <f t="shared" ref="G824:I824" si="217">G825</f>
        <v>0</v>
      </c>
      <c r="H824" s="87">
        <f t="shared" si="217"/>
        <v>0</v>
      </c>
      <c r="I824" s="87">
        <f t="shared" si="217"/>
        <v>0</v>
      </c>
      <c r="J824" s="173"/>
    </row>
    <row r="825" spans="1:18" ht="26.4" hidden="1">
      <c r="A825" s="82" t="s">
        <v>29</v>
      </c>
      <c r="B825" s="84" t="s">
        <v>92</v>
      </c>
      <c r="C825" s="84" t="s">
        <v>25</v>
      </c>
      <c r="D825" s="84" t="s">
        <v>27</v>
      </c>
      <c r="E825" s="84" t="s">
        <v>682</v>
      </c>
      <c r="F825" s="84" t="s">
        <v>30</v>
      </c>
      <c r="G825" s="70">
        <f>G826</f>
        <v>0</v>
      </c>
      <c r="H825" s="87">
        <f>H826</f>
        <v>0</v>
      </c>
      <c r="I825" s="87">
        <f>I826</f>
        <v>0</v>
      </c>
      <c r="J825" s="173"/>
    </row>
    <row r="826" spans="1:18" hidden="1">
      <c r="A826" s="82" t="s">
        <v>31</v>
      </c>
      <c r="B826" s="84" t="s">
        <v>92</v>
      </c>
      <c r="C826" s="84" t="s">
        <v>25</v>
      </c>
      <c r="D826" s="84" t="s">
        <v>27</v>
      </c>
      <c r="E826" s="84" t="s">
        <v>682</v>
      </c>
      <c r="F826" s="84" t="s">
        <v>32</v>
      </c>
      <c r="G826" s="70"/>
      <c r="H826" s="87"/>
      <c r="I826" s="87"/>
      <c r="J826" s="173"/>
    </row>
    <row r="827" spans="1:18" ht="33" hidden="1" customHeight="1">
      <c r="A827" s="82" t="s">
        <v>906</v>
      </c>
      <c r="B827" s="84" t="s">
        <v>92</v>
      </c>
      <c r="C827" s="84" t="s">
        <v>25</v>
      </c>
      <c r="D827" s="84" t="s">
        <v>27</v>
      </c>
      <c r="E827" s="84" t="s">
        <v>905</v>
      </c>
      <c r="F827" s="84"/>
      <c r="G827" s="70">
        <f>G828</f>
        <v>0</v>
      </c>
      <c r="H827" s="87"/>
      <c r="I827" s="87"/>
      <c r="J827" s="173"/>
    </row>
    <row r="828" spans="1:18" ht="24.75" hidden="1" customHeight="1">
      <c r="A828" s="82" t="s">
        <v>29</v>
      </c>
      <c r="B828" s="84" t="s">
        <v>92</v>
      </c>
      <c r="C828" s="84" t="s">
        <v>25</v>
      </c>
      <c r="D828" s="84" t="s">
        <v>27</v>
      </c>
      <c r="E828" s="84" t="s">
        <v>905</v>
      </c>
      <c r="F828" s="84" t="s">
        <v>30</v>
      </c>
      <c r="G828" s="70">
        <f>G829</f>
        <v>0</v>
      </c>
      <c r="H828" s="87"/>
      <c r="I828" s="87"/>
      <c r="J828" s="173"/>
    </row>
    <row r="829" spans="1:18" ht="19.5" hidden="1" customHeight="1">
      <c r="A829" s="82" t="s">
        <v>31</v>
      </c>
      <c r="B829" s="84" t="s">
        <v>92</v>
      </c>
      <c r="C829" s="84" t="s">
        <v>25</v>
      </c>
      <c r="D829" s="84" t="s">
        <v>27</v>
      </c>
      <c r="E829" s="84" t="s">
        <v>905</v>
      </c>
      <c r="F829" s="84" t="s">
        <v>32</v>
      </c>
      <c r="G829" s="70"/>
      <c r="H829" s="87"/>
      <c r="I829" s="87"/>
      <c r="J829" s="173"/>
    </row>
    <row r="830" spans="1:18" ht="32.25" customHeight="1">
      <c r="A830" s="82" t="s">
        <v>416</v>
      </c>
      <c r="B830" s="84" t="s">
        <v>92</v>
      </c>
      <c r="C830" s="84" t="s">
        <v>25</v>
      </c>
      <c r="D830" s="84" t="s">
        <v>27</v>
      </c>
      <c r="E830" s="84" t="s">
        <v>522</v>
      </c>
      <c r="F830" s="84"/>
      <c r="G830" s="70">
        <f t="shared" ref="G830:I830" si="218">G831</f>
        <v>206212</v>
      </c>
      <c r="H830" s="87">
        <f t="shared" si="218"/>
        <v>0</v>
      </c>
      <c r="I830" s="87">
        <f t="shared" si="218"/>
        <v>0</v>
      </c>
      <c r="J830" s="173"/>
    </row>
    <row r="831" spans="1:18" ht="26.4">
      <c r="A831" s="82" t="s">
        <v>29</v>
      </c>
      <c r="B831" s="84" t="s">
        <v>92</v>
      </c>
      <c r="C831" s="84" t="s">
        <v>25</v>
      </c>
      <c r="D831" s="84" t="s">
        <v>27</v>
      </c>
      <c r="E831" s="84" t="s">
        <v>522</v>
      </c>
      <c r="F831" s="84" t="s">
        <v>30</v>
      </c>
      <c r="G831" s="70">
        <f>G832</f>
        <v>206212</v>
      </c>
      <c r="H831" s="87">
        <f>H832</f>
        <v>0</v>
      </c>
      <c r="I831" s="87">
        <f>I832</f>
        <v>0</v>
      </c>
      <c r="J831" s="173"/>
    </row>
    <row r="832" spans="1:18">
      <c r="A832" s="82" t="s">
        <v>31</v>
      </c>
      <c r="B832" s="84" t="s">
        <v>92</v>
      </c>
      <c r="C832" s="84" t="s">
        <v>25</v>
      </c>
      <c r="D832" s="84" t="s">
        <v>27</v>
      </c>
      <c r="E832" s="15" t="s">
        <v>522</v>
      </c>
      <c r="F832" s="15" t="s">
        <v>32</v>
      </c>
      <c r="G832" s="70">
        <v>206212</v>
      </c>
      <c r="H832" s="70">
        <v>0</v>
      </c>
      <c r="I832" s="87">
        <v>0</v>
      </c>
      <c r="J832" s="173"/>
    </row>
    <row r="833" spans="1:18" s="3" customFormat="1" ht="66">
      <c r="A833" s="104" t="s">
        <v>850</v>
      </c>
      <c r="B833" s="145">
        <v>774</v>
      </c>
      <c r="C833" s="84" t="s">
        <v>25</v>
      </c>
      <c r="D833" s="84" t="s">
        <v>27</v>
      </c>
      <c r="E833" s="15" t="s">
        <v>741</v>
      </c>
      <c r="F833" s="15"/>
      <c r="G833" s="70">
        <f>G835</f>
        <v>1787576</v>
      </c>
      <c r="H833" s="70">
        <f>H835</f>
        <v>1787576</v>
      </c>
      <c r="I833" s="87">
        <f>I835</f>
        <v>1787576</v>
      </c>
      <c r="J833" s="173"/>
      <c r="K833" s="194"/>
      <c r="L833" s="194"/>
      <c r="M833" s="194"/>
      <c r="N833" s="194"/>
      <c r="O833" s="194"/>
      <c r="P833" s="194"/>
      <c r="Q833" s="194"/>
      <c r="R833" s="194"/>
    </row>
    <row r="834" spans="1:18" ht="26.4">
      <c r="A834" s="82" t="s">
        <v>29</v>
      </c>
      <c r="B834" s="84" t="s">
        <v>92</v>
      </c>
      <c r="C834" s="84" t="s">
        <v>25</v>
      </c>
      <c r="D834" s="84" t="s">
        <v>27</v>
      </c>
      <c r="E834" s="15" t="s">
        <v>741</v>
      </c>
      <c r="F834" s="15" t="s">
        <v>30</v>
      </c>
      <c r="G834" s="70">
        <f>G835</f>
        <v>1787576</v>
      </c>
      <c r="H834" s="70">
        <f>H835</f>
        <v>1787576</v>
      </c>
      <c r="I834" s="87">
        <f>I835</f>
        <v>1787576</v>
      </c>
      <c r="J834" s="173"/>
    </row>
    <row r="835" spans="1:18" s="3" customFormat="1">
      <c r="A835" s="82" t="s">
        <v>31</v>
      </c>
      <c r="B835" s="145">
        <v>774</v>
      </c>
      <c r="C835" s="84" t="s">
        <v>25</v>
      </c>
      <c r="D835" s="84" t="s">
        <v>27</v>
      </c>
      <c r="E835" s="15" t="s">
        <v>741</v>
      </c>
      <c r="F835" s="15" t="s">
        <v>32</v>
      </c>
      <c r="G835" s="70">
        <f>893788+893788</f>
        <v>1787576</v>
      </c>
      <c r="H835" s="70">
        <f>893788+893788</f>
        <v>1787576</v>
      </c>
      <c r="I835" s="87">
        <f>893788+893788</f>
        <v>1787576</v>
      </c>
      <c r="J835" s="173"/>
      <c r="K835" s="194"/>
      <c r="L835" s="194"/>
      <c r="M835" s="194"/>
      <c r="N835" s="194"/>
      <c r="O835" s="194"/>
      <c r="P835" s="194"/>
      <c r="Q835" s="194"/>
      <c r="R835" s="194"/>
    </row>
    <row r="836" spans="1:18" s="3" customFormat="1" ht="88.5" hidden="1" customHeight="1">
      <c r="A836" s="82" t="s">
        <v>703</v>
      </c>
      <c r="B836" s="145">
        <v>774</v>
      </c>
      <c r="C836" s="84" t="s">
        <v>25</v>
      </c>
      <c r="D836" s="84" t="s">
        <v>27</v>
      </c>
      <c r="E836" s="15" t="s">
        <v>674</v>
      </c>
      <c r="F836" s="15"/>
      <c r="G836" s="70">
        <f>G838</f>
        <v>0</v>
      </c>
      <c r="H836" s="70">
        <f>H838</f>
        <v>0</v>
      </c>
      <c r="I836" s="87">
        <f>I838</f>
        <v>0</v>
      </c>
      <c r="J836" s="173"/>
      <c r="K836" s="194"/>
      <c r="L836" s="194"/>
      <c r="M836" s="194"/>
      <c r="N836" s="194"/>
      <c r="O836" s="194"/>
      <c r="P836" s="194"/>
      <c r="Q836" s="194"/>
      <c r="R836" s="194"/>
    </row>
    <row r="837" spans="1:18" ht="26.4" hidden="1">
      <c r="A837" s="82" t="s">
        <v>94</v>
      </c>
      <c r="B837" s="84" t="s">
        <v>92</v>
      </c>
      <c r="C837" s="84" t="s">
        <v>25</v>
      </c>
      <c r="D837" s="84" t="s">
        <v>27</v>
      </c>
      <c r="E837" s="15" t="s">
        <v>674</v>
      </c>
      <c r="F837" s="15" t="s">
        <v>338</v>
      </c>
      <c r="G837" s="70">
        <f>G838</f>
        <v>0</v>
      </c>
      <c r="H837" s="70">
        <f>H838</f>
        <v>0</v>
      </c>
      <c r="I837" s="87">
        <f>I838</f>
        <v>0</v>
      </c>
      <c r="J837" s="173"/>
    </row>
    <row r="838" spans="1:18" s="3" customFormat="1" ht="92.4" hidden="1">
      <c r="A838" s="82" t="s">
        <v>407</v>
      </c>
      <c r="B838" s="145">
        <v>774</v>
      </c>
      <c r="C838" s="84" t="s">
        <v>25</v>
      </c>
      <c r="D838" s="84" t="s">
        <v>27</v>
      </c>
      <c r="E838" s="15" t="s">
        <v>674</v>
      </c>
      <c r="F838" s="15" t="s">
        <v>406</v>
      </c>
      <c r="G838" s="70"/>
      <c r="H838" s="70">
        <v>0</v>
      </c>
      <c r="I838" s="87">
        <v>0</v>
      </c>
      <c r="J838" s="173"/>
      <c r="K838" s="194"/>
      <c r="L838" s="194"/>
      <c r="M838" s="194"/>
      <c r="N838" s="194"/>
      <c r="O838" s="194"/>
      <c r="P838" s="194"/>
      <c r="Q838" s="194"/>
      <c r="R838" s="194"/>
    </row>
    <row r="839" spans="1:18" s="3" customFormat="1" ht="39.6" hidden="1">
      <c r="A839" s="82" t="s">
        <v>676</v>
      </c>
      <c r="B839" s="145">
        <v>774</v>
      </c>
      <c r="C839" s="84" t="s">
        <v>25</v>
      </c>
      <c r="D839" s="84" t="s">
        <v>27</v>
      </c>
      <c r="E839" s="15" t="s">
        <v>675</v>
      </c>
      <c r="F839" s="15"/>
      <c r="G839" s="70">
        <f>G841</f>
        <v>0</v>
      </c>
      <c r="H839" s="70">
        <f>H841</f>
        <v>0</v>
      </c>
      <c r="I839" s="87">
        <f>I841</f>
        <v>0</v>
      </c>
      <c r="J839" s="173"/>
      <c r="K839" s="194"/>
      <c r="L839" s="194"/>
      <c r="M839" s="194"/>
      <c r="N839" s="194"/>
      <c r="O839" s="194"/>
      <c r="P839" s="194"/>
      <c r="Q839" s="194"/>
      <c r="R839" s="194"/>
    </row>
    <row r="840" spans="1:18" ht="26.4" hidden="1">
      <c r="A840" s="82" t="s">
        <v>94</v>
      </c>
      <c r="B840" s="84" t="s">
        <v>92</v>
      </c>
      <c r="C840" s="84" t="s">
        <v>25</v>
      </c>
      <c r="D840" s="84" t="s">
        <v>27</v>
      </c>
      <c r="E840" s="15" t="s">
        <v>675</v>
      </c>
      <c r="F840" s="15" t="s">
        <v>338</v>
      </c>
      <c r="G840" s="70">
        <f>G841</f>
        <v>0</v>
      </c>
      <c r="H840" s="70">
        <f>H841</f>
        <v>0</v>
      </c>
      <c r="I840" s="87">
        <f>I841</f>
        <v>0</v>
      </c>
      <c r="J840" s="173"/>
    </row>
    <row r="841" spans="1:18" s="3" customFormat="1" ht="92.4" hidden="1">
      <c r="A841" s="82" t="s">
        <v>407</v>
      </c>
      <c r="B841" s="145">
        <v>774</v>
      </c>
      <c r="C841" s="84" t="s">
        <v>25</v>
      </c>
      <c r="D841" s="84" t="s">
        <v>27</v>
      </c>
      <c r="E841" s="15" t="s">
        <v>675</v>
      </c>
      <c r="F841" s="15" t="s">
        <v>406</v>
      </c>
      <c r="G841" s="70"/>
      <c r="H841" s="70">
        <v>0</v>
      </c>
      <c r="I841" s="87">
        <v>0</v>
      </c>
      <c r="J841" s="173"/>
      <c r="K841" s="194"/>
      <c r="L841" s="194"/>
      <c r="M841" s="194"/>
      <c r="N841" s="194"/>
      <c r="O841" s="194"/>
      <c r="P841" s="194"/>
      <c r="Q841" s="194"/>
      <c r="R841" s="194"/>
    </row>
    <row r="842" spans="1:18" ht="63" hidden="1" customHeight="1">
      <c r="A842" s="82" t="s">
        <v>401</v>
      </c>
      <c r="B842" s="84" t="s">
        <v>92</v>
      </c>
      <c r="C842" s="84" t="s">
        <v>25</v>
      </c>
      <c r="D842" s="84" t="s">
        <v>27</v>
      </c>
      <c r="E842" s="15" t="s">
        <v>740</v>
      </c>
      <c r="F842" s="15"/>
      <c r="G842" s="70">
        <f t="shared" ref="G842:I842" si="219">G843</f>
        <v>0</v>
      </c>
      <c r="H842" s="70">
        <f t="shared" si="219"/>
        <v>0</v>
      </c>
      <c r="I842" s="87">
        <f t="shared" si="219"/>
        <v>0</v>
      </c>
      <c r="J842" s="173"/>
    </row>
    <row r="843" spans="1:18" ht="26.4" hidden="1">
      <c r="A843" s="82" t="s">
        <v>29</v>
      </c>
      <c r="B843" s="84" t="s">
        <v>92</v>
      </c>
      <c r="C843" s="84" t="s">
        <v>25</v>
      </c>
      <c r="D843" s="84" t="s">
        <v>27</v>
      </c>
      <c r="E843" s="15" t="s">
        <v>740</v>
      </c>
      <c r="F843" s="15" t="s">
        <v>30</v>
      </c>
      <c r="G843" s="70">
        <f>G844</f>
        <v>0</v>
      </c>
      <c r="H843" s="70">
        <f>H844</f>
        <v>0</v>
      </c>
      <c r="I843" s="87">
        <f>I844</f>
        <v>0</v>
      </c>
      <c r="J843" s="173"/>
    </row>
    <row r="844" spans="1:18" hidden="1">
      <c r="A844" s="82" t="s">
        <v>31</v>
      </c>
      <c r="B844" s="84" t="s">
        <v>92</v>
      </c>
      <c r="C844" s="84" t="s">
        <v>25</v>
      </c>
      <c r="D844" s="84" t="s">
        <v>27</v>
      </c>
      <c r="E844" s="15" t="s">
        <v>740</v>
      </c>
      <c r="F844" s="15" t="s">
        <v>32</v>
      </c>
      <c r="G844" s="70"/>
      <c r="H844" s="70">
        <v>0</v>
      </c>
      <c r="I844" s="87">
        <v>0</v>
      </c>
      <c r="J844" s="173"/>
    </row>
    <row r="845" spans="1:18" s="18" customFormat="1" ht="51" customHeight="1">
      <c r="A845" s="271" t="s">
        <v>837</v>
      </c>
      <c r="B845" s="84" t="s">
        <v>92</v>
      </c>
      <c r="C845" s="84" t="s">
        <v>25</v>
      </c>
      <c r="D845" s="84" t="s">
        <v>27</v>
      </c>
      <c r="E845" s="15" t="s">
        <v>841</v>
      </c>
      <c r="F845" s="15"/>
      <c r="G845" s="70">
        <f t="shared" ref="G845:I846" si="220">G846</f>
        <v>2080357.94</v>
      </c>
      <c r="H845" s="70">
        <f t="shared" si="220"/>
        <v>830221</v>
      </c>
      <c r="I845" s="87">
        <f t="shared" si="220"/>
        <v>830221</v>
      </c>
      <c r="J845" s="173"/>
      <c r="K845" s="195"/>
      <c r="L845" s="195"/>
      <c r="M845" s="195"/>
      <c r="N845" s="195"/>
      <c r="O845" s="195"/>
      <c r="P845" s="195"/>
      <c r="Q845" s="195"/>
      <c r="R845" s="195"/>
    </row>
    <row r="846" spans="1:18" s="18" customFormat="1" ht="26.4">
      <c r="A846" s="82" t="s">
        <v>29</v>
      </c>
      <c r="B846" s="84" t="s">
        <v>92</v>
      </c>
      <c r="C846" s="84" t="s">
        <v>25</v>
      </c>
      <c r="D846" s="84" t="s">
        <v>27</v>
      </c>
      <c r="E846" s="15" t="s">
        <v>841</v>
      </c>
      <c r="F846" s="15" t="s">
        <v>30</v>
      </c>
      <c r="G846" s="70">
        <f t="shared" si="220"/>
        <v>2080357.94</v>
      </c>
      <c r="H846" s="70">
        <f t="shared" si="220"/>
        <v>830221</v>
      </c>
      <c r="I846" s="87">
        <f t="shared" si="220"/>
        <v>830221</v>
      </c>
      <c r="J846" s="173"/>
      <c r="K846" s="195"/>
      <c r="L846" s="195"/>
      <c r="M846" s="195"/>
      <c r="N846" s="195"/>
      <c r="O846" s="195"/>
      <c r="P846" s="195"/>
      <c r="Q846" s="195"/>
      <c r="R846" s="195"/>
    </row>
    <row r="847" spans="1:18">
      <c r="A847" s="82" t="s">
        <v>31</v>
      </c>
      <c r="B847" s="84" t="s">
        <v>92</v>
      </c>
      <c r="C847" s="84" t="s">
        <v>25</v>
      </c>
      <c r="D847" s="84" t="s">
        <v>27</v>
      </c>
      <c r="E847" s="15" t="s">
        <v>841</v>
      </c>
      <c r="F847" s="15" t="s">
        <v>32</v>
      </c>
      <c r="G847" s="70">
        <f>2080221+136.94</f>
        <v>2080357.94</v>
      </c>
      <c r="H847" s="70">
        <f>1630221-800000</f>
        <v>830221</v>
      </c>
      <c r="I847" s="87">
        <f>1630221-800000</f>
        <v>830221</v>
      </c>
      <c r="J847" s="173"/>
    </row>
    <row r="848" spans="1:18" s="18" customFormat="1" ht="92.4">
      <c r="A848" s="104" t="s">
        <v>1054</v>
      </c>
      <c r="B848" s="84" t="s">
        <v>92</v>
      </c>
      <c r="C848" s="84" t="s">
        <v>25</v>
      </c>
      <c r="D848" s="84" t="s">
        <v>27</v>
      </c>
      <c r="E848" s="15" t="s">
        <v>637</v>
      </c>
      <c r="F848" s="15"/>
      <c r="G848" s="70">
        <f t="shared" ref="G848:I849" si="221">G849</f>
        <v>66406.84</v>
      </c>
      <c r="H848" s="70">
        <f t="shared" si="221"/>
        <v>0</v>
      </c>
      <c r="I848" s="87">
        <f t="shared" si="221"/>
        <v>0</v>
      </c>
      <c r="J848" s="173"/>
      <c r="K848" s="195"/>
      <c r="L848" s="195"/>
      <c r="M848" s="195"/>
      <c r="N848" s="195"/>
      <c r="O848" s="195"/>
      <c r="P848" s="195"/>
      <c r="Q848" s="195"/>
      <c r="R848" s="195"/>
    </row>
    <row r="849" spans="1:18" s="18" customFormat="1" ht="26.4">
      <c r="A849" s="82" t="s">
        <v>29</v>
      </c>
      <c r="B849" s="84" t="s">
        <v>92</v>
      </c>
      <c r="C849" s="84" t="s">
        <v>25</v>
      </c>
      <c r="D849" s="84" t="s">
        <v>27</v>
      </c>
      <c r="E849" s="15" t="s">
        <v>637</v>
      </c>
      <c r="F849" s="15" t="s">
        <v>30</v>
      </c>
      <c r="G849" s="70">
        <f t="shared" si="221"/>
        <v>66406.84</v>
      </c>
      <c r="H849" s="70">
        <f t="shared" si="221"/>
        <v>0</v>
      </c>
      <c r="I849" s="87">
        <f t="shared" si="221"/>
        <v>0</v>
      </c>
      <c r="J849" s="173"/>
      <c r="K849" s="195"/>
      <c r="L849" s="195"/>
      <c r="M849" s="195"/>
      <c r="N849" s="195"/>
      <c r="O849" s="195"/>
      <c r="P849" s="195"/>
      <c r="Q849" s="195"/>
      <c r="R849" s="195"/>
    </row>
    <row r="850" spans="1:18" s="18" customFormat="1">
      <c r="A850" s="82" t="s">
        <v>31</v>
      </c>
      <c r="B850" s="84" t="s">
        <v>92</v>
      </c>
      <c r="C850" s="84" t="s">
        <v>25</v>
      </c>
      <c r="D850" s="84" t="s">
        <v>27</v>
      </c>
      <c r="E850" s="15" t="s">
        <v>637</v>
      </c>
      <c r="F850" s="15" t="s">
        <v>32</v>
      </c>
      <c r="G850" s="70">
        <f>1300.84+63606+1500</f>
        <v>66406.84</v>
      </c>
      <c r="H850" s="70">
        <v>0</v>
      </c>
      <c r="I850" s="87">
        <v>0</v>
      </c>
      <c r="J850" s="173"/>
      <c r="K850" s="195"/>
      <c r="L850" s="195"/>
      <c r="M850" s="195"/>
      <c r="N850" s="195"/>
      <c r="O850" s="195"/>
      <c r="P850" s="195"/>
      <c r="Q850" s="195"/>
      <c r="R850" s="195"/>
    </row>
    <row r="851" spans="1:18" s="3" customFormat="1" hidden="1">
      <c r="A851" s="82" t="s">
        <v>1</v>
      </c>
      <c r="B851" s="145">
        <v>774</v>
      </c>
      <c r="C851" s="84" t="s">
        <v>25</v>
      </c>
      <c r="D851" s="84" t="s">
        <v>27</v>
      </c>
      <c r="E851" s="15" t="s">
        <v>523</v>
      </c>
      <c r="F851" s="15"/>
      <c r="G851" s="70">
        <f t="shared" ref="G851:I852" si="222">G852</f>
        <v>0</v>
      </c>
      <c r="H851" s="70">
        <f t="shared" si="222"/>
        <v>0</v>
      </c>
      <c r="I851" s="87">
        <f t="shared" si="222"/>
        <v>0</v>
      </c>
      <c r="J851" s="173"/>
      <c r="K851" s="194"/>
      <c r="L851" s="194"/>
      <c r="M851" s="194"/>
      <c r="N851" s="194"/>
      <c r="O851" s="194"/>
      <c r="P851" s="194"/>
      <c r="Q851" s="194"/>
      <c r="R851" s="194"/>
    </row>
    <row r="852" spans="1:18" s="3" customFormat="1" ht="26.4" hidden="1">
      <c r="A852" s="82" t="s">
        <v>29</v>
      </c>
      <c r="B852" s="145">
        <v>774</v>
      </c>
      <c r="C852" s="84" t="s">
        <v>25</v>
      </c>
      <c r="D852" s="84" t="s">
        <v>27</v>
      </c>
      <c r="E852" s="15" t="s">
        <v>523</v>
      </c>
      <c r="F852" s="15" t="s">
        <v>30</v>
      </c>
      <c r="G852" s="70">
        <f t="shared" si="222"/>
        <v>0</v>
      </c>
      <c r="H852" s="70">
        <f t="shared" si="222"/>
        <v>0</v>
      </c>
      <c r="I852" s="87">
        <f t="shared" si="222"/>
        <v>0</v>
      </c>
      <c r="J852" s="173"/>
      <c r="K852" s="194"/>
      <c r="L852" s="194"/>
      <c r="M852" s="194"/>
      <c r="N852" s="194"/>
      <c r="O852" s="194"/>
      <c r="P852" s="194"/>
      <c r="Q852" s="194"/>
      <c r="R852" s="194"/>
    </row>
    <row r="853" spans="1:18" s="3" customFormat="1" hidden="1">
      <c r="A853" s="82" t="s">
        <v>31</v>
      </c>
      <c r="B853" s="145">
        <v>774</v>
      </c>
      <c r="C853" s="84" t="s">
        <v>25</v>
      </c>
      <c r="D853" s="84" t="s">
        <v>27</v>
      </c>
      <c r="E853" s="15" t="s">
        <v>523</v>
      </c>
      <c r="F853" s="15" t="s">
        <v>32</v>
      </c>
      <c r="G853" s="70"/>
      <c r="H853" s="70">
        <v>0</v>
      </c>
      <c r="I853" s="87">
        <v>0</v>
      </c>
      <c r="J853" s="173"/>
      <c r="K853" s="194"/>
      <c r="L853" s="194"/>
      <c r="M853" s="194"/>
      <c r="N853" s="194"/>
      <c r="O853" s="194"/>
      <c r="P853" s="194"/>
      <c r="Q853" s="194"/>
      <c r="R853" s="194"/>
    </row>
    <row r="854" spans="1:18" s="3" customFormat="1" ht="52.5" hidden="1" customHeight="1">
      <c r="A854" s="82" t="s">
        <v>401</v>
      </c>
      <c r="B854" s="145">
        <v>774</v>
      </c>
      <c r="C854" s="84" t="s">
        <v>25</v>
      </c>
      <c r="D854" s="84" t="s">
        <v>27</v>
      </c>
      <c r="E854" s="15" t="s">
        <v>585</v>
      </c>
      <c r="F854" s="15"/>
      <c r="G854" s="70">
        <f t="shared" ref="G854:I855" si="223">G855</f>
        <v>0</v>
      </c>
      <c r="H854" s="70">
        <f t="shared" si="223"/>
        <v>0</v>
      </c>
      <c r="I854" s="87">
        <f t="shared" si="223"/>
        <v>0</v>
      </c>
      <c r="J854" s="173"/>
      <c r="K854" s="194"/>
      <c r="L854" s="194"/>
      <c r="M854" s="194"/>
      <c r="N854" s="194"/>
      <c r="O854" s="194"/>
      <c r="P854" s="194"/>
      <c r="Q854" s="194"/>
      <c r="R854" s="194"/>
    </row>
    <row r="855" spans="1:18" s="3" customFormat="1" ht="26.4" hidden="1">
      <c r="A855" s="82" t="s">
        <v>29</v>
      </c>
      <c r="B855" s="145">
        <v>774</v>
      </c>
      <c r="C855" s="84" t="s">
        <v>25</v>
      </c>
      <c r="D855" s="84" t="s">
        <v>27</v>
      </c>
      <c r="E855" s="15" t="s">
        <v>585</v>
      </c>
      <c r="F855" s="15" t="s">
        <v>30</v>
      </c>
      <c r="G855" s="70">
        <f t="shared" si="223"/>
        <v>0</v>
      </c>
      <c r="H855" s="70">
        <f t="shared" si="223"/>
        <v>0</v>
      </c>
      <c r="I855" s="87">
        <f t="shared" si="223"/>
        <v>0</v>
      </c>
      <c r="J855" s="173"/>
      <c r="K855" s="194"/>
      <c r="L855" s="194"/>
      <c r="M855" s="194"/>
      <c r="N855" s="194"/>
      <c r="O855" s="194"/>
      <c r="P855" s="194"/>
      <c r="Q855" s="194"/>
      <c r="R855" s="194"/>
    </row>
    <row r="856" spans="1:18" s="3" customFormat="1" hidden="1">
      <c r="A856" s="82" t="s">
        <v>31</v>
      </c>
      <c r="B856" s="145">
        <v>774</v>
      </c>
      <c r="C856" s="84" t="s">
        <v>25</v>
      </c>
      <c r="D856" s="84" t="s">
        <v>27</v>
      </c>
      <c r="E856" s="15" t="s">
        <v>585</v>
      </c>
      <c r="F856" s="15" t="s">
        <v>32</v>
      </c>
      <c r="G856" s="70"/>
      <c r="H856" s="70"/>
      <c r="I856" s="87"/>
      <c r="J856" s="173"/>
      <c r="K856" s="194"/>
      <c r="L856" s="194"/>
      <c r="M856" s="194"/>
      <c r="N856" s="194"/>
      <c r="O856" s="194"/>
      <c r="P856" s="194"/>
      <c r="Q856" s="194"/>
      <c r="R856" s="194"/>
    </row>
    <row r="857" spans="1:18" s="18" customFormat="1" ht="92.4" hidden="1">
      <c r="A857" s="139" t="s">
        <v>742</v>
      </c>
      <c r="B857" s="84" t="s">
        <v>92</v>
      </c>
      <c r="C857" s="84" t="s">
        <v>25</v>
      </c>
      <c r="D857" s="84" t="s">
        <v>27</v>
      </c>
      <c r="E857" s="15" t="s">
        <v>741</v>
      </c>
      <c r="F857" s="15"/>
      <c r="G857" s="70">
        <f t="shared" ref="G857:I858" si="224">G858</f>
        <v>0</v>
      </c>
      <c r="H857" s="70">
        <f t="shared" si="224"/>
        <v>0</v>
      </c>
      <c r="I857" s="87">
        <f t="shared" si="224"/>
        <v>0</v>
      </c>
      <c r="J857" s="173"/>
      <c r="K857" s="195"/>
      <c r="L857" s="195"/>
      <c r="M857" s="195"/>
      <c r="N857" s="195"/>
      <c r="O857" s="195"/>
      <c r="P857" s="195"/>
      <c r="Q857" s="195"/>
      <c r="R857" s="195"/>
    </row>
    <row r="858" spans="1:18" s="18" customFormat="1" ht="26.4" hidden="1">
      <c r="A858" s="82" t="s">
        <v>29</v>
      </c>
      <c r="B858" s="84" t="s">
        <v>92</v>
      </c>
      <c r="C858" s="84" t="s">
        <v>25</v>
      </c>
      <c r="D858" s="84" t="s">
        <v>27</v>
      </c>
      <c r="E858" s="15" t="s">
        <v>741</v>
      </c>
      <c r="F858" s="15" t="s">
        <v>30</v>
      </c>
      <c r="G858" s="70">
        <f t="shared" si="224"/>
        <v>0</v>
      </c>
      <c r="H858" s="70">
        <f t="shared" si="224"/>
        <v>0</v>
      </c>
      <c r="I858" s="87">
        <f t="shared" si="224"/>
        <v>0</v>
      </c>
      <c r="J858" s="173"/>
      <c r="K858" s="195"/>
      <c r="L858" s="195"/>
      <c r="M858" s="195"/>
      <c r="N858" s="195"/>
      <c r="O858" s="195"/>
      <c r="P858" s="195"/>
      <c r="Q858" s="195"/>
      <c r="R858" s="195"/>
    </row>
    <row r="859" spans="1:18" s="18" customFormat="1" hidden="1">
      <c r="A859" s="82" t="s">
        <v>31</v>
      </c>
      <c r="B859" s="84" t="s">
        <v>92</v>
      </c>
      <c r="C859" s="84" t="s">
        <v>25</v>
      </c>
      <c r="D859" s="84" t="s">
        <v>27</v>
      </c>
      <c r="E859" s="15" t="s">
        <v>741</v>
      </c>
      <c r="F859" s="15" t="s">
        <v>32</v>
      </c>
      <c r="G859" s="70"/>
      <c r="H859" s="70"/>
      <c r="I859" s="87"/>
      <c r="J859" s="173"/>
      <c r="K859" s="195"/>
      <c r="L859" s="195"/>
      <c r="M859" s="195"/>
      <c r="N859" s="195"/>
      <c r="O859" s="195"/>
      <c r="P859" s="195"/>
      <c r="Q859" s="195"/>
      <c r="R859" s="195"/>
    </row>
    <row r="860" spans="1:18" s="18" customFormat="1" hidden="1">
      <c r="A860" s="139"/>
      <c r="B860" s="84"/>
      <c r="C860" s="84" t="s">
        <v>25</v>
      </c>
      <c r="D860" s="84" t="s">
        <v>27</v>
      </c>
      <c r="E860" s="15"/>
      <c r="F860" s="15"/>
      <c r="G860" s="70"/>
      <c r="H860" s="70"/>
      <c r="I860" s="87"/>
      <c r="J860" s="173"/>
      <c r="K860" s="195"/>
      <c r="L860" s="195"/>
      <c r="M860" s="195"/>
      <c r="N860" s="195"/>
      <c r="O860" s="195"/>
      <c r="P860" s="195"/>
      <c r="Q860" s="195"/>
      <c r="R860" s="195"/>
    </row>
    <row r="861" spans="1:18" s="18" customFormat="1" hidden="1">
      <c r="A861" s="82"/>
      <c r="B861" s="84"/>
      <c r="C861" s="84" t="s">
        <v>25</v>
      </c>
      <c r="D861" s="84" t="s">
        <v>27</v>
      </c>
      <c r="E861" s="15"/>
      <c r="F861" s="15"/>
      <c r="G861" s="70"/>
      <c r="H861" s="70"/>
      <c r="I861" s="87"/>
      <c r="J861" s="173"/>
      <c r="K861" s="195"/>
      <c r="L861" s="195"/>
      <c r="M861" s="195"/>
      <c r="N861" s="195"/>
      <c r="O861" s="195"/>
      <c r="P861" s="195"/>
      <c r="Q861" s="195"/>
      <c r="R861" s="195"/>
    </row>
    <row r="862" spans="1:18" s="18" customFormat="1" hidden="1">
      <c r="A862" s="82"/>
      <c r="B862" s="84"/>
      <c r="C862" s="84" t="s">
        <v>25</v>
      </c>
      <c r="D862" s="84" t="s">
        <v>27</v>
      </c>
      <c r="E862" s="15"/>
      <c r="F862" s="15"/>
      <c r="G862" s="70"/>
      <c r="H862" s="70"/>
      <c r="I862" s="87"/>
      <c r="J862" s="173"/>
      <c r="K862" s="195"/>
      <c r="L862" s="195"/>
      <c r="M862" s="195"/>
      <c r="N862" s="195"/>
      <c r="O862" s="195"/>
      <c r="P862" s="195"/>
      <c r="Q862" s="195"/>
      <c r="R862" s="195"/>
    </row>
    <row r="863" spans="1:18" ht="54.75" hidden="1" customHeight="1">
      <c r="A863" s="104" t="s">
        <v>619</v>
      </c>
      <c r="B863" s="84" t="s">
        <v>92</v>
      </c>
      <c r="C863" s="84" t="s">
        <v>25</v>
      </c>
      <c r="D863" s="84" t="s">
        <v>27</v>
      </c>
      <c r="E863" s="15" t="s">
        <v>618</v>
      </c>
      <c r="F863" s="15"/>
      <c r="G863" s="70">
        <f t="shared" ref="G863:I863" si="225">G864</f>
        <v>0</v>
      </c>
      <c r="H863" s="70">
        <f t="shared" si="225"/>
        <v>0</v>
      </c>
      <c r="I863" s="87">
        <f t="shared" si="225"/>
        <v>0</v>
      </c>
      <c r="J863" s="173"/>
    </row>
    <row r="864" spans="1:18" ht="26.4" hidden="1">
      <c r="A864" s="82" t="s">
        <v>29</v>
      </c>
      <c r="B864" s="84" t="s">
        <v>92</v>
      </c>
      <c r="C864" s="84" t="s">
        <v>25</v>
      </c>
      <c r="D864" s="84" t="s">
        <v>27</v>
      </c>
      <c r="E864" s="84" t="s">
        <v>618</v>
      </c>
      <c r="F864" s="84" t="s">
        <v>30</v>
      </c>
      <c r="G864" s="70">
        <f>G865</f>
        <v>0</v>
      </c>
      <c r="H864" s="87">
        <f>H865</f>
        <v>0</v>
      </c>
      <c r="I864" s="87">
        <f>I865</f>
        <v>0</v>
      </c>
      <c r="J864" s="173"/>
    </row>
    <row r="865" spans="1:18" hidden="1">
      <c r="A865" s="82" t="s">
        <v>31</v>
      </c>
      <c r="B865" s="84" t="s">
        <v>92</v>
      </c>
      <c r="C865" s="84" t="s">
        <v>25</v>
      </c>
      <c r="D865" s="84" t="s">
        <v>27</v>
      </c>
      <c r="E865" s="84" t="s">
        <v>618</v>
      </c>
      <c r="F865" s="84" t="s">
        <v>32</v>
      </c>
      <c r="G865" s="70">
        <v>0</v>
      </c>
      <c r="H865" s="87">
        <v>0</v>
      </c>
      <c r="I865" s="87">
        <v>0</v>
      </c>
      <c r="J865" s="173"/>
    </row>
    <row r="866" spans="1:18" s="3" customFormat="1" hidden="1">
      <c r="A866" s="82" t="s">
        <v>846</v>
      </c>
      <c r="B866" s="145">
        <v>774</v>
      </c>
      <c r="C866" s="84" t="s">
        <v>25</v>
      </c>
      <c r="D866" s="84" t="s">
        <v>27</v>
      </c>
      <c r="E866" s="84" t="s">
        <v>889</v>
      </c>
      <c r="F866" s="84"/>
      <c r="G866" s="70">
        <f t="shared" ref="G866:I867" si="226">G867</f>
        <v>0</v>
      </c>
      <c r="H866" s="87">
        <f t="shared" si="226"/>
        <v>0</v>
      </c>
      <c r="I866" s="87">
        <f t="shared" si="226"/>
        <v>0</v>
      </c>
      <c r="J866" s="173"/>
      <c r="K866" s="194"/>
      <c r="L866" s="194"/>
      <c r="M866" s="194"/>
      <c r="N866" s="194"/>
      <c r="O866" s="194"/>
      <c r="P866" s="194"/>
      <c r="Q866" s="194"/>
      <c r="R866" s="194"/>
    </row>
    <row r="867" spans="1:18" s="3" customFormat="1" ht="26.4" hidden="1">
      <c r="A867" s="82" t="s">
        <v>29</v>
      </c>
      <c r="B867" s="145">
        <v>774</v>
      </c>
      <c r="C867" s="84" t="s">
        <v>25</v>
      </c>
      <c r="D867" s="84" t="s">
        <v>27</v>
      </c>
      <c r="E867" s="84" t="s">
        <v>889</v>
      </c>
      <c r="F867" s="84" t="s">
        <v>30</v>
      </c>
      <c r="G867" s="70">
        <f t="shared" si="226"/>
        <v>0</v>
      </c>
      <c r="H867" s="87">
        <f t="shared" si="226"/>
        <v>0</v>
      </c>
      <c r="I867" s="87">
        <f t="shared" si="226"/>
        <v>0</v>
      </c>
      <c r="J867" s="173"/>
      <c r="K867" s="194"/>
      <c r="L867" s="194"/>
      <c r="M867" s="194"/>
      <c r="N867" s="194"/>
      <c r="O867" s="194"/>
      <c r="P867" s="194"/>
      <c r="Q867" s="194"/>
      <c r="R867" s="194"/>
    </row>
    <row r="868" spans="1:18" s="3" customFormat="1" hidden="1">
      <c r="A868" s="82" t="s">
        <v>31</v>
      </c>
      <c r="B868" s="145">
        <v>774</v>
      </c>
      <c r="C868" s="84" t="s">
        <v>25</v>
      </c>
      <c r="D868" s="84" t="s">
        <v>27</v>
      </c>
      <c r="E868" s="84" t="s">
        <v>889</v>
      </c>
      <c r="F868" s="84" t="s">
        <v>32</v>
      </c>
      <c r="G868" s="70"/>
      <c r="H868" s="87"/>
      <c r="I868" s="87"/>
      <c r="J868" s="173"/>
      <c r="K868" s="194"/>
      <c r="L868" s="194"/>
      <c r="M868" s="194"/>
      <c r="N868" s="194"/>
      <c r="O868" s="194"/>
      <c r="P868" s="194"/>
      <c r="Q868" s="194"/>
      <c r="R868" s="194"/>
    </row>
    <row r="869" spans="1:18" ht="46.5" hidden="1" customHeight="1">
      <c r="A869" s="82" t="s">
        <v>684</v>
      </c>
      <c r="B869" s="84" t="s">
        <v>92</v>
      </c>
      <c r="C869" s="84" t="s">
        <v>25</v>
      </c>
      <c r="D869" s="84" t="s">
        <v>27</v>
      </c>
      <c r="E869" s="84" t="s">
        <v>683</v>
      </c>
      <c r="F869" s="84"/>
      <c r="G869" s="70">
        <f t="shared" ref="G869:I869" si="227">G870</f>
        <v>0</v>
      </c>
      <c r="H869" s="87">
        <f t="shared" si="227"/>
        <v>0</v>
      </c>
      <c r="I869" s="87">
        <f t="shared" si="227"/>
        <v>0</v>
      </c>
      <c r="J869" s="173"/>
    </row>
    <row r="870" spans="1:18" ht="39.75" hidden="1" customHeight="1">
      <c r="A870" s="82" t="s">
        <v>94</v>
      </c>
      <c r="B870" s="84" t="s">
        <v>92</v>
      </c>
      <c r="C870" s="84" t="s">
        <v>25</v>
      </c>
      <c r="D870" s="84" t="s">
        <v>27</v>
      </c>
      <c r="E870" s="84" t="s">
        <v>683</v>
      </c>
      <c r="F870" s="84" t="s">
        <v>30</v>
      </c>
      <c r="G870" s="70">
        <f>G871</f>
        <v>0</v>
      </c>
      <c r="H870" s="87">
        <f>H871</f>
        <v>0</v>
      </c>
      <c r="I870" s="87">
        <f>I871</f>
        <v>0</v>
      </c>
      <c r="J870" s="173"/>
    </row>
    <row r="871" spans="1:18" ht="46.5" hidden="1" customHeight="1">
      <c r="A871" s="82" t="s">
        <v>407</v>
      </c>
      <c r="B871" s="84" t="s">
        <v>92</v>
      </c>
      <c r="C871" s="84" t="s">
        <v>25</v>
      </c>
      <c r="D871" s="84" t="s">
        <v>27</v>
      </c>
      <c r="E871" s="84" t="s">
        <v>683</v>
      </c>
      <c r="F871" s="84" t="s">
        <v>32</v>
      </c>
      <c r="G871" s="70"/>
      <c r="H871" s="87">
        <v>0</v>
      </c>
      <c r="I871" s="87">
        <v>0</v>
      </c>
      <c r="J871" s="173"/>
    </row>
    <row r="872" spans="1:18" ht="54" hidden="1" customHeight="1">
      <c r="A872" s="82" t="s">
        <v>659</v>
      </c>
      <c r="B872" s="84" t="s">
        <v>92</v>
      </c>
      <c r="C872" s="84" t="s">
        <v>25</v>
      </c>
      <c r="D872" s="84" t="s">
        <v>27</v>
      </c>
      <c r="E872" s="84" t="s">
        <v>658</v>
      </c>
      <c r="F872" s="84"/>
      <c r="G872" s="70">
        <f t="shared" ref="G872:I872" si="228">G873</f>
        <v>0</v>
      </c>
      <c r="H872" s="87">
        <f t="shared" si="228"/>
        <v>0</v>
      </c>
      <c r="I872" s="87">
        <f t="shared" si="228"/>
        <v>0</v>
      </c>
      <c r="J872" s="173"/>
    </row>
    <row r="873" spans="1:18" ht="46.5" hidden="1" customHeight="1">
      <c r="A873" s="82" t="s">
        <v>94</v>
      </c>
      <c r="B873" s="84" t="s">
        <v>92</v>
      </c>
      <c r="C873" s="84" t="s">
        <v>25</v>
      </c>
      <c r="D873" s="84" t="s">
        <v>27</v>
      </c>
      <c r="E873" s="84" t="s">
        <v>658</v>
      </c>
      <c r="F873" s="84" t="s">
        <v>338</v>
      </c>
      <c r="G873" s="70">
        <f>G874</f>
        <v>0</v>
      </c>
      <c r="H873" s="87">
        <f>H874</f>
        <v>0</v>
      </c>
      <c r="I873" s="87">
        <f>I874</f>
        <v>0</v>
      </c>
      <c r="J873" s="173"/>
    </row>
    <row r="874" spans="1:18" ht="52.5" hidden="1" customHeight="1">
      <c r="A874" s="82" t="s">
        <v>407</v>
      </c>
      <c r="B874" s="84" t="s">
        <v>92</v>
      </c>
      <c r="C874" s="84" t="s">
        <v>25</v>
      </c>
      <c r="D874" s="84" t="s">
        <v>27</v>
      </c>
      <c r="E874" s="84" t="s">
        <v>658</v>
      </c>
      <c r="F874" s="84" t="s">
        <v>406</v>
      </c>
      <c r="G874" s="70"/>
      <c r="H874" s="87">
        <v>0</v>
      </c>
      <c r="I874" s="87">
        <v>0</v>
      </c>
      <c r="J874" s="173"/>
    </row>
    <row r="875" spans="1:18" ht="108.75" customHeight="1">
      <c r="A875" s="104" t="s">
        <v>1276</v>
      </c>
      <c r="B875" s="84" t="s">
        <v>92</v>
      </c>
      <c r="C875" s="84" t="s">
        <v>25</v>
      </c>
      <c r="D875" s="84" t="s">
        <v>27</v>
      </c>
      <c r="E875" s="15" t="s">
        <v>1275</v>
      </c>
      <c r="F875" s="15"/>
      <c r="G875" s="70">
        <f t="shared" ref="G875:I875" si="229">G876</f>
        <v>31721510</v>
      </c>
      <c r="H875" s="70">
        <f t="shared" si="229"/>
        <v>30783990</v>
      </c>
      <c r="I875" s="87">
        <f t="shared" si="229"/>
        <v>30783990</v>
      </c>
      <c r="J875" s="173"/>
    </row>
    <row r="876" spans="1:18" ht="26.4">
      <c r="A876" s="82" t="s">
        <v>29</v>
      </c>
      <c r="B876" s="84" t="s">
        <v>92</v>
      </c>
      <c r="C876" s="84" t="s">
        <v>25</v>
      </c>
      <c r="D876" s="84" t="s">
        <v>27</v>
      </c>
      <c r="E876" s="15" t="s">
        <v>1275</v>
      </c>
      <c r="F876" s="84" t="s">
        <v>30</v>
      </c>
      <c r="G876" s="70">
        <f>G877</f>
        <v>31721510</v>
      </c>
      <c r="H876" s="87">
        <f>H877</f>
        <v>30783990</v>
      </c>
      <c r="I876" s="87">
        <f>I877</f>
        <v>30783990</v>
      </c>
      <c r="J876" s="173"/>
    </row>
    <row r="877" spans="1:18">
      <c r="A877" s="82" t="s">
        <v>31</v>
      </c>
      <c r="B877" s="84" t="s">
        <v>92</v>
      </c>
      <c r="C877" s="84" t="s">
        <v>25</v>
      </c>
      <c r="D877" s="84" t="s">
        <v>27</v>
      </c>
      <c r="E877" s="15" t="s">
        <v>1275</v>
      </c>
      <c r="F877" s="84" t="s">
        <v>32</v>
      </c>
      <c r="G877" s="70">
        <v>31721510</v>
      </c>
      <c r="H877" s="87">
        <v>30783990</v>
      </c>
      <c r="I877" s="87">
        <v>30783990</v>
      </c>
      <c r="J877" s="173"/>
    </row>
    <row r="878" spans="1:18" ht="75" customHeight="1">
      <c r="A878" s="104" t="s">
        <v>1413</v>
      </c>
      <c r="B878" s="84" t="s">
        <v>92</v>
      </c>
      <c r="C878" s="84" t="s">
        <v>25</v>
      </c>
      <c r="D878" s="84" t="s">
        <v>27</v>
      </c>
      <c r="E878" s="15" t="s">
        <v>1412</v>
      </c>
      <c r="F878" s="15"/>
      <c r="G878" s="70">
        <f t="shared" ref="G878:I878" si="230">G879</f>
        <v>810979.34</v>
      </c>
      <c r="H878" s="70">
        <f t="shared" si="230"/>
        <v>4396968.58</v>
      </c>
      <c r="I878" s="87">
        <f t="shared" si="230"/>
        <v>4396968.58</v>
      </c>
      <c r="J878" s="173"/>
    </row>
    <row r="879" spans="1:18" ht="26.4">
      <c r="A879" s="82" t="s">
        <v>29</v>
      </c>
      <c r="B879" s="84" t="s">
        <v>92</v>
      </c>
      <c r="C879" s="84" t="s">
        <v>25</v>
      </c>
      <c r="D879" s="84" t="s">
        <v>27</v>
      </c>
      <c r="E879" s="15" t="s">
        <v>1412</v>
      </c>
      <c r="F879" s="84" t="s">
        <v>30</v>
      </c>
      <c r="G879" s="70">
        <f>G880</f>
        <v>810979.34</v>
      </c>
      <c r="H879" s="87">
        <f>H880</f>
        <v>4396968.58</v>
      </c>
      <c r="I879" s="87">
        <f>I880</f>
        <v>4396968.58</v>
      </c>
      <c r="J879" s="173"/>
    </row>
    <row r="880" spans="1:18">
      <c r="A880" s="82" t="s">
        <v>31</v>
      </c>
      <c r="B880" s="84" t="s">
        <v>92</v>
      </c>
      <c r="C880" s="84" t="s">
        <v>25</v>
      </c>
      <c r="D880" s="84" t="s">
        <v>27</v>
      </c>
      <c r="E880" s="15" t="s">
        <v>1412</v>
      </c>
      <c r="F880" s="84" t="s">
        <v>32</v>
      </c>
      <c r="G880" s="70">
        <v>810979.34</v>
      </c>
      <c r="H880" s="87">
        <v>4396968.58</v>
      </c>
      <c r="I880" s="87">
        <v>4396968.58</v>
      </c>
      <c r="J880" s="173"/>
    </row>
    <row r="881" spans="1:18" ht="26.4">
      <c r="A881" s="82" t="s">
        <v>1185</v>
      </c>
      <c r="B881" s="14">
        <v>774</v>
      </c>
      <c r="C881" s="15" t="s">
        <v>25</v>
      </c>
      <c r="D881" s="15" t="s">
        <v>27</v>
      </c>
      <c r="E881" s="15" t="s">
        <v>212</v>
      </c>
      <c r="F881" s="15"/>
      <c r="G881" s="8">
        <f>G971+G917+G920+G923+G926+G929+G932+G974+G882+G894+G903+G906+G909+G933+G960+G897+G902+G978+G885+G954+G963+G966+G888+G936+G939+G942+G945+G948+G951+G977+G912+G1005+G1008+G1011+G1014+G1020+G1023+G1026+G1029+G1032+G1035+G1017+G993+G1002+G996+G981+G1042+G1038+G1041+G984+G957+G987+G990+G891</f>
        <v>82279806.849999994</v>
      </c>
      <c r="H881" s="85">
        <f>H971+H917+H920+H923+H926+H929+H932+H974+H882+H894+H903+H906+H909+H933+H960+H897+H902+H978+H885</f>
        <v>3439218.02</v>
      </c>
      <c r="I881" s="85">
        <f>I971+I917+I920+I923+I926+I929+I932+I974+I882+I894+I903+I906+I909+I933+I960+I897+I902+I978+I885</f>
        <v>3439218.02</v>
      </c>
      <c r="J881" s="174"/>
    </row>
    <row r="882" spans="1:18" ht="29.25" hidden="1" customHeight="1">
      <c r="A882" s="82" t="s">
        <v>903</v>
      </c>
      <c r="B882" s="84" t="s">
        <v>92</v>
      </c>
      <c r="C882" s="84" t="s">
        <v>25</v>
      </c>
      <c r="D882" s="84" t="s">
        <v>27</v>
      </c>
      <c r="E882" s="84" t="s">
        <v>902</v>
      </c>
      <c r="F882" s="84"/>
      <c r="G882" s="70">
        <f t="shared" ref="G882:I889" si="231">G883</f>
        <v>0</v>
      </c>
      <c r="H882" s="87">
        <f t="shared" si="231"/>
        <v>0</v>
      </c>
      <c r="I882" s="87">
        <f t="shared" si="231"/>
        <v>0</v>
      </c>
      <c r="J882" s="173"/>
    </row>
    <row r="883" spans="1:18" ht="26.4" hidden="1">
      <c r="A883" s="82" t="s">
        <v>29</v>
      </c>
      <c r="B883" s="84" t="s">
        <v>92</v>
      </c>
      <c r="C883" s="84" t="s">
        <v>25</v>
      </c>
      <c r="D883" s="84" t="s">
        <v>27</v>
      </c>
      <c r="E883" s="84" t="s">
        <v>902</v>
      </c>
      <c r="F883" s="84" t="s">
        <v>30</v>
      </c>
      <c r="G883" s="70">
        <f t="shared" si="231"/>
        <v>0</v>
      </c>
      <c r="H883" s="87">
        <f t="shared" si="231"/>
        <v>0</v>
      </c>
      <c r="I883" s="87">
        <f t="shared" si="231"/>
        <v>0</v>
      </c>
      <c r="J883" s="173"/>
    </row>
    <row r="884" spans="1:18" hidden="1">
      <c r="A884" s="82" t="s">
        <v>31</v>
      </c>
      <c r="B884" s="84" t="s">
        <v>92</v>
      </c>
      <c r="C884" s="84" t="s">
        <v>25</v>
      </c>
      <c r="D884" s="84" t="s">
        <v>27</v>
      </c>
      <c r="E884" s="84" t="s">
        <v>902</v>
      </c>
      <c r="F884" s="84" t="s">
        <v>32</v>
      </c>
      <c r="G884" s="70"/>
      <c r="H884" s="87"/>
      <c r="I884" s="87"/>
      <c r="J884" s="173"/>
    </row>
    <row r="885" spans="1:18" ht="59.25" hidden="1" customHeight="1">
      <c r="A885" s="82" t="s">
        <v>995</v>
      </c>
      <c r="B885" s="84" t="s">
        <v>92</v>
      </c>
      <c r="C885" s="84" t="s">
        <v>25</v>
      </c>
      <c r="D885" s="84" t="s">
        <v>27</v>
      </c>
      <c r="E885" s="84" t="s">
        <v>994</v>
      </c>
      <c r="F885" s="84"/>
      <c r="G885" s="70">
        <f t="shared" si="231"/>
        <v>0</v>
      </c>
      <c r="H885" s="87">
        <f t="shared" si="231"/>
        <v>0</v>
      </c>
      <c r="I885" s="87">
        <f t="shared" si="231"/>
        <v>0</v>
      </c>
      <c r="J885" s="173"/>
    </row>
    <row r="886" spans="1:18" ht="26.4" hidden="1">
      <c r="A886" s="82" t="s">
        <v>29</v>
      </c>
      <c r="B886" s="84" t="s">
        <v>92</v>
      </c>
      <c r="C886" s="84" t="s">
        <v>25</v>
      </c>
      <c r="D886" s="84" t="s">
        <v>27</v>
      </c>
      <c r="E886" s="84" t="s">
        <v>994</v>
      </c>
      <c r="F886" s="84" t="s">
        <v>30</v>
      </c>
      <c r="G886" s="70">
        <f t="shared" si="231"/>
        <v>0</v>
      </c>
      <c r="H886" s="87">
        <f t="shared" si="231"/>
        <v>0</v>
      </c>
      <c r="I886" s="87">
        <f t="shared" si="231"/>
        <v>0</v>
      </c>
      <c r="J886" s="173"/>
    </row>
    <row r="887" spans="1:18" hidden="1">
      <c r="A887" s="82" t="s">
        <v>31</v>
      </c>
      <c r="B887" s="84" t="s">
        <v>92</v>
      </c>
      <c r="C887" s="84" t="s">
        <v>25</v>
      </c>
      <c r="D887" s="84" t="s">
        <v>27</v>
      </c>
      <c r="E887" s="84" t="s">
        <v>994</v>
      </c>
      <c r="F887" s="84" t="s">
        <v>32</v>
      </c>
      <c r="G887" s="70"/>
      <c r="H887" s="87"/>
      <c r="I887" s="87"/>
      <c r="J887" s="173"/>
    </row>
    <row r="888" spans="1:18" ht="59.25" hidden="1" customHeight="1">
      <c r="A888" s="82" t="s">
        <v>1016</v>
      </c>
      <c r="B888" s="84" t="s">
        <v>92</v>
      </c>
      <c r="C888" s="84" t="s">
        <v>25</v>
      </c>
      <c r="D888" s="84" t="s">
        <v>27</v>
      </c>
      <c r="E888" s="84" t="s">
        <v>1015</v>
      </c>
      <c r="F888" s="84"/>
      <c r="G888" s="70">
        <f t="shared" si="231"/>
        <v>0</v>
      </c>
      <c r="H888" s="87">
        <f t="shared" si="231"/>
        <v>0</v>
      </c>
      <c r="I888" s="87">
        <f t="shared" si="231"/>
        <v>0</v>
      </c>
      <c r="J888" s="173"/>
    </row>
    <row r="889" spans="1:18" ht="26.4" hidden="1">
      <c r="A889" s="82" t="s">
        <v>29</v>
      </c>
      <c r="B889" s="84" t="s">
        <v>92</v>
      </c>
      <c r="C889" s="84" t="s">
        <v>25</v>
      </c>
      <c r="D889" s="84" t="s">
        <v>27</v>
      </c>
      <c r="E889" s="84" t="s">
        <v>1015</v>
      </c>
      <c r="F889" s="84" t="s">
        <v>30</v>
      </c>
      <c r="G889" s="70">
        <f t="shared" si="231"/>
        <v>0</v>
      </c>
      <c r="H889" s="87">
        <f t="shared" si="231"/>
        <v>0</v>
      </c>
      <c r="I889" s="87">
        <f t="shared" si="231"/>
        <v>0</v>
      </c>
      <c r="J889" s="173"/>
    </row>
    <row r="890" spans="1:18" hidden="1">
      <c r="A890" s="82" t="s">
        <v>31</v>
      </c>
      <c r="B890" s="84" t="s">
        <v>92</v>
      </c>
      <c r="C890" s="84" t="s">
        <v>25</v>
      </c>
      <c r="D890" s="84" t="s">
        <v>27</v>
      </c>
      <c r="E890" s="84" t="s">
        <v>1015</v>
      </c>
      <c r="F890" s="84" t="s">
        <v>32</v>
      </c>
      <c r="G890" s="70"/>
      <c r="H890" s="87"/>
      <c r="I890" s="87"/>
      <c r="J890" s="173"/>
    </row>
    <row r="891" spans="1:18" s="3" customFormat="1" ht="26.4">
      <c r="A891" s="82" t="s">
        <v>1518</v>
      </c>
      <c r="B891" s="145">
        <v>774</v>
      </c>
      <c r="C891" s="15" t="s">
        <v>25</v>
      </c>
      <c r="D891" s="15" t="s">
        <v>27</v>
      </c>
      <c r="E891" s="84" t="s">
        <v>1517</v>
      </c>
      <c r="F891" s="84"/>
      <c r="G891" s="70">
        <f t="shared" ref="G891:I892" si="232">G892</f>
        <v>150000</v>
      </c>
      <c r="H891" s="87">
        <f t="shared" si="232"/>
        <v>0</v>
      </c>
      <c r="I891" s="87">
        <f t="shared" si="232"/>
        <v>0</v>
      </c>
      <c r="J891" s="173"/>
      <c r="K891" s="194"/>
      <c r="L891" s="194"/>
      <c r="M891" s="194"/>
      <c r="N891" s="194"/>
      <c r="O891" s="194"/>
      <c r="P891" s="194"/>
      <c r="Q891" s="194"/>
      <c r="R891" s="194"/>
    </row>
    <row r="892" spans="1:18" s="3" customFormat="1" ht="26.4">
      <c r="A892" s="82" t="s">
        <v>29</v>
      </c>
      <c r="B892" s="145">
        <v>774</v>
      </c>
      <c r="C892" s="15" t="s">
        <v>25</v>
      </c>
      <c r="D892" s="15" t="s">
        <v>27</v>
      </c>
      <c r="E892" s="84" t="s">
        <v>1517</v>
      </c>
      <c r="F892" s="84" t="s">
        <v>30</v>
      </c>
      <c r="G892" s="70">
        <f t="shared" si="232"/>
        <v>150000</v>
      </c>
      <c r="H892" s="87">
        <f t="shared" si="232"/>
        <v>0</v>
      </c>
      <c r="I892" s="87">
        <f t="shared" si="232"/>
        <v>0</v>
      </c>
      <c r="J892" s="173"/>
      <c r="K892" s="194"/>
      <c r="L892" s="194"/>
      <c r="M892" s="194"/>
      <c r="N892" s="194"/>
      <c r="O892" s="194"/>
      <c r="P892" s="194"/>
      <c r="Q892" s="194"/>
      <c r="R892" s="194"/>
    </row>
    <row r="893" spans="1:18" s="3" customFormat="1">
      <c r="A893" s="82" t="s">
        <v>31</v>
      </c>
      <c r="B893" s="145">
        <v>774</v>
      </c>
      <c r="C893" s="15" t="s">
        <v>25</v>
      </c>
      <c r="D893" s="15" t="s">
        <v>27</v>
      </c>
      <c r="E893" s="84" t="s">
        <v>1517</v>
      </c>
      <c r="F893" s="84" t="s">
        <v>32</v>
      </c>
      <c r="G893" s="70">
        <v>150000</v>
      </c>
      <c r="H893" s="87"/>
      <c r="I893" s="87"/>
      <c r="J893" s="173"/>
      <c r="K893" s="194"/>
      <c r="L893" s="194"/>
      <c r="M893" s="194"/>
      <c r="N893" s="194"/>
      <c r="O893" s="194"/>
      <c r="P893" s="194"/>
      <c r="Q893" s="194"/>
      <c r="R893" s="194"/>
    </row>
    <row r="894" spans="1:18" s="3" customFormat="1" ht="39" customHeight="1">
      <c r="A894" s="82" t="s">
        <v>782</v>
      </c>
      <c r="B894" s="145">
        <v>774</v>
      </c>
      <c r="C894" s="84" t="s">
        <v>25</v>
      </c>
      <c r="D894" s="84" t="s">
        <v>27</v>
      </c>
      <c r="E894" s="84" t="s">
        <v>429</v>
      </c>
      <c r="F894" s="84"/>
      <c r="G894" s="70">
        <f>G895</f>
        <v>2171200.13</v>
      </c>
      <c r="H894" s="87">
        <f t="shared" ref="H894:I894" si="233">H895</f>
        <v>2100000</v>
      </c>
      <c r="I894" s="87">
        <f t="shared" si="233"/>
        <v>2100000</v>
      </c>
      <c r="J894" s="173"/>
      <c r="K894" s="194"/>
      <c r="L894" s="194"/>
      <c r="M894" s="194"/>
      <c r="N894" s="194"/>
      <c r="O894" s="194"/>
      <c r="P894" s="194"/>
      <c r="Q894" s="194"/>
      <c r="R894" s="194"/>
    </row>
    <row r="895" spans="1:18" s="3" customFormat="1" ht="39" customHeight="1">
      <c r="A895" s="82" t="s">
        <v>29</v>
      </c>
      <c r="B895" s="145">
        <v>774</v>
      </c>
      <c r="C895" s="84" t="s">
        <v>25</v>
      </c>
      <c r="D895" s="84" t="s">
        <v>27</v>
      </c>
      <c r="E895" s="84" t="s">
        <v>429</v>
      </c>
      <c r="F895" s="84" t="s">
        <v>30</v>
      </c>
      <c r="G895" s="70">
        <f>G896</f>
        <v>2171200.13</v>
      </c>
      <c r="H895" s="87">
        <f t="shared" ref="H895:I895" si="234">H896</f>
        <v>2100000</v>
      </c>
      <c r="I895" s="87">
        <f t="shared" si="234"/>
        <v>2100000</v>
      </c>
      <c r="J895" s="173"/>
      <c r="K895" s="194"/>
      <c r="L895" s="194"/>
      <c r="M895" s="194"/>
      <c r="N895" s="194"/>
      <c r="O895" s="194"/>
      <c r="P895" s="194"/>
      <c r="Q895" s="194"/>
      <c r="R895" s="194"/>
    </row>
    <row r="896" spans="1:18" s="3" customFormat="1" ht="13.5" customHeight="1">
      <c r="A896" s="82" t="s">
        <v>31</v>
      </c>
      <c r="B896" s="145">
        <v>774</v>
      </c>
      <c r="C896" s="84" t="s">
        <v>25</v>
      </c>
      <c r="D896" s="84" t="s">
        <v>27</v>
      </c>
      <c r="E896" s="84" t="s">
        <v>429</v>
      </c>
      <c r="F896" s="84" t="s">
        <v>32</v>
      </c>
      <c r="G896" s="70">
        <f>1947429.13-31500+352450-97179</f>
        <v>2171200.13</v>
      </c>
      <c r="H896" s="87">
        <f>1400000+700000</f>
        <v>2100000</v>
      </c>
      <c r="I896" s="87">
        <f>1400000+700000</f>
        <v>2100000</v>
      </c>
      <c r="J896" s="173"/>
      <c r="K896" s="194"/>
      <c r="L896" s="194"/>
      <c r="M896" s="194"/>
      <c r="N896" s="194"/>
      <c r="O896" s="194"/>
      <c r="P896" s="194"/>
      <c r="Q896" s="194"/>
      <c r="R896" s="194"/>
    </row>
    <row r="897" spans="1:18" s="3" customFormat="1" ht="39.6" hidden="1">
      <c r="A897" s="82" t="s">
        <v>858</v>
      </c>
      <c r="B897" s="145">
        <v>774</v>
      </c>
      <c r="C897" s="84" t="s">
        <v>25</v>
      </c>
      <c r="D897" s="84" t="s">
        <v>27</v>
      </c>
      <c r="E897" s="84" t="s">
        <v>857</v>
      </c>
      <c r="F897" s="84"/>
      <c r="G897" s="70">
        <f>G898</f>
        <v>0</v>
      </c>
      <c r="H897" s="87">
        <f t="shared" ref="H897:I901" si="235">H898</f>
        <v>0</v>
      </c>
      <c r="I897" s="87">
        <f t="shared" si="235"/>
        <v>0</v>
      </c>
      <c r="J897" s="173"/>
      <c r="K897" s="194"/>
      <c r="L897" s="194"/>
      <c r="M897" s="194"/>
      <c r="N897" s="194"/>
      <c r="O897" s="194"/>
      <c r="P897" s="194"/>
      <c r="Q897" s="194"/>
      <c r="R897" s="194"/>
    </row>
    <row r="898" spans="1:18" s="3" customFormat="1" ht="33" hidden="1" customHeight="1">
      <c r="A898" s="82" t="s">
        <v>29</v>
      </c>
      <c r="B898" s="145">
        <v>774</v>
      </c>
      <c r="C898" s="84" t="s">
        <v>25</v>
      </c>
      <c r="D898" s="84" t="s">
        <v>27</v>
      </c>
      <c r="E898" s="84" t="s">
        <v>857</v>
      </c>
      <c r="F898" s="84" t="s">
        <v>30</v>
      </c>
      <c r="G898" s="70">
        <f>G899</f>
        <v>0</v>
      </c>
      <c r="H898" s="87">
        <f t="shared" si="235"/>
        <v>0</v>
      </c>
      <c r="I898" s="87">
        <f t="shared" si="235"/>
        <v>0</v>
      </c>
      <c r="J898" s="173"/>
      <c r="K898" s="194"/>
      <c r="L898" s="194"/>
      <c r="M898" s="194"/>
      <c r="N898" s="194"/>
      <c r="O898" s="194"/>
      <c r="P898" s="194"/>
      <c r="Q898" s="194"/>
      <c r="R898" s="194"/>
    </row>
    <row r="899" spans="1:18" s="3" customFormat="1" hidden="1">
      <c r="A899" s="82" t="s">
        <v>31</v>
      </c>
      <c r="B899" s="145">
        <v>774</v>
      </c>
      <c r="C899" s="84" t="s">
        <v>25</v>
      </c>
      <c r="D899" s="84" t="s">
        <v>27</v>
      </c>
      <c r="E899" s="84" t="s">
        <v>857</v>
      </c>
      <c r="F899" s="84" t="s">
        <v>32</v>
      </c>
      <c r="G899" s="70"/>
      <c r="H899" s="87"/>
      <c r="I899" s="87"/>
      <c r="J899" s="173"/>
      <c r="K899" s="194"/>
      <c r="L899" s="194"/>
      <c r="M899" s="194"/>
      <c r="N899" s="194"/>
      <c r="O899" s="194"/>
      <c r="P899" s="194"/>
      <c r="Q899" s="194"/>
      <c r="R899" s="194"/>
    </row>
    <row r="900" spans="1:18" s="3" customFormat="1" ht="39.6" hidden="1">
      <c r="A900" s="82" t="s">
        <v>860</v>
      </c>
      <c r="B900" s="145">
        <v>774</v>
      </c>
      <c r="C900" s="84" t="s">
        <v>25</v>
      </c>
      <c r="D900" s="84" t="s">
        <v>27</v>
      </c>
      <c r="E900" s="84" t="s">
        <v>859</v>
      </c>
      <c r="F900" s="84"/>
      <c r="G900" s="70">
        <f>G901</f>
        <v>0</v>
      </c>
      <c r="H900" s="87">
        <f t="shared" si="235"/>
        <v>0</v>
      </c>
      <c r="I900" s="87">
        <f t="shared" si="235"/>
        <v>0</v>
      </c>
      <c r="J900" s="173"/>
      <c r="K900" s="194"/>
      <c r="L900" s="194"/>
      <c r="M900" s="194"/>
      <c r="N900" s="194"/>
      <c r="O900" s="194"/>
      <c r="P900" s="194"/>
      <c r="Q900" s="194"/>
      <c r="R900" s="194"/>
    </row>
    <row r="901" spans="1:18" s="3" customFormat="1" ht="33" hidden="1" customHeight="1">
      <c r="A901" s="82" t="s">
        <v>29</v>
      </c>
      <c r="B901" s="145">
        <v>774</v>
      </c>
      <c r="C901" s="84" t="s">
        <v>25</v>
      </c>
      <c r="D901" s="84" t="s">
        <v>27</v>
      </c>
      <c r="E901" s="84" t="s">
        <v>859</v>
      </c>
      <c r="F901" s="84" t="s">
        <v>30</v>
      </c>
      <c r="G901" s="70">
        <f>G902</f>
        <v>0</v>
      </c>
      <c r="H901" s="87">
        <f t="shared" si="235"/>
        <v>0</v>
      </c>
      <c r="I901" s="87">
        <f t="shared" si="235"/>
        <v>0</v>
      </c>
      <c r="J901" s="173"/>
      <c r="K901" s="194"/>
      <c r="L901" s="194"/>
      <c r="M901" s="194"/>
      <c r="N901" s="194"/>
      <c r="O901" s="194"/>
      <c r="P901" s="194"/>
      <c r="Q901" s="194"/>
      <c r="R901" s="194"/>
    </row>
    <row r="902" spans="1:18" s="3" customFormat="1" hidden="1">
      <c r="A902" s="82" t="s">
        <v>31</v>
      </c>
      <c r="B902" s="145">
        <v>774</v>
      </c>
      <c r="C902" s="84" t="s">
        <v>25</v>
      </c>
      <c r="D902" s="84" t="s">
        <v>27</v>
      </c>
      <c r="E902" s="84" t="s">
        <v>859</v>
      </c>
      <c r="F902" s="84" t="s">
        <v>32</v>
      </c>
      <c r="G902" s="70"/>
      <c r="H902" s="87"/>
      <c r="I902" s="87"/>
      <c r="J902" s="173"/>
      <c r="K902" s="194"/>
      <c r="L902" s="194"/>
      <c r="M902" s="194"/>
      <c r="N902" s="194"/>
      <c r="O902" s="194"/>
      <c r="P902" s="194"/>
      <c r="Q902" s="194"/>
      <c r="R902" s="194"/>
    </row>
    <row r="903" spans="1:18" s="3" customFormat="1" ht="39.6" hidden="1">
      <c r="A903" s="82" t="s">
        <v>783</v>
      </c>
      <c r="B903" s="145">
        <v>774</v>
      </c>
      <c r="C903" s="84" t="s">
        <v>25</v>
      </c>
      <c r="D903" s="84" t="s">
        <v>27</v>
      </c>
      <c r="E903" s="84" t="s">
        <v>734</v>
      </c>
      <c r="F903" s="84"/>
      <c r="G903" s="70">
        <f t="shared" ref="G903:I913" si="236">G904</f>
        <v>0</v>
      </c>
      <c r="H903" s="87">
        <f t="shared" si="236"/>
        <v>0</v>
      </c>
      <c r="I903" s="87">
        <f t="shared" si="236"/>
        <v>0</v>
      </c>
      <c r="J903" s="173"/>
      <c r="K903" s="194"/>
      <c r="L903" s="194"/>
      <c r="M903" s="194"/>
      <c r="N903" s="194"/>
      <c r="O903" s="194"/>
      <c r="P903" s="194"/>
      <c r="Q903" s="194"/>
      <c r="R903" s="194"/>
    </row>
    <row r="904" spans="1:18" s="3" customFormat="1" ht="26.4" hidden="1">
      <c r="A904" s="82" t="s">
        <v>29</v>
      </c>
      <c r="B904" s="145">
        <v>774</v>
      </c>
      <c r="C904" s="84" t="s">
        <v>25</v>
      </c>
      <c r="D904" s="84" t="s">
        <v>27</v>
      </c>
      <c r="E904" s="84" t="s">
        <v>734</v>
      </c>
      <c r="F904" s="84" t="s">
        <v>30</v>
      </c>
      <c r="G904" s="70">
        <f t="shared" si="236"/>
        <v>0</v>
      </c>
      <c r="H904" s="87">
        <f t="shared" si="236"/>
        <v>0</v>
      </c>
      <c r="I904" s="87">
        <f t="shared" si="236"/>
        <v>0</v>
      </c>
      <c r="J904" s="173"/>
      <c r="K904" s="194"/>
      <c r="L904" s="194"/>
      <c r="M904" s="194"/>
      <c r="N904" s="194"/>
      <c r="O904" s="194"/>
      <c r="P904" s="194"/>
      <c r="Q904" s="194"/>
      <c r="R904" s="194"/>
    </row>
    <row r="905" spans="1:18" s="3" customFormat="1" hidden="1">
      <c r="A905" s="82" t="s">
        <v>31</v>
      </c>
      <c r="B905" s="145">
        <v>774</v>
      </c>
      <c r="C905" s="84" t="s">
        <v>25</v>
      </c>
      <c r="D905" s="84" t="s">
        <v>27</v>
      </c>
      <c r="E905" s="84" t="s">
        <v>734</v>
      </c>
      <c r="F905" s="84" t="s">
        <v>32</v>
      </c>
      <c r="G905" s="70"/>
      <c r="H905" s="87"/>
      <c r="I905" s="87"/>
      <c r="J905" s="173"/>
      <c r="K905" s="194"/>
      <c r="L905" s="194"/>
      <c r="M905" s="194"/>
      <c r="N905" s="194"/>
      <c r="O905" s="194"/>
      <c r="P905" s="194"/>
      <c r="Q905" s="194"/>
      <c r="R905" s="194"/>
    </row>
    <row r="906" spans="1:18" s="3" customFormat="1">
      <c r="A906" s="82" t="s">
        <v>843</v>
      </c>
      <c r="B906" s="145">
        <v>774</v>
      </c>
      <c r="C906" s="84" t="s">
        <v>25</v>
      </c>
      <c r="D906" s="84" t="s">
        <v>27</v>
      </c>
      <c r="E906" s="84" t="s">
        <v>842</v>
      </c>
      <c r="F906" s="84"/>
      <c r="G906" s="70">
        <f t="shared" si="236"/>
        <v>519167.44999999995</v>
      </c>
      <c r="H906" s="87">
        <f t="shared" si="236"/>
        <v>0</v>
      </c>
      <c r="I906" s="87">
        <f t="shared" si="236"/>
        <v>0</v>
      </c>
      <c r="J906" s="173"/>
      <c r="K906" s="194"/>
      <c r="L906" s="194"/>
      <c r="M906" s="194"/>
      <c r="N906" s="194"/>
      <c r="O906" s="194"/>
      <c r="P906" s="194"/>
      <c r="Q906" s="194"/>
      <c r="R906" s="194"/>
    </row>
    <row r="907" spans="1:18" s="3" customFormat="1" ht="26.4">
      <c r="A907" s="82" t="s">
        <v>29</v>
      </c>
      <c r="B907" s="145">
        <v>774</v>
      </c>
      <c r="C907" s="84" t="s">
        <v>25</v>
      </c>
      <c r="D907" s="84" t="s">
        <v>27</v>
      </c>
      <c r="E907" s="84" t="s">
        <v>842</v>
      </c>
      <c r="F907" s="84" t="s">
        <v>30</v>
      </c>
      <c r="G907" s="70">
        <f t="shared" si="236"/>
        <v>519167.44999999995</v>
      </c>
      <c r="H907" s="87">
        <f t="shared" si="236"/>
        <v>0</v>
      </c>
      <c r="I907" s="87">
        <f t="shared" si="236"/>
        <v>0</v>
      </c>
      <c r="J907" s="173"/>
      <c r="K907" s="194"/>
      <c r="L907" s="194"/>
      <c r="M907" s="194"/>
      <c r="N907" s="194"/>
      <c r="O907" s="194"/>
      <c r="P907" s="194"/>
      <c r="Q907" s="194"/>
      <c r="R907" s="194"/>
    </row>
    <row r="908" spans="1:18" s="3" customFormat="1">
      <c r="A908" s="82" t="s">
        <v>31</v>
      </c>
      <c r="B908" s="145">
        <v>774</v>
      </c>
      <c r="C908" s="84" t="s">
        <v>25</v>
      </c>
      <c r="D908" s="84" t="s">
        <v>27</v>
      </c>
      <c r="E908" s="84" t="s">
        <v>842</v>
      </c>
      <c r="F908" s="84" t="s">
        <v>32</v>
      </c>
      <c r="G908" s="70">
        <f>519167.85-0.4</f>
        <v>519167.44999999995</v>
      </c>
      <c r="H908" s="87">
        <v>0</v>
      </c>
      <c r="I908" s="87">
        <v>0</v>
      </c>
      <c r="J908" s="173"/>
      <c r="K908" s="194"/>
      <c r="L908" s="194"/>
      <c r="M908" s="194"/>
      <c r="N908" s="194"/>
      <c r="O908" s="194"/>
      <c r="P908" s="194"/>
      <c r="Q908" s="194"/>
      <c r="R908" s="194"/>
    </row>
    <row r="909" spans="1:18" s="3" customFormat="1" ht="52.5" customHeight="1">
      <c r="A909" s="82" t="s">
        <v>913</v>
      </c>
      <c r="B909" s="145">
        <v>774</v>
      </c>
      <c r="C909" s="84" t="s">
        <v>25</v>
      </c>
      <c r="D909" s="84" t="s">
        <v>27</v>
      </c>
      <c r="E909" s="84" t="s">
        <v>702</v>
      </c>
      <c r="F909" s="84"/>
      <c r="G909" s="70">
        <f t="shared" si="236"/>
        <v>60000</v>
      </c>
      <c r="H909" s="87">
        <f t="shared" si="236"/>
        <v>0</v>
      </c>
      <c r="I909" s="87">
        <f t="shared" si="236"/>
        <v>0</v>
      </c>
      <c r="J909" s="173"/>
      <c r="K909" s="194"/>
      <c r="L909" s="194"/>
      <c r="M909" s="194"/>
      <c r="N909" s="194"/>
      <c r="O909" s="194"/>
      <c r="P909" s="194"/>
      <c r="Q909" s="194"/>
      <c r="R909" s="194"/>
    </row>
    <row r="910" spans="1:18" s="3" customFormat="1" ht="26.4">
      <c r="A910" s="82" t="s">
        <v>29</v>
      </c>
      <c r="B910" s="145">
        <v>774</v>
      </c>
      <c r="C910" s="84" t="s">
        <v>25</v>
      </c>
      <c r="D910" s="84" t="s">
        <v>27</v>
      </c>
      <c r="E910" s="84" t="s">
        <v>702</v>
      </c>
      <c r="F910" s="84" t="s">
        <v>30</v>
      </c>
      <c r="G910" s="70">
        <f t="shared" si="236"/>
        <v>60000</v>
      </c>
      <c r="H910" s="87">
        <f t="shared" si="236"/>
        <v>0</v>
      </c>
      <c r="I910" s="87">
        <f t="shared" si="236"/>
        <v>0</v>
      </c>
      <c r="J910" s="173"/>
      <c r="K910" s="194"/>
      <c r="L910" s="194"/>
      <c r="M910" s="194"/>
      <c r="N910" s="194"/>
      <c r="O910" s="194"/>
      <c r="P910" s="194"/>
      <c r="Q910" s="194"/>
      <c r="R910" s="194"/>
    </row>
    <row r="911" spans="1:18" s="3" customFormat="1">
      <c r="A911" s="82" t="s">
        <v>31</v>
      </c>
      <c r="B911" s="145">
        <v>774</v>
      </c>
      <c r="C911" s="84" t="s">
        <v>25</v>
      </c>
      <c r="D911" s="84" t="s">
        <v>27</v>
      </c>
      <c r="E911" s="84" t="s">
        <v>702</v>
      </c>
      <c r="F911" s="84" t="s">
        <v>32</v>
      </c>
      <c r="G911" s="70">
        <f>20000+40000</f>
        <v>60000</v>
      </c>
      <c r="H911" s="87">
        <v>0</v>
      </c>
      <c r="I911" s="87">
        <v>0</v>
      </c>
      <c r="J911" s="173"/>
      <c r="K911" s="194"/>
      <c r="L911" s="194"/>
      <c r="M911" s="194"/>
      <c r="N911" s="194"/>
      <c r="O911" s="194"/>
      <c r="P911" s="194"/>
      <c r="Q911" s="194"/>
      <c r="R911" s="194"/>
    </row>
    <row r="912" spans="1:18" s="3" customFormat="1" ht="25.5" customHeight="1">
      <c r="A912" s="82" t="s">
        <v>1208</v>
      </c>
      <c r="B912" s="145">
        <v>774</v>
      </c>
      <c r="C912" s="84" t="s">
        <v>25</v>
      </c>
      <c r="D912" s="84" t="s">
        <v>27</v>
      </c>
      <c r="E912" s="84" t="s">
        <v>1207</v>
      </c>
      <c r="F912" s="84"/>
      <c r="G912" s="70">
        <f t="shared" si="236"/>
        <v>3465114.68</v>
      </c>
      <c r="H912" s="87">
        <f t="shared" si="236"/>
        <v>0</v>
      </c>
      <c r="I912" s="87">
        <f t="shared" si="236"/>
        <v>0</v>
      </c>
      <c r="J912" s="173"/>
      <c r="K912" s="194"/>
      <c r="L912" s="194"/>
      <c r="M912" s="194"/>
      <c r="N912" s="194"/>
      <c r="O912" s="194"/>
      <c r="P912" s="194"/>
      <c r="Q912" s="194"/>
      <c r="R912" s="194"/>
    </row>
    <row r="913" spans="1:18" s="3" customFormat="1" ht="26.4">
      <c r="A913" s="82" t="s">
        <v>29</v>
      </c>
      <c r="B913" s="145">
        <v>774</v>
      </c>
      <c r="C913" s="84" t="s">
        <v>25</v>
      </c>
      <c r="D913" s="84" t="s">
        <v>27</v>
      </c>
      <c r="E913" s="84" t="s">
        <v>1207</v>
      </c>
      <c r="F913" s="84" t="s">
        <v>30</v>
      </c>
      <c r="G913" s="70">
        <f t="shared" si="236"/>
        <v>3465114.68</v>
      </c>
      <c r="H913" s="87">
        <f t="shared" si="236"/>
        <v>0</v>
      </c>
      <c r="I913" s="87">
        <f t="shared" si="236"/>
        <v>0</v>
      </c>
      <c r="J913" s="173"/>
      <c r="K913" s="194"/>
      <c r="L913" s="194"/>
      <c r="M913" s="194"/>
      <c r="N913" s="194"/>
      <c r="O913" s="194"/>
      <c r="P913" s="194"/>
      <c r="Q913" s="194"/>
      <c r="R913" s="194"/>
    </row>
    <row r="914" spans="1:18" s="3" customFormat="1">
      <c r="A914" s="82" t="s">
        <v>31</v>
      </c>
      <c r="B914" s="145">
        <v>774</v>
      </c>
      <c r="C914" s="84" t="s">
        <v>25</v>
      </c>
      <c r="D914" s="84" t="s">
        <v>27</v>
      </c>
      <c r="E914" s="84" t="s">
        <v>1207</v>
      </c>
      <c r="F914" s="84" t="s">
        <v>32</v>
      </c>
      <c r="G914" s="70">
        <v>3465114.68</v>
      </c>
      <c r="H914" s="87">
        <v>0</v>
      </c>
      <c r="I914" s="87">
        <v>0</v>
      </c>
      <c r="J914" s="173"/>
      <c r="K914" s="194"/>
      <c r="L914" s="194"/>
      <c r="M914" s="194"/>
      <c r="N914" s="194"/>
      <c r="O914" s="194"/>
      <c r="P914" s="194"/>
      <c r="Q914" s="194"/>
      <c r="R914" s="194"/>
    </row>
    <row r="915" spans="1:18" s="3" customFormat="1" ht="26.4">
      <c r="A915" s="16" t="s">
        <v>951</v>
      </c>
      <c r="B915" s="14">
        <v>774</v>
      </c>
      <c r="C915" s="15" t="s">
        <v>25</v>
      </c>
      <c r="D915" s="15" t="s">
        <v>27</v>
      </c>
      <c r="E915" s="15" t="s">
        <v>213</v>
      </c>
      <c r="F915" s="15"/>
      <c r="G915" s="70">
        <f t="shared" ref="G915:I916" si="237">G916</f>
        <v>1189057.8299999998</v>
      </c>
      <c r="H915" s="70">
        <f t="shared" si="237"/>
        <v>0</v>
      </c>
      <c r="I915" s="70">
        <f t="shared" si="237"/>
        <v>0</v>
      </c>
      <c r="J915" s="173"/>
      <c r="K915" s="194"/>
      <c r="L915" s="194"/>
      <c r="M915" s="194"/>
      <c r="N915" s="194"/>
      <c r="O915" s="194"/>
      <c r="P915" s="194"/>
      <c r="Q915" s="194"/>
      <c r="R915" s="194"/>
    </row>
    <row r="916" spans="1:18" s="3" customFormat="1" ht="26.4">
      <c r="A916" s="16" t="s">
        <v>29</v>
      </c>
      <c r="B916" s="14">
        <v>774</v>
      </c>
      <c r="C916" s="15" t="s">
        <v>25</v>
      </c>
      <c r="D916" s="15" t="s">
        <v>27</v>
      </c>
      <c r="E916" s="15" t="s">
        <v>213</v>
      </c>
      <c r="F916" s="15" t="s">
        <v>30</v>
      </c>
      <c r="G916" s="70">
        <f t="shared" si="237"/>
        <v>1189057.8299999998</v>
      </c>
      <c r="H916" s="70">
        <f t="shared" si="237"/>
        <v>0</v>
      </c>
      <c r="I916" s="70">
        <f t="shared" si="237"/>
        <v>0</v>
      </c>
      <c r="J916" s="173"/>
      <c r="K916" s="194"/>
      <c r="L916" s="194"/>
      <c r="M916" s="194"/>
      <c r="N916" s="194"/>
      <c r="O916" s="194"/>
      <c r="P916" s="194"/>
      <c r="Q916" s="194"/>
      <c r="R916" s="194"/>
    </row>
    <row r="917" spans="1:18" s="3" customFormat="1">
      <c r="A917" s="16" t="s">
        <v>31</v>
      </c>
      <c r="B917" s="14">
        <v>774</v>
      </c>
      <c r="C917" s="15" t="s">
        <v>25</v>
      </c>
      <c r="D917" s="15" t="s">
        <v>27</v>
      </c>
      <c r="E917" s="15" t="s">
        <v>213</v>
      </c>
      <c r="F917" s="15" t="s">
        <v>32</v>
      </c>
      <c r="G917" s="70">
        <f>1404663.21-287732.55+72127.17</f>
        <v>1189057.8299999998</v>
      </c>
      <c r="H917" s="70">
        <v>0</v>
      </c>
      <c r="I917" s="70">
        <v>0</v>
      </c>
      <c r="J917" s="173"/>
      <c r="K917" s="194"/>
      <c r="L917" s="194"/>
      <c r="M917" s="194"/>
      <c r="N917" s="194"/>
      <c r="O917" s="194"/>
      <c r="P917" s="194"/>
      <c r="Q917" s="194"/>
      <c r="R917" s="194"/>
    </row>
    <row r="918" spans="1:18" s="3" customFormat="1" ht="26.4">
      <c r="A918" s="82" t="s">
        <v>288</v>
      </c>
      <c r="B918" s="145">
        <v>774</v>
      </c>
      <c r="C918" s="84" t="s">
        <v>25</v>
      </c>
      <c r="D918" s="84" t="s">
        <v>27</v>
      </c>
      <c r="E918" s="84" t="s">
        <v>287</v>
      </c>
      <c r="F918" s="84"/>
      <c r="G918" s="70">
        <f t="shared" ref="G918:I919" si="238">G919</f>
        <v>1004778.02</v>
      </c>
      <c r="H918" s="87">
        <f t="shared" si="238"/>
        <v>1339218.02</v>
      </c>
      <c r="I918" s="87">
        <f t="shared" si="238"/>
        <v>1339218.02</v>
      </c>
      <c r="J918" s="173"/>
      <c r="K918" s="194"/>
      <c r="L918" s="194"/>
      <c r="M918" s="194"/>
      <c r="N918" s="194"/>
      <c r="O918" s="194"/>
      <c r="P918" s="194"/>
      <c r="Q918" s="194"/>
      <c r="R918" s="194"/>
    </row>
    <row r="919" spans="1:18" s="3" customFormat="1" ht="26.4">
      <c r="A919" s="82" t="s">
        <v>29</v>
      </c>
      <c r="B919" s="145">
        <v>774</v>
      </c>
      <c r="C919" s="84" t="s">
        <v>25</v>
      </c>
      <c r="D919" s="84" t="s">
        <v>27</v>
      </c>
      <c r="E919" s="84" t="s">
        <v>287</v>
      </c>
      <c r="F919" s="84" t="s">
        <v>30</v>
      </c>
      <c r="G919" s="70">
        <f t="shared" si="238"/>
        <v>1004778.02</v>
      </c>
      <c r="H919" s="87">
        <f t="shared" si="238"/>
        <v>1339218.02</v>
      </c>
      <c r="I919" s="87">
        <f t="shared" si="238"/>
        <v>1339218.02</v>
      </c>
      <c r="J919" s="173"/>
      <c r="K919" s="194"/>
      <c r="L919" s="194"/>
      <c r="M919" s="194"/>
      <c r="N919" s="194"/>
      <c r="O919" s="194"/>
      <c r="P919" s="194"/>
      <c r="Q919" s="194"/>
      <c r="R919" s="194"/>
    </row>
    <row r="920" spans="1:18" s="3" customFormat="1">
      <c r="A920" s="82" t="s">
        <v>31</v>
      </c>
      <c r="B920" s="145">
        <v>774</v>
      </c>
      <c r="C920" s="84" t="s">
        <v>25</v>
      </c>
      <c r="D920" s="84" t="s">
        <v>27</v>
      </c>
      <c r="E920" s="84" t="s">
        <v>287</v>
      </c>
      <c r="F920" s="84" t="s">
        <v>32</v>
      </c>
      <c r="G920" s="70">
        <f>1004778.02+334440-334440</f>
        <v>1004778.02</v>
      </c>
      <c r="H920" s="87">
        <f>1004778.02+334440</f>
        <v>1339218.02</v>
      </c>
      <c r="I920" s="87">
        <f>1004778.02+334440</f>
        <v>1339218.02</v>
      </c>
      <c r="J920" s="173"/>
      <c r="K920" s="194"/>
      <c r="L920" s="194"/>
      <c r="M920" s="194"/>
      <c r="N920" s="194"/>
      <c r="O920" s="194"/>
      <c r="P920" s="194"/>
      <c r="Q920" s="194"/>
      <c r="R920" s="194"/>
    </row>
    <row r="921" spans="1:18" s="3" customFormat="1" ht="33" hidden="1" customHeight="1">
      <c r="A921" s="82" t="s">
        <v>694</v>
      </c>
      <c r="B921" s="145">
        <v>774</v>
      </c>
      <c r="C921" s="84" t="s">
        <v>25</v>
      </c>
      <c r="D921" s="84" t="s">
        <v>27</v>
      </c>
      <c r="E921" s="84" t="s">
        <v>693</v>
      </c>
      <c r="F921" s="84"/>
      <c r="G921" s="70">
        <f t="shared" ref="G921:I928" si="239">G922</f>
        <v>0</v>
      </c>
      <c r="H921" s="87">
        <f t="shared" si="239"/>
        <v>0</v>
      </c>
      <c r="I921" s="87">
        <f t="shared" si="239"/>
        <v>0</v>
      </c>
      <c r="J921" s="173"/>
      <c r="K921" s="194"/>
      <c r="L921" s="194"/>
      <c r="M921" s="194"/>
      <c r="N921" s="194"/>
      <c r="O921" s="194"/>
      <c r="P921" s="194"/>
      <c r="Q921" s="194"/>
      <c r="R921" s="194"/>
    </row>
    <row r="922" spans="1:18" s="3" customFormat="1" ht="26.4" hidden="1">
      <c r="A922" s="82" t="s">
        <v>29</v>
      </c>
      <c r="B922" s="145">
        <v>774</v>
      </c>
      <c r="C922" s="84" t="s">
        <v>25</v>
      </c>
      <c r="D922" s="84" t="s">
        <v>27</v>
      </c>
      <c r="E922" s="84" t="s">
        <v>693</v>
      </c>
      <c r="F922" s="84" t="s">
        <v>30</v>
      </c>
      <c r="G922" s="70">
        <f t="shared" si="239"/>
        <v>0</v>
      </c>
      <c r="H922" s="87">
        <f t="shared" si="239"/>
        <v>0</v>
      </c>
      <c r="I922" s="87">
        <f t="shared" si="239"/>
        <v>0</v>
      </c>
      <c r="J922" s="173"/>
      <c r="K922" s="194"/>
      <c r="L922" s="194"/>
      <c r="M922" s="194"/>
      <c r="N922" s="194"/>
      <c r="O922" s="194"/>
      <c r="P922" s="194"/>
      <c r="Q922" s="194"/>
      <c r="R922" s="194"/>
    </row>
    <row r="923" spans="1:18" s="3" customFormat="1" hidden="1">
      <c r="A923" s="82" t="s">
        <v>31</v>
      </c>
      <c r="B923" s="145">
        <v>774</v>
      </c>
      <c r="C923" s="84" t="s">
        <v>25</v>
      </c>
      <c r="D923" s="84" t="s">
        <v>27</v>
      </c>
      <c r="E923" s="84" t="s">
        <v>693</v>
      </c>
      <c r="F923" s="84" t="s">
        <v>32</v>
      </c>
      <c r="G923" s="70"/>
      <c r="H923" s="87"/>
      <c r="I923" s="87"/>
      <c r="J923" s="173"/>
      <c r="K923" s="194"/>
      <c r="L923" s="194"/>
      <c r="M923" s="194"/>
      <c r="N923" s="194"/>
      <c r="O923" s="194"/>
      <c r="P923" s="194"/>
      <c r="Q923" s="194"/>
      <c r="R923" s="194"/>
    </row>
    <row r="924" spans="1:18" s="3" customFormat="1" ht="54.75" hidden="1" customHeight="1">
      <c r="A924" s="82" t="s">
        <v>712</v>
      </c>
      <c r="B924" s="145">
        <v>774</v>
      </c>
      <c r="C924" s="84" t="s">
        <v>25</v>
      </c>
      <c r="D924" s="84" t="s">
        <v>27</v>
      </c>
      <c r="E924" s="84" t="s">
        <v>700</v>
      </c>
      <c r="F924" s="84"/>
      <c r="G924" s="70">
        <f t="shared" si="239"/>
        <v>0</v>
      </c>
      <c r="H924" s="87">
        <f t="shared" si="239"/>
        <v>0</v>
      </c>
      <c r="I924" s="87">
        <f t="shared" si="239"/>
        <v>0</v>
      </c>
      <c r="J924" s="173"/>
      <c r="K924" s="194"/>
      <c r="L924" s="194"/>
      <c r="M924" s="194"/>
      <c r="N924" s="194"/>
      <c r="O924" s="194"/>
      <c r="P924" s="194"/>
      <c r="Q924" s="194"/>
      <c r="R924" s="194"/>
    </row>
    <row r="925" spans="1:18" s="3" customFormat="1" ht="26.4" hidden="1">
      <c r="A925" s="82" t="s">
        <v>29</v>
      </c>
      <c r="B925" s="145">
        <v>774</v>
      </c>
      <c r="C925" s="84" t="s">
        <v>25</v>
      </c>
      <c r="D925" s="84" t="s">
        <v>27</v>
      </c>
      <c r="E925" s="84" t="s">
        <v>700</v>
      </c>
      <c r="F925" s="84" t="s">
        <v>30</v>
      </c>
      <c r="G925" s="70">
        <f t="shared" si="239"/>
        <v>0</v>
      </c>
      <c r="H925" s="87">
        <f t="shared" si="239"/>
        <v>0</v>
      </c>
      <c r="I925" s="87">
        <f t="shared" si="239"/>
        <v>0</v>
      </c>
      <c r="J925" s="173"/>
      <c r="K925" s="194"/>
      <c r="L925" s="194"/>
      <c r="M925" s="194"/>
      <c r="N925" s="194"/>
      <c r="O925" s="194"/>
      <c r="P925" s="194"/>
      <c r="Q925" s="194"/>
      <c r="R925" s="194"/>
    </row>
    <row r="926" spans="1:18" s="3" customFormat="1" hidden="1">
      <c r="A926" s="82" t="s">
        <v>31</v>
      </c>
      <c r="B926" s="145">
        <v>774</v>
      </c>
      <c r="C926" s="84" t="s">
        <v>25</v>
      </c>
      <c r="D926" s="84" t="s">
        <v>27</v>
      </c>
      <c r="E926" s="84" t="s">
        <v>700</v>
      </c>
      <c r="F926" s="84" t="s">
        <v>32</v>
      </c>
      <c r="G926" s="70"/>
      <c r="H926" s="87">
        <v>0</v>
      </c>
      <c r="I926" s="87">
        <v>0</v>
      </c>
      <c r="J926" s="173"/>
      <c r="K926" s="194"/>
      <c r="L926" s="194"/>
      <c r="M926" s="194"/>
      <c r="N926" s="194"/>
      <c r="O926" s="194"/>
      <c r="P926" s="194"/>
      <c r="Q926" s="194"/>
      <c r="R926" s="194"/>
    </row>
    <row r="927" spans="1:18" s="3" customFormat="1" ht="65.25" hidden="1" customHeight="1">
      <c r="A927" s="82" t="s">
        <v>913</v>
      </c>
      <c r="B927" s="145">
        <v>774</v>
      </c>
      <c r="C927" s="84" t="s">
        <v>25</v>
      </c>
      <c r="D927" s="84" t="s">
        <v>27</v>
      </c>
      <c r="E927" s="84" t="s">
        <v>702</v>
      </c>
      <c r="F927" s="84"/>
      <c r="G927" s="70">
        <f t="shared" si="239"/>
        <v>0</v>
      </c>
      <c r="H927" s="87">
        <f t="shared" si="239"/>
        <v>0</v>
      </c>
      <c r="I927" s="87">
        <f t="shared" si="239"/>
        <v>0</v>
      </c>
      <c r="J927" s="173"/>
      <c r="K927" s="194"/>
      <c r="L927" s="194"/>
      <c r="M927" s="194"/>
      <c r="N927" s="194"/>
      <c r="O927" s="194"/>
      <c r="P927" s="194"/>
      <c r="Q927" s="194"/>
      <c r="R927" s="194"/>
    </row>
    <row r="928" spans="1:18" s="3" customFormat="1" ht="26.4" hidden="1">
      <c r="A928" s="82" t="s">
        <v>29</v>
      </c>
      <c r="B928" s="145">
        <v>774</v>
      </c>
      <c r="C928" s="84" t="s">
        <v>25</v>
      </c>
      <c r="D928" s="84" t="s">
        <v>27</v>
      </c>
      <c r="E928" s="84" t="s">
        <v>702</v>
      </c>
      <c r="F928" s="84" t="s">
        <v>30</v>
      </c>
      <c r="G928" s="70">
        <f t="shared" si="239"/>
        <v>0</v>
      </c>
      <c r="H928" s="87">
        <f t="shared" si="239"/>
        <v>0</v>
      </c>
      <c r="I928" s="87">
        <f t="shared" si="239"/>
        <v>0</v>
      </c>
      <c r="J928" s="173"/>
      <c r="K928" s="194"/>
      <c r="L928" s="194"/>
      <c r="M928" s="194"/>
      <c r="N928" s="194"/>
      <c r="O928" s="194"/>
      <c r="P928" s="194"/>
      <c r="Q928" s="194"/>
      <c r="R928" s="194"/>
    </row>
    <row r="929" spans="1:18" s="3" customFormat="1" hidden="1">
      <c r="A929" s="82" t="s">
        <v>31</v>
      </c>
      <c r="B929" s="145">
        <v>774</v>
      </c>
      <c r="C929" s="84" t="s">
        <v>25</v>
      </c>
      <c r="D929" s="84" t="s">
        <v>27</v>
      </c>
      <c r="E929" s="84" t="s">
        <v>702</v>
      </c>
      <c r="F929" s="84" t="s">
        <v>32</v>
      </c>
      <c r="G929" s="70"/>
      <c r="H929" s="87"/>
      <c r="I929" s="87"/>
      <c r="J929" s="173"/>
      <c r="K929" s="194"/>
      <c r="L929" s="194"/>
      <c r="M929" s="194"/>
      <c r="N929" s="194"/>
      <c r="O929" s="194"/>
      <c r="P929" s="194"/>
      <c r="Q929" s="194"/>
      <c r="R929" s="194"/>
    </row>
    <row r="930" spans="1:18" s="3" customFormat="1" ht="38.25" hidden="1" customHeight="1">
      <c r="A930" s="82" t="s">
        <v>611</v>
      </c>
      <c r="B930" s="145">
        <v>774</v>
      </c>
      <c r="C930" s="84" t="s">
        <v>25</v>
      </c>
      <c r="D930" s="84" t="s">
        <v>27</v>
      </c>
      <c r="E930" s="84" t="s">
        <v>610</v>
      </c>
      <c r="F930" s="84"/>
      <c r="G930" s="70">
        <f t="shared" ref="G930:I931" si="240">G931</f>
        <v>0</v>
      </c>
      <c r="H930" s="87">
        <f t="shared" si="240"/>
        <v>0</v>
      </c>
      <c r="I930" s="87">
        <f t="shared" si="240"/>
        <v>0</v>
      </c>
      <c r="J930" s="173"/>
      <c r="K930" s="194"/>
      <c r="L930" s="194"/>
      <c r="M930" s="194"/>
      <c r="N930" s="194"/>
      <c r="O930" s="194"/>
      <c r="P930" s="194"/>
      <c r="Q930" s="194"/>
      <c r="R930" s="194"/>
    </row>
    <row r="931" spans="1:18" s="3" customFormat="1" ht="25.5" hidden="1" customHeight="1">
      <c r="A931" s="82" t="s">
        <v>29</v>
      </c>
      <c r="B931" s="145">
        <v>774</v>
      </c>
      <c r="C931" s="84" t="s">
        <v>25</v>
      </c>
      <c r="D931" s="84" t="s">
        <v>27</v>
      </c>
      <c r="E931" s="84" t="s">
        <v>610</v>
      </c>
      <c r="F931" s="84" t="s">
        <v>30</v>
      </c>
      <c r="G931" s="70">
        <f t="shared" si="240"/>
        <v>0</v>
      </c>
      <c r="H931" s="87">
        <f t="shared" si="240"/>
        <v>0</v>
      </c>
      <c r="I931" s="87">
        <f t="shared" si="240"/>
        <v>0</v>
      </c>
      <c r="J931" s="173"/>
      <c r="K931" s="194"/>
      <c r="L931" s="194"/>
      <c r="M931" s="194"/>
      <c r="N931" s="194"/>
      <c r="O931" s="194"/>
      <c r="P931" s="194"/>
      <c r="Q931" s="194"/>
      <c r="R931" s="194"/>
    </row>
    <row r="932" spans="1:18" s="3" customFormat="1" ht="12.75" hidden="1" customHeight="1">
      <c r="A932" s="82" t="s">
        <v>31</v>
      </c>
      <c r="B932" s="145">
        <v>774</v>
      </c>
      <c r="C932" s="84" t="s">
        <v>25</v>
      </c>
      <c r="D932" s="84" t="s">
        <v>27</v>
      </c>
      <c r="E932" s="84" t="s">
        <v>610</v>
      </c>
      <c r="F932" s="84" t="s">
        <v>32</v>
      </c>
      <c r="G932" s="70"/>
      <c r="H932" s="87"/>
      <c r="I932" s="87"/>
      <c r="J932" s="173"/>
      <c r="K932" s="194"/>
      <c r="L932" s="194"/>
      <c r="M932" s="194"/>
      <c r="N932" s="194"/>
      <c r="O932" s="194"/>
      <c r="P932" s="194"/>
      <c r="Q932" s="194"/>
      <c r="R932" s="194"/>
    </row>
    <row r="933" spans="1:18" s="3" customFormat="1" ht="49.5" hidden="1" customHeight="1">
      <c r="A933" s="82" t="s">
        <v>869</v>
      </c>
      <c r="B933" s="145">
        <v>774</v>
      </c>
      <c r="C933" s="84" t="s">
        <v>25</v>
      </c>
      <c r="D933" s="84" t="s">
        <v>27</v>
      </c>
      <c r="E933" s="84" t="s">
        <v>856</v>
      </c>
      <c r="F933" s="84"/>
      <c r="G933" s="70">
        <f t="shared" ref="G933:I967" si="241">G934</f>
        <v>0</v>
      </c>
      <c r="H933" s="87">
        <f t="shared" si="241"/>
        <v>0</v>
      </c>
      <c r="I933" s="87">
        <f t="shared" si="241"/>
        <v>0</v>
      </c>
      <c r="J933" s="173"/>
      <c r="K933" s="194"/>
      <c r="L933" s="194"/>
      <c r="M933" s="194"/>
      <c r="N933" s="194"/>
      <c r="O933" s="194"/>
      <c r="P933" s="194"/>
      <c r="Q933" s="194"/>
      <c r="R933" s="194"/>
    </row>
    <row r="934" spans="1:18" s="3" customFormat="1" ht="26.4" hidden="1">
      <c r="A934" s="82" t="s">
        <v>29</v>
      </c>
      <c r="B934" s="145">
        <v>774</v>
      </c>
      <c r="C934" s="84" t="s">
        <v>25</v>
      </c>
      <c r="D934" s="84" t="s">
        <v>27</v>
      </c>
      <c r="E934" s="84" t="s">
        <v>856</v>
      </c>
      <c r="F934" s="84" t="s">
        <v>30</v>
      </c>
      <c r="G934" s="70">
        <f t="shared" si="241"/>
        <v>0</v>
      </c>
      <c r="H934" s="87">
        <f t="shared" si="241"/>
        <v>0</v>
      </c>
      <c r="I934" s="87">
        <f t="shared" si="241"/>
        <v>0</v>
      </c>
      <c r="J934" s="173"/>
      <c r="K934" s="194"/>
      <c r="L934" s="194"/>
      <c r="M934" s="194"/>
      <c r="N934" s="194"/>
      <c r="O934" s="194"/>
      <c r="P934" s="194"/>
      <c r="Q934" s="194"/>
      <c r="R934" s="194"/>
    </row>
    <row r="935" spans="1:18" s="3" customFormat="1" hidden="1">
      <c r="A935" s="82" t="s">
        <v>31</v>
      </c>
      <c r="B935" s="145">
        <v>774</v>
      </c>
      <c r="C935" s="84" t="s">
        <v>25</v>
      </c>
      <c r="D935" s="84" t="s">
        <v>27</v>
      </c>
      <c r="E935" s="84" t="s">
        <v>856</v>
      </c>
      <c r="F935" s="84" t="s">
        <v>32</v>
      </c>
      <c r="G935" s="70"/>
      <c r="H935" s="87"/>
      <c r="I935" s="87"/>
      <c r="J935" s="173"/>
      <c r="K935" s="194"/>
      <c r="L935" s="194"/>
      <c r="M935" s="194"/>
      <c r="N935" s="194"/>
      <c r="O935" s="194"/>
      <c r="P935" s="194"/>
      <c r="Q935" s="194"/>
      <c r="R935" s="194"/>
    </row>
    <row r="936" spans="1:18" s="147" customFormat="1" ht="61.5" hidden="1" customHeight="1">
      <c r="A936" s="82" t="s">
        <v>1026</v>
      </c>
      <c r="B936" s="145">
        <v>774</v>
      </c>
      <c r="C936" s="84" t="s">
        <v>25</v>
      </c>
      <c r="D936" s="84" t="s">
        <v>27</v>
      </c>
      <c r="E936" s="84" t="s">
        <v>1021</v>
      </c>
      <c r="F936" s="84"/>
      <c r="G936" s="70">
        <f t="shared" si="241"/>
        <v>0</v>
      </c>
      <c r="H936" s="87">
        <f t="shared" si="241"/>
        <v>0</v>
      </c>
      <c r="I936" s="87">
        <f t="shared" si="241"/>
        <v>0</v>
      </c>
      <c r="J936" s="173"/>
      <c r="K936" s="194"/>
      <c r="L936" s="194"/>
      <c r="M936" s="194"/>
      <c r="N936" s="194"/>
      <c r="O936" s="194"/>
      <c r="P936" s="194"/>
      <c r="Q936" s="194"/>
      <c r="R936" s="194"/>
    </row>
    <row r="937" spans="1:18" s="3" customFormat="1" ht="26.4" hidden="1">
      <c r="A937" s="82" t="s">
        <v>29</v>
      </c>
      <c r="B937" s="145">
        <v>774</v>
      </c>
      <c r="C937" s="84" t="s">
        <v>25</v>
      </c>
      <c r="D937" s="84" t="s">
        <v>27</v>
      </c>
      <c r="E937" s="84" t="s">
        <v>1021</v>
      </c>
      <c r="F937" s="84" t="s">
        <v>30</v>
      </c>
      <c r="G937" s="70">
        <f t="shared" si="241"/>
        <v>0</v>
      </c>
      <c r="H937" s="87">
        <f t="shared" si="241"/>
        <v>0</v>
      </c>
      <c r="I937" s="87">
        <f t="shared" si="241"/>
        <v>0</v>
      </c>
      <c r="J937" s="173"/>
      <c r="K937" s="194"/>
      <c r="L937" s="194"/>
      <c r="M937" s="194"/>
      <c r="N937" s="194"/>
      <c r="O937" s="194"/>
      <c r="P937" s="194"/>
      <c r="Q937" s="194"/>
      <c r="R937" s="194"/>
    </row>
    <row r="938" spans="1:18" s="3" customFormat="1" hidden="1">
      <c r="A938" s="82" t="s">
        <v>31</v>
      </c>
      <c r="B938" s="145">
        <v>774</v>
      </c>
      <c r="C938" s="84" t="s">
        <v>25</v>
      </c>
      <c r="D938" s="84" t="s">
        <v>27</v>
      </c>
      <c r="E938" s="84" t="s">
        <v>1021</v>
      </c>
      <c r="F938" s="84" t="s">
        <v>32</v>
      </c>
      <c r="G938" s="70"/>
      <c r="H938" s="87"/>
      <c r="I938" s="87"/>
      <c r="J938" s="173"/>
      <c r="K938" s="194"/>
      <c r="L938" s="194"/>
      <c r="M938" s="194"/>
      <c r="N938" s="194"/>
      <c r="O938" s="194"/>
      <c r="P938" s="194"/>
      <c r="Q938" s="194"/>
      <c r="R938" s="194"/>
    </row>
    <row r="939" spans="1:18" s="3" customFormat="1" ht="38.25" hidden="1" customHeight="1">
      <c r="A939" s="82" t="s">
        <v>1044</v>
      </c>
      <c r="B939" s="145">
        <v>774</v>
      </c>
      <c r="C939" s="84" t="s">
        <v>25</v>
      </c>
      <c r="D939" s="84" t="s">
        <v>27</v>
      </c>
      <c r="E939" s="84" t="s">
        <v>1022</v>
      </c>
      <c r="F939" s="84"/>
      <c r="G939" s="70">
        <f t="shared" si="241"/>
        <v>0</v>
      </c>
      <c r="H939" s="87">
        <f t="shared" si="241"/>
        <v>0</v>
      </c>
      <c r="I939" s="87">
        <f t="shared" si="241"/>
        <v>0</v>
      </c>
      <c r="J939" s="173"/>
      <c r="K939" s="194"/>
      <c r="L939" s="194"/>
      <c r="M939" s="194"/>
      <c r="N939" s="194"/>
      <c r="O939" s="194"/>
      <c r="P939" s="194"/>
      <c r="Q939" s="194"/>
      <c r="R939" s="194"/>
    </row>
    <row r="940" spans="1:18" s="3" customFormat="1" ht="26.4" hidden="1">
      <c r="A940" s="82" t="s">
        <v>29</v>
      </c>
      <c r="B940" s="145">
        <v>774</v>
      </c>
      <c r="C940" s="84" t="s">
        <v>25</v>
      </c>
      <c r="D940" s="84" t="s">
        <v>27</v>
      </c>
      <c r="E940" s="84" t="s">
        <v>1022</v>
      </c>
      <c r="F940" s="84" t="s">
        <v>30</v>
      </c>
      <c r="G940" s="70">
        <f t="shared" si="241"/>
        <v>0</v>
      </c>
      <c r="H940" s="87">
        <f t="shared" si="241"/>
        <v>0</v>
      </c>
      <c r="I940" s="87">
        <f t="shared" si="241"/>
        <v>0</v>
      </c>
      <c r="J940" s="173"/>
      <c r="K940" s="194"/>
      <c r="L940" s="194"/>
      <c r="M940" s="194"/>
      <c r="N940" s="194"/>
      <c r="O940" s="194"/>
      <c r="P940" s="194"/>
      <c r="Q940" s="194"/>
      <c r="R940" s="194"/>
    </row>
    <row r="941" spans="1:18" s="3" customFormat="1" hidden="1">
      <c r="A941" s="82" t="s">
        <v>31</v>
      </c>
      <c r="B941" s="145">
        <v>774</v>
      </c>
      <c r="C941" s="84" t="s">
        <v>25</v>
      </c>
      <c r="D941" s="84" t="s">
        <v>27</v>
      </c>
      <c r="E941" s="84" t="s">
        <v>1022</v>
      </c>
      <c r="F941" s="84" t="s">
        <v>32</v>
      </c>
      <c r="G941" s="70"/>
      <c r="H941" s="87"/>
      <c r="I941" s="87"/>
      <c r="J941" s="173"/>
      <c r="K941" s="194"/>
      <c r="L941" s="194"/>
      <c r="M941" s="194"/>
      <c r="N941" s="194"/>
      <c r="O941" s="194"/>
      <c r="P941" s="194"/>
      <c r="Q941" s="194"/>
      <c r="R941" s="194"/>
    </row>
    <row r="942" spans="1:18" s="3" customFormat="1" ht="36" hidden="1" customHeight="1">
      <c r="A942" s="82" t="s">
        <v>1027</v>
      </c>
      <c r="B942" s="145">
        <v>774</v>
      </c>
      <c r="C942" s="84" t="s">
        <v>25</v>
      </c>
      <c r="D942" s="84" t="s">
        <v>27</v>
      </c>
      <c r="E942" s="84" t="s">
        <v>1023</v>
      </c>
      <c r="F942" s="84"/>
      <c r="G942" s="70">
        <f t="shared" si="241"/>
        <v>0</v>
      </c>
      <c r="H942" s="87">
        <f t="shared" si="241"/>
        <v>0</v>
      </c>
      <c r="I942" s="87">
        <f t="shared" si="241"/>
        <v>0</v>
      </c>
      <c r="J942" s="173"/>
      <c r="K942" s="194"/>
      <c r="L942" s="194"/>
      <c r="M942" s="194"/>
      <c r="N942" s="194"/>
      <c r="O942" s="194"/>
      <c r="P942" s="194"/>
      <c r="Q942" s="194"/>
      <c r="R942" s="194"/>
    </row>
    <row r="943" spans="1:18" s="3" customFormat="1" ht="26.4" hidden="1">
      <c r="A943" s="82" t="s">
        <v>29</v>
      </c>
      <c r="B943" s="145">
        <v>774</v>
      </c>
      <c r="C943" s="84" t="s">
        <v>25</v>
      </c>
      <c r="D943" s="84" t="s">
        <v>27</v>
      </c>
      <c r="E943" s="84" t="s">
        <v>1023</v>
      </c>
      <c r="F943" s="84" t="s">
        <v>30</v>
      </c>
      <c r="G943" s="70">
        <f t="shared" si="241"/>
        <v>0</v>
      </c>
      <c r="H943" s="87">
        <f t="shared" si="241"/>
        <v>0</v>
      </c>
      <c r="I943" s="87">
        <f t="shared" si="241"/>
        <v>0</v>
      </c>
      <c r="J943" s="173"/>
      <c r="K943" s="194"/>
      <c r="L943" s="194"/>
      <c r="M943" s="194"/>
      <c r="N943" s="194"/>
      <c r="O943" s="194"/>
      <c r="P943" s="194"/>
      <c r="Q943" s="194"/>
      <c r="R943" s="194"/>
    </row>
    <row r="944" spans="1:18" s="3" customFormat="1" hidden="1">
      <c r="A944" s="82" t="s">
        <v>31</v>
      </c>
      <c r="B944" s="145">
        <v>774</v>
      </c>
      <c r="C944" s="84" t="s">
        <v>25</v>
      </c>
      <c r="D944" s="84" t="s">
        <v>27</v>
      </c>
      <c r="E944" s="84" t="s">
        <v>1023</v>
      </c>
      <c r="F944" s="84" t="s">
        <v>32</v>
      </c>
      <c r="G944" s="70"/>
      <c r="H944" s="87"/>
      <c r="I944" s="87"/>
      <c r="J944" s="173"/>
      <c r="K944" s="194"/>
      <c r="L944" s="194"/>
      <c r="M944" s="194"/>
      <c r="N944" s="194"/>
      <c r="O944" s="194"/>
      <c r="P944" s="194"/>
      <c r="Q944" s="194"/>
      <c r="R944" s="194"/>
    </row>
    <row r="945" spans="1:18" s="3" customFormat="1" ht="49.5" hidden="1" customHeight="1">
      <c r="A945" s="82" t="s">
        <v>1029</v>
      </c>
      <c r="B945" s="145">
        <v>774</v>
      </c>
      <c r="C945" s="84" t="s">
        <v>25</v>
      </c>
      <c r="D945" s="84" t="s">
        <v>27</v>
      </c>
      <c r="E945" s="84" t="s">
        <v>1024</v>
      </c>
      <c r="F945" s="84"/>
      <c r="G945" s="70">
        <f t="shared" si="241"/>
        <v>0</v>
      </c>
      <c r="H945" s="87">
        <f t="shared" si="241"/>
        <v>0</v>
      </c>
      <c r="I945" s="87">
        <f t="shared" si="241"/>
        <v>0</v>
      </c>
      <c r="J945" s="173"/>
      <c r="K945" s="194"/>
      <c r="L945" s="194"/>
      <c r="M945" s="194"/>
      <c r="N945" s="194"/>
      <c r="O945" s="194"/>
      <c r="P945" s="194"/>
      <c r="Q945" s="194"/>
      <c r="R945" s="194"/>
    </row>
    <row r="946" spans="1:18" s="3" customFormat="1" ht="26.4" hidden="1">
      <c r="A946" s="82" t="s">
        <v>29</v>
      </c>
      <c r="B946" s="145">
        <v>774</v>
      </c>
      <c r="C946" s="84" t="s">
        <v>25</v>
      </c>
      <c r="D946" s="84" t="s">
        <v>27</v>
      </c>
      <c r="E946" s="84" t="s">
        <v>1024</v>
      </c>
      <c r="F946" s="84" t="s">
        <v>30</v>
      </c>
      <c r="G946" s="70">
        <f t="shared" si="241"/>
        <v>0</v>
      </c>
      <c r="H946" s="87">
        <f t="shared" si="241"/>
        <v>0</v>
      </c>
      <c r="I946" s="87">
        <f t="shared" si="241"/>
        <v>0</v>
      </c>
      <c r="J946" s="173"/>
      <c r="K946" s="194"/>
      <c r="L946" s="194"/>
      <c r="M946" s="194"/>
      <c r="N946" s="194"/>
      <c r="O946" s="194"/>
      <c r="P946" s="194"/>
      <c r="Q946" s="194"/>
      <c r="R946" s="194"/>
    </row>
    <row r="947" spans="1:18" s="3" customFormat="1" hidden="1">
      <c r="A947" s="82" t="s">
        <v>31</v>
      </c>
      <c r="B947" s="145">
        <v>774</v>
      </c>
      <c r="C947" s="84" t="s">
        <v>25</v>
      </c>
      <c r="D947" s="84" t="s">
        <v>27</v>
      </c>
      <c r="E947" s="84" t="s">
        <v>1024</v>
      </c>
      <c r="F947" s="84" t="s">
        <v>32</v>
      </c>
      <c r="G947" s="70"/>
      <c r="H947" s="87"/>
      <c r="I947" s="87"/>
      <c r="J947" s="173"/>
      <c r="K947" s="194"/>
      <c r="L947" s="194"/>
      <c r="M947" s="194"/>
      <c r="N947" s="194"/>
      <c r="O947" s="194"/>
      <c r="P947" s="194"/>
      <c r="Q947" s="194"/>
      <c r="R947" s="194"/>
    </row>
    <row r="948" spans="1:18" s="3" customFormat="1" ht="49.5" hidden="1" customHeight="1">
      <c r="A948" s="82" t="s">
        <v>1028</v>
      </c>
      <c r="B948" s="145">
        <v>774</v>
      </c>
      <c r="C948" s="84" t="s">
        <v>25</v>
      </c>
      <c r="D948" s="84" t="s">
        <v>27</v>
      </c>
      <c r="E948" s="84" t="s">
        <v>1025</v>
      </c>
      <c r="F948" s="84"/>
      <c r="G948" s="70">
        <f t="shared" si="241"/>
        <v>0</v>
      </c>
      <c r="H948" s="87">
        <f t="shared" si="241"/>
        <v>0</v>
      </c>
      <c r="I948" s="87">
        <f t="shared" si="241"/>
        <v>0</v>
      </c>
      <c r="J948" s="173"/>
      <c r="K948" s="194"/>
      <c r="L948" s="194"/>
      <c r="M948" s="194"/>
      <c r="N948" s="194"/>
      <c r="O948" s="194"/>
      <c r="P948" s="194"/>
      <c r="Q948" s="194"/>
      <c r="R948" s="194"/>
    </row>
    <row r="949" spans="1:18" s="3" customFormat="1" ht="26.4" hidden="1">
      <c r="A949" s="82" t="s">
        <v>29</v>
      </c>
      <c r="B949" s="145">
        <v>774</v>
      </c>
      <c r="C949" s="84" t="s">
        <v>25</v>
      </c>
      <c r="D949" s="84" t="s">
        <v>27</v>
      </c>
      <c r="E949" s="84" t="s">
        <v>1025</v>
      </c>
      <c r="F949" s="84" t="s">
        <v>30</v>
      </c>
      <c r="G949" s="70">
        <f t="shared" si="241"/>
        <v>0</v>
      </c>
      <c r="H949" s="87">
        <f t="shared" si="241"/>
        <v>0</v>
      </c>
      <c r="I949" s="87">
        <f t="shared" si="241"/>
        <v>0</v>
      </c>
      <c r="J949" s="173"/>
      <c r="K949" s="194"/>
      <c r="L949" s="194"/>
      <c r="M949" s="194"/>
      <c r="N949" s="194"/>
      <c r="O949" s="194"/>
      <c r="P949" s="194"/>
      <c r="Q949" s="194"/>
      <c r="R949" s="194"/>
    </row>
    <row r="950" spans="1:18" s="3" customFormat="1" ht="23.25" hidden="1" customHeight="1">
      <c r="A950" s="82" t="s">
        <v>31</v>
      </c>
      <c r="B950" s="145">
        <v>774</v>
      </c>
      <c r="C950" s="84" t="s">
        <v>25</v>
      </c>
      <c r="D950" s="84" t="s">
        <v>27</v>
      </c>
      <c r="E950" s="84" t="s">
        <v>1025</v>
      </c>
      <c r="F950" s="84" t="s">
        <v>32</v>
      </c>
      <c r="G950" s="70"/>
      <c r="H950" s="87"/>
      <c r="I950" s="87"/>
      <c r="J950" s="173"/>
      <c r="K950" s="194"/>
      <c r="L950" s="194"/>
      <c r="M950" s="194"/>
      <c r="N950" s="194"/>
      <c r="O950" s="194"/>
      <c r="P950" s="194"/>
      <c r="Q950" s="194"/>
      <c r="R950" s="194"/>
    </row>
    <row r="951" spans="1:18" s="3" customFormat="1" ht="35.25" hidden="1" customHeight="1">
      <c r="A951" s="82" t="s">
        <v>1041</v>
      </c>
      <c r="B951" s="145">
        <v>774</v>
      </c>
      <c r="C951" s="84" t="s">
        <v>25</v>
      </c>
      <c r="D951" s="84" t="s">
        <v>27</v>
      </c>
      <c r="E951" s="84" t="s">
        <v>1037</v>
      </c>
      <c r="F951" s="84"/>
      <c r="G951" s="70">
        <f t="shared" si="241"/>
        <v>0</v>
      </c>
      <c r="H951" s="87">
        <f t="shared" si="241"/>
        <v>0</v>
      </c>
      <c r="I951" s="87">
        <f t="shared" si="241"/>
        <v>0</v>
      </c>
      <c r="J951" s="173"/>
      <c r="K951" s="194"/>
      <c r="L951" s="194"/>
      <c r="M951" s="194"/>
      <c r="N951" s="194"/>
      <c r="O951" s="194"/>
      <c r="P951" s="194"/>
      <c r="Q951" s="194"/>
      <c r="R951" s="194"/>
    </row>
    <row r="952" spans="1:18" s="3" customFormat="1" ht="26.4" hidden="1">
      <c r="A952" s="82" t="s">
        <v>29</v>
      </c>
      <c r="B952" s="145">
        <v>774</v>
      </c>
      <c r="C952" s="84" t="s">
        <v>25</v>
      </c>
      <c r="D952" s="84" t="s">
        <v>27</v>
      </c>
      <c r="E952" s="84" t="s">
        <v>1037</v>
      </c>
      <c r="F952" s="84" t="s">
        <v>30</v>
      </c>
      <c r="G952" s="70">
        <f t="shared" si="241"/>
        <v>0</v>
      </c>
      <c r="H952" s="87">
        <f t="shared" si="241"/>
        <v>0</v>
      </c>
      <c r="I952" s="87">
        <f t="shared" si="241"/>
        <v>0</v>
      </c>
      <c r="J952" s="173"/>
      <c r="K952" s="194"/>
      <c r="L952" s="194"/>
      <c r="M952" s="194"/>
      <c r="N952" s="194"/>
      <c r="O952" s="194"/>
      <c r="P952" s="194"/>
      <c r="Q952" s="194"/>
      <c r="R952" s="194"/>
    </row>
    <row r="953" spans="1:18" s="3" customFormat="1" hidden="1">
      <c r="A953" s="82" t="s">
        <v>31</v>
      </c>
      <c r="B953" s="145">
        <v>774</v>
      </c>
      <c r="C953" s="84" t="s">
        <v>25</v>
      </c>
      <c r="D953" s="84" t="s">
        <v>27</v>
      </c>
      <c r="E953" s="84" t="s">
        <v>1037</v>
      </c>
      <c r="F953" s="84" t="s">
        <v>32</v>
      </c>
      <c r="G953" s="70"/>
      <c r="H953" s="87"/>
      <c r="I953" s="87"/>
      <c r="J953" s="173"/>
      <c r="K953" s="194"/>
      <c r="L953" s="194"/>
      <c r="M953" s="194"/>
      <c r="N953" s="194"/>
      <c r="O953" s="194"/>
      <c r="P953" s="194"/>
      <c r="Q953" s="194"/>
      <c r="R953" s="194"/>
    </row>
    <row r="954" spans="1:18" s="3" customFormat="1" ht="49.5" hidden="1" customHeight="1">
      <c r="A954" s="82" t="s">
        <v>997</v>
      </c>
      <c r="B954" s="145">
        <v>774</v>
      </c>
      <c r="C954" s="84" t="s">
        <v>25</v>
      </c>
      <c r="D954" s="84" t="s">
        <v>27</v>
      </c>
      <c r="E954" s="84" t="s">
        <v>996</v>
      </c>
      <c r="F954" s="84"/>
      <c r="G954" s="70">
        <f t="shared" si="241"/>
        <v>0</v>
      </c>
      <c r="H954" s="87">
        <f t="shared" si="241"/>
        <v>0</v>
      </c>
      <c r="I954" s="87">
        <f t="shared" si="241"/>
        <v>0</v>
      </c>
      <c r="J954" s="173"/>
      <c r="K954" s="194"/>
      <c r="L954" s="194"/>
      <c r="M954" s="194"/>
      <c r="N954" s="194"/>
      <c r="O954" s="194"/>
      <c r="P954" s="194"/>
      <c r="Q954" s="194"/>
      <c r="R954" s="194"/>
    </row>
    <row r="955" spans="1:18" s="3" customFormat="1" ht="26.4" hidden="1">
      <c r="A955" s="82" t="s">
        <v>29</v>
      </c>
      <c r="B955" s="145">
        <v>774</v>
      </c>
      <c r="C955" s="84" t="s">
        <v>25</v>
      </c>
      <c r="D955" s="84" t="s">
        <v>27</v>
      </c>
      <c r="E955" s="84" t="s">
        <v>996</v>
      </c>
      <c r="F955" s="84" t="s">
        <v>30</v>
      </c>
      <c r="G955" s="70">
        <f t="shared" si="241"/>
        <v>0</v>
      </c>
      <c r="H955" s="87">
        <f t="shared" si="241"/>
        <v>0</v>
      </c>
      <c r="I955" s="87">
        <f t="shared" si="241"/>
        <v>0</v>
      </c>
      <c r="J955" s="173"/>
      <c r="K955" s="194"/>
      <c r="L955" s="194"/>
      <c r="M955" s="194"/>
      <c r="N955" s="194"/>
      <c r="O955" s="194"/>
      <c r="P955" s="194"/>
      <c r="Q955" s="194"/>
      <c r="R955" s="194"/>
    </row>
    <row r="956" spans="1:18" s="3" customFormat="1" hidden="1">
      <c r="A956" s="82" t="s">
        <v>31</v>
      </c>
      <c r="B956" s="145">
        <v>774</v>
      </c>
      <c r="C956" s="84" t="s">
        <v>25</v>
      </c>
      <c r="D956" s="84" t="s">
        <v>27</v>
      </c>
      <c r="E956" s="84" t="s">
        <v>996</v>
      </c>
      <c r="F956" s="84" t="s">
        <v>32</v>
      </c>
      <c r="G956" s="70"/>
      <c r="H956" s="87"/>
      <c r="I956" s="87"/>
      <c r="J956" s="173"/>
      <c r="K956" s="194"/>
      <c r="L956" s="194"/>
      <c r="M956" s="194"/>
      <c r="N956" s="194"/>
      <c r="O956" s="194"/>
      <c r="P956" s="194"/>
      <c r="Q956" s="194"/>
      <c r="R956" s="194"/>
    </row>
    <row r="957" spans="1:18" s="3" customFormat="1" ht="26.4">
      <c r="A957" s="82" t="s">
        <v>1480</v>
      </c>
      <c r="B957" s="145">
        <v>774</v>
      </c>
      <c r="C957" s="84" t="s">
        <v>25</v>
      </c>
      <c r="D957" s="84" t="s">
        <v>27</v>
      </c>
      <c r="E957" s="84" t="s">
        <v>1479</v>
      </c>
      <c r="F957" s="84"/>
      <c r="G957" s="70">
        <f t="shared" ref="G957:I958" si="242">G958</f>
        <v>287732.55</v>
      </c>
      <c r="H957" s="87">
        <f t="shared" si="242"/>
        <v>0</v>
      </c>
      <c r="I957" s="87">
        <f t="shared" si="242"/>
        <v>0</v>
      </c>
      <c r="J957" s="173"/>
      <c r="K957" s="194"/>
      <c r="L957" s="194"/>
      <c r="M957" s="194"/>
      <c r="N957" s="194"/>
      <c r="O957" s="194"/>
      <c r="P957" s="194"/>
      <c r="Q957" s="194"/>
      <c r="R957" s="194"/>
    </row>
    <row r="958" spans="1:18" s="3" customFormat="1" ht="26.4">
      <c r="A958" s="82" t="s">
        <v>29</v>
      </c>
      <c r="B958" s="145">
        <v>774</v>
      </c>
      <c r="C958" s="84" t="s">
        <v>25</v>
      </c>
      <c r="D958" s="84" t="s">
        <v>27</v>
      </c>
      <c r="E958" s="84" t="s">
        <v>1479</v>
      </c>
      <c r="F958" s="84" t="s">
        <v>30</v>
      </c>
      <c r="G958" s="70">
        <f t="shared" si="242"/>
        <v>287732.55</v>
      </c>
      <c r="H958" s="87">
        <f t="shared" si="242"/>
        <v>0</v>
      </c>
      <c r="I958" s="87">
        <f t="shared" si="242"/>
        <v>0</v>
      </c>
      <c r="J958" s="173"/>
      <c r="K958" s="194"/>
      <c r="L958" s="194"/>
      <c r="M958" s="194"/>
      <c r="N958" s="194"/>
      <c r="O958" s="194"/>
      <c r="P958" s="194"/>
      <c r="Q958" s="194"/>
      <c r="R958" s="194"/>
    </row>
    <row r="959" spans="1:18" s="3" customFormat="1">
      <c r="A959" s="82" t="s">
        <v>31</v>
      </c>
      <c r="B959" s="145">
        <v>774</v>
      </c>
      <c r="C959" s="84" t="s">
        <v>25</v>
      </c>
      <c r="D959" s="84" t="s">
        <v>27</v>
      </c>
      <c r="E959" s="84" t="s">
        <v>1479</v>
      </c>
      <c r="F959" s="84" t="s">
        <v>32</v>
      </c>
      <c r="G959" s="70">
        <v>287732.55</v>
      </c>
      <c r="H959" s="87"/>
      <c r="I959" s="87"/>
      <c r="J959" s="173"/>
      <c r="K959" s="194"/>
      <c r="L959" s="194"/>
      <c r="M959" s="194"/>
      <c r="N959" s="194"/>
      <c r="O959" s="194"/>
      <c r="P959" s="194"/>
      <c r="Q959" s="194"/>
      <c r="R959" s="194"/>
    </row>
    <row r="960" spans="1:18" s="3" customFormat="1" ht="49.5" customHeight="1">
      <c r="A960" s="82" t="s">
        <v>1079</v>
      </c>
      <c r="B960" s="145">
        <v>774</v>
      </c>
      <c r="C960" s="84" t="s">
        <v>25</v>
      </c>
      <c r="D960" s="84" t="s">
        <v>27</v>
      </c>
      <c r="E960" s="84" t="s">
        <v>1080</v>
      </c>
      <c r="F960" s="84"/>
      <c r="G960" s="70">
        <f t="shared" si="241"/>
        <v>1983298.1600000001</v>
      </c>
      <c r="H960" s="87">
        <f t="shared" si="241"/>
        <v>0</v>
      </c>
      <c r="I960" s="87">
        <f t="shared" si="241"/>
        <v>0</v>
      </c>
      <c r="J960" s="173"/>
      <c r="K960" s="194"/>
      <c r="L960" s="194"/>
      <c r="M960" s="194"/>
      <c r="N960" s="194"/>
      <c r="O960" s="194"/>
      <c r="P960" s="194"/>
      <c r="Q960" s="194"/>
      <c r="R960" s="194"/>
    </row>
    <row r="961" spans="1:18" s="3" customFormat="1" ht="24.75" customHeight="1">
      <c r="A961" s="82" t="s">
        <v>29</v>
      </c>
      <c r="B961" s="145">
        <v>774</v>
      </c>
      <c r="C961" s="84" t="s">
        <v>25</v>
      </c>
      <c r="D961" s="84" t="s">
        <v>27</v>
      </c>
      <c r="E961" s="84" t="s">
        <v>1080</v>
      </c>
      <c r="F961" s="84" t="s">
        <v>30</v>
      </c>
      <c r="G961" s="70">
        <f t="shared" si="241"/>
        <v>1983298.1600000001</v>
      </c>
      <c r="H961" s="87">
        <f t="shared" si="241"/>
        <v>0</v>
      </c>
      <c r="I961" s="87">
        <f t="shared" si="241"/>
        <v>0</v>
      </c>
      <c r="J961" s="173"/>
      <c r="K961" s="194"/>
      <c r="L961" s="194"/>
      <c r="M961" s="194"/>
      <c r="N961" s="194"/>
      <c r="O961" s="194"/>
      <c r="P961" s="194"/>
      <c r="Q961" s="194"/>
      <c r="R961" s="194"/>
    </row>
    <row r="962" spans="1:18" s="3" customFormat="1">
      <c r="A962" s="82" t="s">
        <v>31</v>
      </c>
      <c r="B962" s="145">
        <v>774</v>
      </c>
      <c r="C962" s="84" t="s">
        <v>25</v>
      </c>
      <c r="D962" s="84" t="s">
        <v>27</v>
      </c>
      <c r="E962" s="84" t="s">
        <v>1080</v>
      </c>
      <c r="F962" s="84" t="s">
        <v>32</v>
      </c>
      <c r="G962" s="70">
        <f>2981864-247252.75-522655.59-1657.5-227000</f>
        <v>1983298.1600000001</v>
      </c>
      <c r="H962" s="87">
        <v>0</v>
      </c>
      <c r="I962" s="87">
        <v>0</v>
      </c>
      <c r="J962" s="173"/>
      <c r="K962" s="194"/>
      <c r="L962" s="194"/>
      <c r="M962" s="194"/>
      <c r="N962" s="194"/>
      <c r="O962" s="194"/>
      <c r="P962" s="194"/>
      <c r="Q962" s="194"/>
      <c r="R962" s="194"/>
    </row>
    <row r="963" spans="1:18" s="3" customFormat="1" ht="49.5" hidden="1" customHeight="1">
      <c r="A963" s="82" t="s">
        <v>1001</v>
      </c>
      <c r="B963" s="145">
        <v>774</v>
      </c>
      <c r="C963" s="84" t="s">
        <v>25</v>
      </c>
      <c r="D963" s="84" t="s">
        <v>27</v>
      </c>
      <c r="E963" s="84" t="s">
        <v>1000</v>
      </c>
      <c r="F963" s="84"/>
      <c r="G963" s="70">
        <f t="shared" si="241"/>
        <v>0</v>
      </c>
      <c r="H963" s="87">
        <f t="shared" si="241"/>
        <v>0</v>
      </c>
      <c r="I963" s="87">
        <f t="shared" si="241"/>
        <v>0</v>
      </c>
      <c r="J963" s="173"/>
      <c r="K963" s="194"/>
      <c r="L963" s="194"/>
      <c r="M963" s="194"/>
      <c r="N963" s="194"/>
      <c r="O963" s="194"/>
      <c r="P963" s="194"/>
      <c r="Q963" s="194"/>
      <c r="R963" s="194"/>
    </row>
    <row r="964" spans="1:18" s="3" customFormat="1" ht="26.4" hidden="1">
      <c r="A964" s="82" t="s">
        <v>29</v>
      </c>
      <c r="B964" s="145">
        <v>774</v>
      </c>
      <c r="C964" s="84" t="s">
        <v>25</v>
      </c>
      <c r="D964" s="84" t="s">
        <v>27</v>
      </c>
      <c r="E964" s="84" t="s">
        <v>1000</v>
      </c>
      <c r="F964" s="84" t="s">
        <v>30</v>
      </c>
      <c r="G964" s="70">
        <f t="shared" si="241"/>
        <v>0</v>
      </c>
      <c r="H964" s="87">
        <f t="shared" si="241"/>
        <v>0</v>
      </c>
      <c r="I964" s="87">
        <f t="shared" si="241"/>
        <v>0</v>
      </c>
      <c r="J964" s="173"/>
      <c r="K964" s="194"/>
      <c r="L964" s="194"/>
      <c r="M964" s="194"/>
      <c r="N964" s="194"/>
      <c r="O964" s="194"/>
      <c r="P964" s="194"/>
      <c r="Q964" s="194"/>
      <c r="R964" s="194"/>
    </row>
    <row r="965" spans="1:18" s="3" customFormat="1" hidden="1">
      <c r="A965" s="82" t="s">
        <v>31</v>
      </c>
      <c r="B965" s="145">
        <v>774</v>
      </c>
      <c r="C965" s="84" t="s">
        <v>25</v>
      </c>
      <c r="D965" s="84" t="s">
        <v>27</v>
      </c>
      <c r="E965" s="84" t="s">
        <v>1000</v>
      </c>
      <c r="F965" s="84" t="s">
        <v>32</v>
      </c>
      <c r="G965" s="70"/>
      <c r="H965" s="87"/>
      <c r="I965" s="87"/>
      <c r="J965" s="173"/>
      <c r="K965" s="194"/>
      <c r="L965" s="194"/>
      <c r="M965" s="194"/>
      <c r="N965" s="194"/>
      <c r="O965" s="194"/>
      <c r="P965" s="194"/>
      <c r="Q965" s="194"/>
      <c r="R965" s="194"/>
    </row>
    <row r="966" spans="1:18" s="3" customFormat="1" ht="49.5" hidden="1" customHeight="1">
      <c r="A966" s="82" t="s">
        <v>1005</v>
      </c>
      <c r="B966" s="145">
        <v>774</v>
      </c>
      <c r="C966" s="84" t="s">
        <v>25</v>
      </c>
      <c r="D966" s="84" t="s">
        <v>27</v>
      </c>
      <c r="E966" s="84" t="s">
        <v>1004</v>
      </c>
      <c r="F966" s="84"/>
      <c r="G966" s="70">
        <f t="shared" si="241"/>
        <v>0</v>
      </c>
      <c r="H966" s="87">
        <f t="shared" si="241"/>
        <v>0</v>
      </c>
      <c r="I966" s="87">
        <f t="shared" si="241"/>
        <v>0</v>
      </c>
      <c r="J966" s="173"/>
      <c r="K966" s="194"/>
      <c r="L966" s="194"/>
      <c r="M966" s="194"/>
      <c r="N966" s="194"/>
      <c r="O966" s="194"/>
      <c r="P966" s="194"/>
      <c r="Q966" s="194"/>
      <c r="R966" s="194"/>
    </row>
    <row r="967" spans="1:18" s="3" customFormat="1" ht="26.4" hidden="1">
      <c r="A967" s="82" t="s">
        <v>29</v>
      </c>
      <c r="B967" s="145">
        <v>774</v>
      </c>
      <c r="C967" s="84" t="s">
        <v>25</v>
      </c>
      <c r="D967" s="84" t="s">
        <v>27</v>
      </c>
      <c r="E967" s="84" t="s">
        <v>1004</v>
      </c>
      <c r="F967" s="84" t="s">
        <v>30</v>
      </c>
      <c r="G967" s="70">
        <f t="shared" si="241"/>
        <v>0</v>
      </c>
      <c r="H967" s="87">
        <f t="shared" si="241"/>
        <v>0</v>
      </c>
      <c r="I967" s="87">
        <f t="shared" si="241"/>
        <v>0</v>
      </c>
      <c r="J967" s="173"/>
      <c r="K967" s="194"/>
      <c r="L967" s="194"/>
      <c r="M967" s="194"/>
      <c r="N967" s="194"/>
      <c r="O967" s="194"/>
      <c r="P967" s="194"/>
      <c r="Q967" s="194"/>
      <c r="R967" s="194"/>
    </row>
    <row r="968" spans="1:18" s="3" customFormat="1" hidden="1">
      <c r="A968" s="82" t="s">
        <v>31</v>
      </c>
      <c r="B968" s="145">
        <v>774</v>
      </c>
      <c r="C968" s="84" t="s">
        <v>25</v>
      </c>
      <c r="D968" s="84" t="s">
        <v>27</v>
      </c>
      <c r="E968" s="84" t="s">
        <v>1004</v>
      </c>
      <c r="F968" s="84" t="s">
        <v>32</v>
      </c>
      <c r="G968" s="70"/>
      <c r="H968" s="87"/>
      <c r="I968" s="87"/>
      <c r="J968" s="173"/>
      <c r="K968" s="194"/>
      <c r="L968" s="194"/>
      <c r="M968" s="194"/>
      <c r="N968" s="194"/>
      <c r="O968" s="194"/>
      <c r="P968" s="194"/>
      <c r="Q968" s="194"/>
      <c r="R968" s="194"/>
    </row>
    <row r="969" spans="1:18" ht="39.6" hidden="1">
      <c r="A969" s="82" t="s">
        <v>400</v>
      </c>
      <c r="B969" s="145">
        <v>774</v>
      </c>
      <c r="C969" s="84" t="s">
        <v>25</v>
      </c>
      <c r="D969" s="84" t="s">
        <v>27</v>
      </c>
      <c r="E969" s="84" t="s">
        <v>789</v>
      </c>
      <c r="F969" s="84"/>
      <c r="G969" s="8">
        <f>G970</f>
        <v>0</v>
      </c>
      <c r="H969" s="85">
        <f t="shared" ref="G969:I973" si="243">H970</f>
        <v>0</v>
      </c>
      <c r="I969" s="85">
        <f t="shared" si="243"/>
        <v>0</v>
      </c>
      <c r="J969" s="174"/>
    </row>
    <row r="970" spans="1:18" ht="26.4" hidden="1">
      <c r="A970" s="82" t="s">
        <v>29</v>
      </c>
      <c r="B970" s="145">
        <v>774</v>
      </c>
      <c r="C970" s="84" t="s">
        <v>25</v>
      </c>
      <c r="D970" s="84" t="s">
        <v>27</v>
      </c>
      <c r="E970" s="84" t="s">
        <v>789</v>
      </c>
      <c r="F970" s="84" t="s">
        <v>30</v>
      </c>
      <c r="G970" s="8">
        <f t="shared" si="243"/>
        <v>0</v>
      </c>
      <c r="H970" s="85">
        <f t="shared" si="243"/>
        <v>0</v>
      </c>
      <c r="I970" s="85">
        <f t="shared" si="243"/>
        <v>0</v>
      </c>
      <c r="J970" s="174"/>
    </row>
    <row r="971" spans="1:18" hidden="1">
      <c r="A971" s="82" t="s">
        <v>31</v>
      </c>
      <c r="B971" s="145">
        <v>774</v>
      </c>
      <c r="C971" s="84" t="s">
        <v>25</v>
      </c>
      <c r="D971" s="84" t="s">
        <v>27</v>
      </c>
      <c r="E971" s="84" t="s">
        <v>789</v>
      </c>
      <c r="F971" s="84" t="s">
        <v>32</v>
      </c>
      <c r="G971" s="8"/>
      <c r="H971" s="85"/>
      <c r="I971" s="85"/>
      <c r="J971" s="174"/>
    </row>
    <row r="972" spans="1:18" ht="26.4" hidden="1">
      <c r="A972" s="82" t="s">
        <v>891</v>
      </c>
      <c r="B972" s="145">
        <v>774</v>
      </c>
      <c r="C972" s="84" t="s">
        <v>25</v>
      </c>
      <c r="D972" s="84" t="s">
        <v>27</v>
      </c>
      <c r="E972" s="84" t="s">
        <v>890</v>
      </c>
      <c r="F972" s="84"/>
      <c r="G972" s="8">
        <f>G973</f>
        <v>0</v>
      </c>
      <c r="H972" s="85">
        <f t="shared" si="243"/>
        <v>0</v>
      </c>
      <c r="I972" s="85">
        <f t="shared" si="243"/>
        <v>0</v>
      </c>
      <c r="J972" s="174"/>
    </row>
    <row r="973" spans="1:18" ht="26.4" hidden="1">
      <c r="A973" s="82" t="s">
        <v>29</v>
      </c>
      <c r="B973" s="145">
        <v>774</v>
      </c>
      <c r="C973" s="84" t="s">
        <v>25</v>
      </c>
      <c r="D973" s="84" t="s">
        <v>27</v>
      </c>
      <c r="E973" s="84" t="s">
        <v>890</v>
      </c>
      <c r="F973" s="84" t="s">
        <v>30</v>
      </c>
      <c r="G973" s="8">
        <f t="shared" si="243"/>
        <v>0</v>
      </c>
      <c r="H973" s="85">
        <f t="shared" si="243"/>
        <v>0</v>
      </c>
      <c r="I973" s="85">
        <f t="shared" si="243"/>
        <v>0</v>
      </c>
      <c r="J973" s="174"/>
    </row>
    <row r="974" spans="1:18" hidden="1">
      <c r="A974" s="82" t="s">
        <v>31</v>
      </c>
      <c r="B974" s="145">
        <v>774</v>
      </c>
      <c r="C974" s="84" t="s">
        <v>25</v>
      </c>
      <c r="D974" s="84" t="s">
        <v>27</v>
      </c>
      <c r="E974" s="84" t="s">
        <v>890</v>
      </c>
      <c r="F974" s="84" t="s">
        <v>32</v>
      </c>
      <c r="G974" s="8"/>
      <c r="H974" s="85"/>
      <c r="I974" s="85"/>
      <c r="J974" s="174"/>
    </row>
    <row r="975" spans="1:18" s="3" customFormat="1" ht="26.4" hidden="1">
      <c r="A975" s="82" t="s">
        <v>1066</v>
      </c>
      <c r="B975" s="145">
        <v>774</v>
      </c>
      <c r="C975" s="84" t="s">
        <v>25</v>
      </c>
      <c r="D975" s="84" t="s">
        <v>27</v>
      </c>
      <c r="E975" s="84" t="s">
        <v>1067</v>
      </c>
      <c r="F975" s="84"/>
      <c r="G975" s="70">
        <f t="shared" ref="G975:I1015" si="244">G976</f>
        <v>0</v>
      </c>
      <c r="H975" s="87">
        <f t="shared" si="244"/>
        <v>0</v>
      </c>
      <c r="I975" s="87">
        <f t="shared" si="244"/>
        <v>0</v>
      </c>
      <c r="J975" s="173"/>
      <c r="K975" s="194"/>
      <c r="L975" s="194"/>
      <c r="M975" s="194"/>
      <c r="N975" s="194"/>
      <c r="O975" s="194"/>
      <c r="P975" s="194"/>
      <c r="Q975" s="194"/>
      <c r="R975" s="194"/>
    </row>
    <row r="976" spans="1:18" s="3" customFormat="1" ht="26.4" hidden="1">
      <c r="A976" s="82" t="s">
        <v>29</v>
      </c>
      <c r="B976" s="145">
        <v>774</v>
      </c>
      <c r="C976" s="84" t="s">
        <v>25</v>
      </c>
      <c r="D976" s="84" t="s">
        <v>27</v>
      </c>
      <c r="E976" s="84" t="s">
        <v>1067</v>
      </c>
      <c r="F976" s="84" t="s">
        <v>30</v>
      </c>
      <c r="G976" s="70">
        <f t="shared" si="244"/>
        <v>0</v>
      </c>
      <c r="H976" s="87">
        <f t="shared" si="244"/>
        <v>0</v>
      </c>
      <c r="I976" s="87">
        <f t="shared" si="244"/>
        <v>0</v>
      </c>
      <c r="J976" s="173"/>
      <c r="K976" s="194"/>
      <c r="L976" s="194"/>
      <c r="M976" s="194"/>
      <c r="N976" s="194"/>
      <c r="O976" s="194"/>
      <c r="P976" s="194"/>
      <c r="Q976" s="194"/>
      <c r="R976" s="194"/>
    </row>
    <row r="977" spans="1:18" s="3" customFormat="1" hidden="1">
      <c r="A977" s="82" t="s">
        <v>31</v>
      </c>
      <c r="B977" s="145">
        <v>774</v>
      </c>
      <c r="C977" s="84" t="s">
        <v>25</v>
      </c>
      <c r="D977" s="84" t="s">
        <v>27</v>
      </c>
      <c r="E977" s="84" t="s">
        <v>1067</v>
      </c>
      <c r="F977" s="84" t="s">
        <v>32</v>
      </c>
      <c r="G977" s="70"/>
      <c r="H977" s="87">
        <v>0</v>
      </c>
      <c r="I977" s="87">
        <v>0</v>
      </c>
      <c r="J977" s="173"/>
      <c r="K977" s="194"/>
      <c r="L977" s="194"/>
      <c r="M977" s="194"/>
      <c r="N977" s="194"/>
      <c r="O977" s="194"/>
      <c r="P977" s="194"/>
      <c r="Q977" s="194"/>
      <c r="R977" s="194"/>
    </row>
    <row r="978" spans="1:18" s="3" customFormat="1" ht="26.4">
      <c r="A978" s="16" t="s">
        <v>950</v>
      </c>
      <c r="B978" s="14">
        <v>774</v>
      </c>
      <c r="C978" s="15" t="s">
        <v>25</v>
      </c>
      <c r="D978" s="15" t="s">
        <v>27</v>
      </c>
      <c r="E978" s="15" t="s">
        <v>948</v>
      </c>
      <c r="F978" s="15"/>
      <c r="G978" s="70">
        <f t="shared" ref="G978:I979" si="245">G979</f>
        <v>453081.36</v>
      </c>
      <c r="H978" s="70">
        <f t="shared" si="245"/>
        <v>0</v>
      </c>
      <c r="I978" s="70">
        <f t="shared" si="245"/>
        <v>0</v>
      </c>
      <c r="J978" s="173"/>
      <c r="K978" s="194"/>
      <c r="L978" s="194"/>
      <c r="M978" s="194"/>
      <c r="N978" s="194"/>
      <c r="O978" s="194"/>
      <c r="P978" s="194"/>
      <c r="Q978" s="194"/>
      <c r="R978" s="194"/>
    </row>
    <row r="979" spans="1:18" s="3" customFormat="1" ht="26.4">
      <c r="A979" s="82" t="s">
        <v>29</v>
      </c>
      <c r="B979" s="145">
        <v>774</v>
      </c>
      <c r="C979" s="84" t="s">
        <v>25</v>
      </c>
      <c r="D979" s="84" t="s">
        <v>27</v>
      </c>
      <c r="E979" s="84" t="s">
        <v>948</v>
      </c>
      <c r="F979" s="84" t="s">
        <v>30</v>
      </c>
      <c r="G979" s="70">
        <f t="shared" si="245"/>
        <v>453081.36</v>
      </c>
      <c r="H979" s="87">
        <f t="shared" si="245"/>
        <v>0</v>
      </c>
      <c r="I979" s="87">
        <f t="shared" si="245"/>
        <v>0</v>
      </c>
      <c r="J979" s="173"/>
      <c r="K979" s="194"/>
      <c r="L979" s="194"/>
      <c r="M979" s="194"/>
      <c r="N979" s="194"/>
      <c r="O979" s="194"/>
      <c r="P979" s="194"/>
      <c r="Q979" s="194"/>
      <c r="R979" s="194"/>
    </row>
    <row r="980" spans="1:18" s="3" customFormat="1">
      <c r="A980" s="82" t="s">
        <v>31</v>
      </c>
      <c r="B980" s="145">
        <v>774</v>
      </c>
      <c r="C980" s="84" t="s">
        <v>25</v>
      </c>
      <c r="D980" s="84" t="s">
        <v>27</v>
      </c>
      <c r="E980" s="84" t="s">
        <v>948</v>
      </c>
      <c r="F980" s="84" t="s">
        <v>32</v>
      </c>
      <c r="G980" s="70">
        <f>390000+63081.36</f>
        <v>453081.36</v>
      </c>
      <c r="H980" s="87">
        <v>0</v>
      </c>
      <c r="I980" s="87">
        <v>0</v>
      </c>
      <c r="J980" s="173"/>
      <c r="K980" s="194"/>
      <c r="L980" s="194"/>
      <c r="M980" s="194"/>
      <c r="N980" s="194"/>
      <c r="O980" s="194"/>
      <c r="P980" s="194"/>
      <c r="Q980" s="194"/>
      <c r="R980" s="194"/>
    </row>
    <row r="981" spans="1:18" s="3" customFormat="1" ht="49.5" customHeight="1">
      <c r="A981" s="82" t="s">
        <v>995</v>
      </c>
      <c r="B981" s="145">
        <v>774</v>
      </c>
      <c r="C981" s="84" t="s">
        <v>25</v>
      </c>
      <c r="D981" s="84" t="s">
        <v>27</v>
      </c>
      <c r="E981" s="84" t="s">
        <v>994</v>
      </c>
      <c r="F981" s="84"/>
      <c r="G981" s="70">
        <f t="shared" ref="G981:I982" si="246">G982</f>
        <v>700000</v>
      </c>
      <c r="H981" s="87">
        <f t="shared" si="246"/>
        <v>0</v>
      </c>
      <c r="I981" s="87">
        <f t="shared" si="246"/>
        <v>0</v>
      </c>
      <c r="J981" s="173"/>
      <c r="K981" s="194"/>
      <c r="L981" s="194"/>
      <c r="M981" s="194"/>
      <c r="N981" s="194"/>
      <c r="O981" s="194"/>
      <c r="P981" s="194"/>
      <c r="Q981" s="194"/>
      <c r="R981" s="194"/>
    </row>
    <row r="982" spans="1:18" s="3" customFormat="1" ht="24.75" customHeight="1">
      <c r="A982" s="82" t="s">
        <v>29</v>
      </c>
      <c r="B982" s="145">
        <v>774</v>
      </c>
      <c r="C982" s="84" t="s">
        <v>25</v>
      </c>
      <c r="D982" s="84" t="s">
        <v>27</v>
      </c>
      <c r="E982" s="84" t="s">
        <v>994</v>
      </c>
      <c r="F982" s="84" t="s">
        <v>30</v>
      </c>
      <c r="G982" s="70">
        <f t="shared" si="246"/>
        <v>700000</v>
      </c>
      <c r="H982" s="87">
        <f t="shared" si="246"/>
        <v>0</v>
      </c>
      <c r="I982" s="87">
        <f t="shared" si="246"/>
        <v>0</v>
      </c>
      <c r="J982" s="173"/>
      <c r="K982" s="194"/>
      <c r="L982" s="194"/>
      <c r="M982" s="194"/>
      <c r="N982" s="194"/>
      <c r="O982" s="194"/>
      <c r="P982" s="194"/>
      <c r="Q982" s="194"/>
      <c r="R982" s="194"/>
    </row>
    <row r="983" spans="1:18" s="3" customFormat="1">
      <c r="A983" s="82" t="s">
        <v>31</v>
      </c>
      <c r="B983" s="145">
        <v>774</v>
      </c>
      <c r="C983" s="84" t="s">
        <v>25</v>
      </c>
      <c r="D983" s="84" t="s">
        <v>27</v>
      </c>
      <c r="E983" s="84" t="s">
        <v>994</v>
      </c>
      <c r="F983" s="84" t="s">
        <v>32</v>
      </c>
      <c r="G983" s="70">
        <v>700000</v>
      </c>
      <c r="H983" s="87">
        <v>0</v>
      </c>
      <c r="I983" s="87">
        <v>0</v>
      </c>
      <c r="J983" s="173"/>
      <c r="K983" s="194"/>
      <c r="L983" s="194"/>
      <c r="M983" s="194"/>
      <c r="N983" s="194"/>
      <c r="O983" s="194"/>
      <c r="P983" s="194"/>
      <c r="Q983" s="194"/>
      <c r="R983" s="194"/>
    </row>
    <row r="984" spans="1:18" ht="93" customHeight="1">
      <c r="A984" s="104" t="s">
        <v>1429</v>
      </c>
      <c r="B984" s="145">
        <v>774</v>
      </c>
      <c r="C984" s="84" t="s">
        <v>25</v>
      </c>
      <c r="D984" s="84" t="s">
        <v>27</v>
      </c>
      <c r="E984" s="84" t="s">
        <v>1428</v>
      </c>
      <c r="F984" s="15"/>
      <c r="G984" s="8">
        <f>G985</f>
        <v>63010</v>
      </c>
      <c r="H984" s="85">
        <f t="shared" ref="H984:I991" si="247">H985</f>
        <v>0</v>
      </c>
      <c r="I984" s="85">
        <f t="shared" si="247"/>
        <v>0</v>
      </c>
      <c r="J984" s="173"/>
    </row>
    <row r="985" spans="1:18" ht="39.75" customHeight="1">
      <c r="A985" s="82" t="s">
        <v>29</v>
      </c>
      <c r="B985" s="145">
        <v>774</v>
      </c>
      <c r="C985" s="84" t="s">
        <v>25</v>
      </c>
      <c r="D985" s="84" t="s">
        <v>27</v>
      </c>
      <c r="E985" s="84" t="s">
        <v>1428</v>
      </c>
      <c r="F985" s="15" t="s">
        <v>30</v>
      </c>
      <c r="G985" s="8">
        <f>G986</f>
        <v>63010</v>
      </c>
      <c r="H985" s="85">
        <f t="shared" si="247"/>
        <v>0</v>
      </c>
      <c r="I985" s="85">
        <f t="shared" si="247"/>
        <v>0</v>
      </c>
      <c r="J985" s="173"/>
    </row>
    <row r="986" spans="1:18" ht="19.5" customHeight="1">
      <c r="A986" s="130" t="s">
        <v>31</v>
      </c>
      <c r="B986" s="145">
        <v>774</v>
      </c>
      <c r="C986" s="84" t="s">
        <v>25</v>
      </c>
      <c r="D986" s="84" t="s">
        <v>27</v>
      </c>
      <c r="E986" s="84" t="s">
        <v>1428</v>
      </c>
      <c r="F986" s="15" t="s">
        <v>32</v>
      </c>
      <c r="G986" s="8">
        <v>63010</v>
      </c>
      <c r="H986" s="87"/>
      <c r="I986" s="87"/>
      <c r="J986" s="173"/>
    </row>
    <row r="987" spans="1:18" ht="93" hidden="1" customHeight="1">
      <c r="A987" s="104" t="s">
        <v>1486</v>
      </c>
      <c r="B987" s="145">
        <v>774</v>
      </c>
      <c r="C987" s="84" t="s">
        <v>25</v>
      </c>
      <c r="D987" s="84" t="s">
        <v>27</v>
      </c>
      <c r="E987" s="84" t="s">
        <v>1485</v>
      </c>
      <c r="F987" s="15"/>
      <c r="G987" s="8">
        <f>G988</f>
        <v>0</v>
      </c>
      <c r="H987" s="85">
        <f t="shared" si="247"/>
        <v>0</v>
      </c>
      <c r="I987" s="85">
        <f t="shared" si="247"/>
        <v>0</v>
      </c>
      <c r="J987" s="173"/>
    </row>
    <row r="988" spans="1:18" ht="39.75" hidden="1" customHeight="1">
      <c r="A988" s="82" t="s">
        <v>29</v>
      </c>
      <c r="B988" s="145">
        <v>774</v>
      </c>
      <c r="C988" s="84" t="s">
        <v>25</v>
      </c>
      <c r="D988" s="84" t="s">
        <v>27</v>
      </c>
      <c r="E988" s="84" t="s">
        <v>1485</v>
      </c>
      <c r="F988" s="15" t="s">
        <v>30</v>
      </c>
      <c r="G988" s="8">
        <f>G989</f>
        <v>0</v>
      </c>
      <c r="H988" s="85">
        <f t="shared" si="247"/>
        <v>0</v>
      </c>
      <c r="I988" s="85">
        <f t="shared" si="247"/>
        <v>0</v>
      </c>
      <c r="J988" s="173"/>
    </row>
    <row r="989" spans="1:18" ht="19.5" hidden="1" customHeight="1">
      <c r="A989" s="130" t="s">
        <v>31</v>
      </c>
      <c r="B989" s="145">
        <v>774</v>
      </c>
      <c r="C989" s="84" t="s">
        <v>25</v>
      </c>
      <c r="D989" s="84" t="s">
        <v>27</v>
      </c>
      <c r="E989" s="84" t="s">
        <v>1485</v>
      </c>
      <c r="F989" s="15" t="s">
        <v>32</v>
      </c>
      <c r="G989" s="8"/>
      <c r="H989" s="87"/>
      <c r="I989" s="87"/>
      <c r="J989" s="173"/>
    </row>
    <row r="990" spans="1:18" ht="85.5" customHeight="1">
      <c r="A990" s="104" t="s">
        <v>1488</v>
      </c>
      <c r="B990" s="145">
        <v>774</v>
      </c>
      <c r="C990" s="84" t="s">
        <v>25</v>
      </c>
      <c r="D990" s="84" t="s">
        <v>27</v>
      </c>
      <c r="E990" s="84" t="s">
        <v>1487</v>
      </c>
      <c r="F990" s="15"/>
      <c r="G990" s="8">
        <f>G991</f>
        <v>69892.39</v>
      </c>
      <c r="H990" s="85">
        <f t="shared" si="247"/>
        <v>0</v>
      </c>
      <c r="I990" s="85">
        <f t="shared" si="247"/>
        <v>0</v>
      </c>
      <c r="J990" s="173"/>
    </row>
    <row r="991" spans="1:18" ht="39.75" customHeight="1">
      <c r="A991" s="82" t="s">
        <v>29</v>
      </c>
      <c r="B991" s="145">
        <v>774</v>
      </c>
      <c r="C991" s="84" t="s">
        <v>25</v>
      </c>
      <c r="D991" s="84" t="s">
        <v>27</v>
      </c>
      <c r="E991" s="84" t="s">
        <v>1487</v>
      </c>
      <c r="F991" s="15" t="s">
        <v>30</v>
      </c>
      <c r="G991" s="8">
        <f>G992</f>
        <v>69892.39</v>
      </c>
      <c r="H991" s="85">
        <f t="shared" si="247"/>
        <v>0</v>
      </c>
      <c r="I991" s="85">
        <f t="shared" si="247"/>
        <v>0</v>
      </c>
      <c r="J991" s="173"/>
    </row>
    <row r="992" spans="1:18" ht="19.5" customHeight="1">
      <c r="A992" s="130" t="s">
        <v>31</v>
      </c>
      <c r="B992" s="145">
        <v>774</v>
      </c>
      <c r="C992" s="84" t="s">
        <v>25</v>
      </c>
      <c r="D992" s="84" t="s">
        <v>27</v>
      </c>
      <c r="E992" s="84" t="s">
        <v>1487</v>
      </c>
      <c r="F992" s="15" t="s">
        <v>32</v>
      </c>
      <c r="G992" s="8">
        <v>69892.39</v>
      </c>
      <c r="H992" s="87"/>
      <c r="I992" s="87"/>
      <c r="J992" s="173"/>
    </row>
    <row r="993" spans="1:18" s="3" customFormat="1" ht="49.5" customHeight="1">
      <c r="A993" s="82" t="s">
        <v>1268</v>
      </c>
      <c r="B993" s="145">
        <v>774</v>
      </c>
      <c r="C993" s="84" t="s">
        <v>25</v>
      </c>
      <c r="D993" s="84" t="s">
        <v>27</v>
      </c>
      <c r="E993" s="84" t="s">
        <v>1267</v>
      </c>
      <c r="F993" s="84"/>
      <c r="G993" s="70">
        <f t="shared" ref="G993:I1001" si="248">G994</f>
        <v>30887111.109999999</v>
      </c>
      <c r="H993" s="87">
        <f t="shared" si="248"/>
        <v>0</v>
      </c>
      <c r="I993" s="87">
        <f t="shared" si="248"/>
        <v>0</v>
      </c>
      <c r="J993" s="173"/>
      <c r="K993" s="194"/>
      <c r="L993" s="194"/>
      <c r="M993" s="194"/>
      <c r="N993" s="194"/>
      <c r="O993" s="194"/>
      <c r="P993" s="194"/>
      <c r="Q993" s="194"/>
      <c r="R993" s="194"/>
    </row>
    <row r="994" spans="1:18" s="3" customFormat="1" ht="24.75" customHeight="1">
      <c r="A994" s="82" t="s">
        <v>29</v>
      </c>
      <c r="B994" s="145">
        <v>774</v>
      </c>
      <c r="C994" s="84" t="s">
        <v>25</v>
      </c>
      <c r="D994" s="84" t="s">
        <v>27</v>
      </c>
      <c r="E994" s="84" t="s">
        <v>1267</v>
      </c>
      <c r="F994" s="84" t="s">
        <v>30</v>
      </c>
      <c r="G994" s="70">
        <f t="shared" si="248"/>
        <v>30887111.109999999</v>
      </c>
      <c r="H994" s="87">
        <f t="shared" si="248"/>
        <v>0</v>
      </c>
      <c r="I994" s="87">
        <f t="shared" si="248"/>
        <v>0</v>
      </c>
      <c r="J994" s="173"/>
      <c r="K994" s="194"/>
      <c r="L994" s="194"/>
      <c r="M994" s="194"/>
      <c r="N994" s="194"/>
      <c r="O994" s="194"/>
      <c r="P994" s="194"/>
      <c r="Q994" s="194"/>
      <c r="R994" s="194"/>
    </row>
    <row r="995" spans="1:18" s="3" customFormat="1">
      <c r="A995" s="82" t="s">
        <v>31</v>
      </c>
      <c r="B995" s="145">
        <v>774</v>
      </c>
      <c r="C995" s="84" t="s">
        <v>25</v>
      </c>
      <c r="D995" s="84" t="s">
        <v>27</v>
      </c>
      <c r="E995" s="84" t="s">
        <v>1267</v>
      </c>
      <c r="F995" s="84" t="s">
        <v>32</v>
      </c>
      <c r="G995" s="70">
        <v>30887111.109999999</v>
      </c>
      <c r="H995" s="87">
        <v>0</v>
      </c>
      <c r="I995" s="87">
        <v>0</v>
      </c>
      <c r="J995" s="173"/>
      <c r="K995" s="194"/>
      <c r="L995" s="194"/>
      <c r="M995" s="194"/>
      <c r="N995" s="194"/>
      <c r="O995" s="194"/>
      <c r="P995" s="194"/>
      <c r="Q995" s="194"/>
      <c r="R995" s="194"/>
    </row>
    <row r="996" spans="1:18" s="3" customFormat="1" ht="22.5" customHeight="1">
      <c r="A996" s="82" t="s">
        <v>1325</v>
      </c>
      <c r="B996" s="145">
        <v>774</v>
      </c>
      <c r="C996" s="84" t="s">
        <v>25</v>
      </c>
      <c r="D996" s="84" t="s">
        <v>27</v>
      </c>
      <c r="E996" s="84" t="s">
        <v>1285</v>
      </c>
      <c r="F996" s="84"/>
      <c r="G996" s="70">
        <f>G997</f>
        <v>6000000</v>
      </c>
      <c r="H996" s="87">
        <v>0</v>
      </c>
      <c r="I996" s="87">
        <v>0</v>
      </c>
      <c r="J996" s="173"/>
      <c r="K996" s="194"/>
      <c r="L996" s="194"/>
      <c r="M996" s="194"/>
      <c r="N996" s="194"/>
      <c r="O996" s="194"/>
      <c r="P996" s="194"/>
      <c r="Q996" s="194"/>
      <c r="R996" s="194"/>
    </row>
    <row r="997" spans="1:18" s="3" customFormat="1" ht="66">
      <c r="A997" s="82" t="s">
        <v>1284</v>
      </c>
      <c r="B997" s="145">
        <v>774</v>
      </c>
      <c r="C997" s="84" t="s">
        <v>25</v>
      </c>
      <c r="D997" s="84" t="s">
        <v>27</v>
      </c>
      <c r="E997" s="84" t="s">
        <v>1326</v>
      </c>
      <c r="F997" s="84"/>
      <c r="G997" s="70">
        <f t="shared" ref="G997:I998" si="249">G998</f>
        <v>6000000</v>
      </c>
      <c r="H997" s="87">
        <f t="shared" si="249"/>
        <v>0</v>
      </c>
      <c r="I997" s="87">
        <f t="shared" si="249"/>
        <v>0</v>
      </c>
      <c r="J997" s="173"/>
      <c r="K997" s="194"/>
      <c r="L997" s="194"/>
      <c r="M997" s="194"/>
      <c r="N997" s="194"/>
      <c r="O997" s="194"/>
      <c r="P997" s="194"/>
      <c r="Q997" s="194"/>
      <c r="R997" s="194"/>
    </row>
    <row r="998" spans="1:18" s="3" customFormat="1" ht="26.4">
      <c r="A998" s="82" t="s">
        <v>29</v>
      </c>
      <c r="B998" s="145">
        <v>774</v>
      </c>
      <c r="C998" s="84" t="s">
        <v>25</v>
      </c>
      <c r="D998" s="84" t="s">
        <v>27</v>
      </c>
      <c r="E998" s="84" t="s">
        <v>1326</v>
      </c>
      <c r="F998" s="84" t="s">
        <v>30</v>
      </c>
      <c r="G998" s="70">
        <f t="shared" si="249"/>
        <v>6000000</v>
      </c>
      <c r="H998" s="87">
        <f t="shared" si="249"/>
        <v>0</v>
      </c>
      <c r="I998" s="87">
        <f t="shared" si="249"/>
        <v>0</v>
      </c>
      <c r="J998" s="173"/>
      <c r="K998" s="194"/>
      <c r="L998" s="194"/>
      <c r="M998" s="194"/>
      <c r="N998" s="194"/>
      <c r="O998" s="194"/>
      <c r="P998" s="194"/>
      <c r="Q998" s="194"/>
      <c r="R998" s="194"/>
    </row>
    <row r="999" spans="1:18" s="3" customFormat="1">
      <c r="A999" s="82" t="s">
        <v>31</v>
      </c>
      <c r="B999" s="145">
        <v>774</v>
      </c>
      <c r="C999" s="84" t="s">
        <v>25</v>
      </c>
      <c r="D999" s="84" t="s">
        <v>27</v>
      </c>
      <c r="E999" s="84" t="s">
        <v>1326</v>
      </c>
      <c r="F999" s="84" t="s">
        <v>32</v>
      </c>
      <c r="G999" s="70">
        <v>6000000</v>
      </c>
      <c r="H999" s="87">
        <v>0</v>
      </c>
      <c r="I999" s="87">
        <v>0</v>
      </c>
      <c r="J999" s="173"/>
      <c r="K999" s="194"/>
      <c r="L999" s="194"/>
      <c r="M999" s="194"/>
      <c r="N999" s="194"/>
      <c r="O999" s="194"/>
      <c r="P999" s="194"/>
      <c r="Q999" s="194"/>
      <c r="R999" s="194"/>
    </row>
    <row r="1000" spans="1:18" s="3" customFormat="1" ht="49.5" customHeight="1">
      <c r="A1000" s="82" t="s">
        <v>1269</v>
      </c>
      <c r="B1000" s="145">
        <v>774</v>
      </c>
      <c r="C1000" s="84" t="s">
        <v>25</v>
      </c>
      <c r="D1000" s="84" t="s">
        <v>27</v>
      </c>
      <c r="E1000" s="84" t="s">
        <v>1270</v>
      </c>
      <c r="F1000" s="84"/>
      <c r="G1000" s="70">
        <f t="shared" si="248"/>
        <v>17346429.600000001</v>
      </c>
      <c r="H1000" s="87">
        <f t="shared" si="248"/>
        <v>0</v>
      </c>
      <c r="I1000" s="87">
        <f t="shared" si="248"/>
        <v>0</v>
      </c>
      <c r="J1000" s="173"/>
      <c r="K1000" s="194"/>
      <c r="L1000" s="194"/>
      <c r="M1000" s="194"/>
      <c r="N1000" s="194"/>
      <c r="O1000" s="194"/>
      <c r="P1000" s="194"/>
      <c r="Q1000" s="194"/>
      <c r="R1000" s="194"/>
    </row>
    <row r="1001" spans="1:18" s="3" customFormat="1" ht="24.75" customHeight="1">
      <c r="A1001" s="82" t="s">
        <v>29</v>
      </c>
      <c r="B1001" s="145">
        <v>774</v>
      </c>
      <c r="C1001" s="84" t="s">
        <v>25</v>
      </c>
      <c r="D1001" s="84" t="s">
        <v>27</v>
      </c>
      <c r="E1001" s="84" t="s">
        <v>1270</v>
      </c>
      <c r="F1001" s="84" t="s">
        <v>30</v>
      </c>
      <c r="G1001" s="70">
        <f t="shared" si="248"/>
        <v>17346429.600000001</v>
      </c>
      <c r="H1001" s="87">
        <f t="shared" si="248"/>
        <v>0</v>
      </c>
      <c r="I1001" s="87">
        <f t="shared" si="248"/>
        <v>0</v>
      </c>
      <c r="J1001" s="173"/>
      <c r="K1001" s="194"/>
      <c r="L1001" s="194"/>
      <c r="M1001" s="194"/>
      <c r="N1001" s="194"/>
      <c r="O1001" s="194"/>
      <c r="P1001" s="194"/>
      <c r="Q1001" s="194"/>
      <c r="R1001" s="194"/>
    </row>
    <row r="1002" spans="1:18" s="3" customFormat="1">
      <c r="A1002" s="82" t="s">
        <v>31</v>
      </c>
      <c r="B1002" s="145">
        <v>774</v>
      </c>
      <c r="C1002" s="84" t="s">
        <v>25</v>
      </c>
      <c r="D1002" s="84" t="s">
        <v>27</v>
      </c>
      <c r="E1002" s="84" t="s">
        <v>1270</v>
      </c>
      <c r="F1002" s="84" t="s">
        <v>32</v>
      </c>
      <c r="G1002" s="70">
        <v>17346429.600000001</v>
      </c>
      <c r="H1002" s="87">
        <v>0</v>
      </c>
      <c r="I1002" s="87">
        <v>0</v>
      </c>
      <c r="J1002" s="173"/>
      <c r="K1002" s="194"/>
      <c r="L1002" s="194"/>
      <c r="M1002" s="194"/>
      <c r="N1002" s="194"/>
      <c r="O1002" s="194"/>
      <c r="P1002" s="194"/>
      <c r="Q1002" s="194"/>
      <c r="R1002" s="194"/>
    </row>
    <row r="1003" spans="1:18" s="3" customFormat="1" ht="66" hidden="1">
      <c r="A1003" s="82" t="s">
        <v>1233</v>
      </c>
      <c r="B1003" s="145">
        <v>774</v>
      </c>
      <c r="C1003" s="84" t="s">
        <v>25</v>
      </c>
      <c r="D1003" s="84" t="s">
        <v>27</v>
      </c>
      <c r="E1003" s="84" t="s">
        <v>1232</v>
      </c>
      <c r="F1003" s="84"/>
      <c r="G1003" s="70">
        <f t="shared" si="244"/>
        <v>0</v>
      </c>
      <c r="H1003" s="87">
        <f t="shared" si="244"/>
        <v>0</v>
      </c>
      <c r="I1003" s="87">
        <f t="shared" si="244"/>
        <v>0</v>
      </c>
      <c r="J1003" s="173"/>
      <c r="K1003" s="194"/>
      <c r="L1003" s="194"/>
      <c r="M1003" s="194"/>
      <c r="N1003" s="194"/>
      <c r="O1003" s="194"/>
      <c r="P1003" s="194"/>
      <c r="Q1003" s="194"/>
      <c r="R1003" s="194"/>
    </row>
    <row r="1004" spans="1:18" s="3" customFormat="1" ht="26.4" hidden="1">
      <c r="A1004" s="82" t="s">
        <v>29</v>
      </c>
      <c r="B1004" s="145">
        <v>774</v>
      </c>
      <c r="C1004" s="84" t="s">
        <v>25</v>
      </c>
      <c r="D1004" s="84" t="s">
        <v>27</v>
      </c>
      <c r="E1004" s="84" t="s">
        <v>1232</v>
      </c>
      <c r="F1004" s="84" t="s">
        <v>30</v>
      </c>
      <c r="G1004" s="87">
        <f t="shared" si="244"/>
        <v>0</v>
      </c>
      <c r="H1004" s="87">
        <f t="shared" si="244"/>
        <v>0</v>
      </c>
      <c r="I1004" s="87">
        <f t="shared" si="244"/>
        <v>0</v>
      </c>
      <c r="J1004" s="173"/>
      <c r="K1004" s="194"/>
      <c r="L1004" s="194"/>
      <c r="M1004" s="194"/>
      <c r="N1004" s="194"/>
      <c r="O1004" s="194"/>
      <c r="P1004" s="194"/>
      <c r="Q1004" s="194"/>
      <c r="R1004" s="194"/>
    </row>
    <row r="1005" spans="1:18" s="3" customFormat="1" hidden="1">
      <c r="A1005" s="82" t="s">
        <v>31</v>
      </c>
      <c r="B1005" s="145">
        <v>774</v>
      </c>
      <c r="C1005" s="84" t="s">
        <v>25</v>
      </c>
      <c r="D1005" s="84" t="s">
        <v>27</v>
      </c>
      <c r="E1005" s="84" t="s">
        <v>1232</v>
      </c>
      <c r="F1005" s="84" t="s">
        <v>32</v>
      </c>
      <c r="G1005" s="87">
        <f>2500000-2500000</f>
        <v>0</v>
      </c>
      <c r="H1005" s="87">
        <v>0</v>
      </c>
      <c r="I1005" s="87">
        <v>0</v>
      </c>
      <c r="J1005" s="173"/>
      <c r="K1005" s="194"/>
      <c r="L1005" s="194"/>
      <c r="M1005" s="194"/>
      <c r="N1005" s="194"/>
      <c r="O1005" s="194"/>
      <c r="P1005" s="194"/>
      <c r="Q1005" s="194"/>
      <c r="R1005" s="194"/>
    </row>
    <row r="1006" spans="1:18" s="3" customFormat="1" ht="79.2">
      <c r="A1006" s="82" t="s">
        <v>1477</v>
      </c>
      <c r="B1006" s="145">
        <v>774</v>
      </c>
      <c r="C1006" s="84" t="s">
        <v>25</v>
      </c>
      <c r="D1006" s="84" t="s">
        <v>27</v>
      </c>
      <c r="E1006" s="84" t="s">
        <v>1234</v>
      </c>
      <c r="F1006" s="84"/>
      <c r="G1006" s="87">
        <f t="shared" si="244"/>
        <v>1811220</v>
      </c>
      <c r="H1006" s="87">
        <f t="shared" si="244"/>
        <v>0</v>
      </c>
      <c r="I1006" s="87">
        <f t="shared" si="244"/>
        <v>0</v>
      </c>
      <c r="J1006" s="173"/>
      <c r="K1006" s="194"/>
      <c r="L1006" s="194"/>
      <c r="M1006" s="194"/>
      <c r="N1006" s="194"/>
      <c r="O1006" s="194"/>
      <c r="P1006" s="194"/>
      <c r="Q1006" s="194"/>
      <c r="R1006" s="194"/>
    </row>
    <row r="1007" spans="1:18" s="3" customFormat="1" ht="26.4">
      <c r="A1007" s="82" t="s">
        <v>29</v>
      </c>
      <c r="B1007" s="145">
        <v>774</v>
      </c>
      <c r="C1007" s="84" t="s">
        <v>25</v>
      </c>
      <c r="D1007" s="84" t="s">
        <v>27</v>
      </c>
      <c r="E1007" s="84" t="s">
        <v>1234</v>
      </c>
      <c r="F1007" s="84" t="s">
        <v>30</v>
      </c>
      <c r="G1007" s="87">
        <f t="shared" si="244"/>
        <v>1811220</v>
      </c>
      <c r="H1007" s="87">
        <f t="shared" si="244"/>
        <v>0</v>
      </c>
      <c r="I1007" s="87">
        <f t="shared" si="244"/>
        <v>0</v>
      </c>
      <c r="J1007" s="173"/>
      <c r="K1007" s="194"/>
      <c r="L1007" s="194"/>
      <c r="M1007" s="194"/>
      <c r="N1007" s="194"/>
      <c r="O1007" s="194"/>
      <c r="P1007" s="194"/>
      <c r="Q1007" s="194"/>
      <c r="R1007" s="194"/>
    </row>
    <row r="1008" spans="1:18" s="3" customFormat="1">
      <c r="A1008" s="82" t="s">
        <v>31</v>
      </c>
      <c r="B1008" s="145">
        <v>774</v>
      </c>
      <c r="C1008" s="84" t="s">
        <v>25</v>
      </c>
      <c r="D1008" s="84" t="s">
        <v>27</v>
      </c>
      <c r="E1008" s="84" t="s">
        <v>1234</v>
      </c>
      <c r="F1008" s="84" t="s">
        <v>32</v>
      </c>
      <c r="G1008" s="87">
        <f>2727850-916630</f>
        <v>1811220</v>
      </c>
      <c r="H1008" s="87">
        <v>0</v>
      </c>
      <c r="I1008" s="87">
        <v>0</v>
      </c>
      <c r="J1008" s="173"/>
      <c r="K1008" s="194"/>
      <c r="L1008" s="194"/>
      <c r="M1008" s="194"/>
      <c r="N1008" s="194"/>
      <c r="O1008" s="194"/>
      <c r="P1008" s="194"/>
      <c r="Q1008" s="194"/>
      <c r="R1008" s="194"/>
    </row>
    <row r="1009" spans="1:18" s="3" customFormat="1" ht="66">
      <c r="A1009" s="82" t="s">
        <v>1478</v>
      </c>
      <c r="B1009" s="145">
        <v>774</v>
      </c>
      <c r="C1009" s="84" t="s">
        <v>25</v>
      </c>
      <c r="D1009" s="84" t="s">
        <v>27</v>
      </c>
      <c r="E1009" s="84" t="s">
        <v>1235</v>
      </c>
      <c r="F1009" s="84"/>
      <c r="G1009" s="87">
        <f t="shared" si="244"/>
        <v>3590261.36</v>
      </c>
      <c r="H1009" s="87">
        <f t="shared" si="244"/>
        <v>0</v>
      </c>
      <c r="I1009" s="87">
        <f t="shared" si="244"/>
        <v>0</v>
      </c>
      <c r="J1009" s="173"/>
      <c r="K1009" s="194"/>
      <c r="L1009" s="194"/>
      <c r="M1009" s="194"/>
      <c r="N1009" s="194"/>
      <c r="O1009" s="194"/>
      <c r="P1009" s="194"/>
      <c r="Q1009" s="194"/>
      <c r="R1009" s="194"/>
    </row>
    <row r="1010" spans="1:18" s="3" customFormat="1" ht="26.4">
      <c r="A1010" s="82" t="s">
        <v>29</v>
      </c>
      <c r="B1010" s="145">
        <v>774</v>
      </c>
      <c r="C1010" s="84" t="s">
        <v>25</v>
      </c>
      <c r="D1010" s="84" t="s">
        <v>27</v>
      </c>
      <c r="E1010" s="84" t="s">
        <v>1235</v>
      </c>
      <c r="F1010" s="84" t="s">
        <v>30</v>
      </c>
      <c r="G1010" s="87">
        <f t="shared" si="244"/>
        <v>3590261.36</v>
      </c>
      <c r="H1010" s="87">
        <f t="shared" si="244"/>
        <v>0</v>
      </c>
      <c r="I1010" s="87">
        <f t="shared" si="244"/>
        <v>0</v>
      </c>
      <c r="J1010" s="173"/>
      <c r="K1010" s="194"/>
      <c r="L1010" s="194"/>
      <c r="M1010" s="194"/>
      <c r="N1010" s="194"/>
      <c r="O1010" s="194"/>
      <c r="P1010" s="194"/>
      <c r="Q1010" s="194"/>
      <c r="R1010" s="194"/>
    </row>
    <row r="1011" spans="1:18" s="3" customFormat="1">
      <c r="A1011" s="82" t="s">
        <v>31</v>
      </c>
      <c r="B1011" s="145">
        <v>774</v>
      </c>
      <c r="C1011" s="84" t="s">
        <v>25</v>
      </c>
      <c r="D1011" s="84" t="s">
        <v>27</v>
      </c>
      <c r="E1011" s="84" t="s">
        <v>1235</v>
      </c>
      <c r="F1011" s="84" t="s">
        <v>32</v>
      </c>
      <c r="G1011" s="87">
        <v>3590261.36</v>
      </c>
      <c r="H1011" s="87">
        <v>0</v>
      </c>
      <c r="I1011" s="87">
        <v>0</v>
      </c>
      <c r="J1011" s="173"/>
      <c r="K1011" s="194"/>
      <c r="L1011" s="194"/>
      <c r="M1011" s="194"/>
      <c r="N1011" s="194"/>
      <c r="O1011" s="194"/>
      <c r="P1011" s="194"/>
      <c r="Q1011" s="194"/>
      <c r="R1011" s="194"/>
    </row>
    <row r="1012" spans="1:18" s="3" customFormat="1" ht="82.5" customHeight="1">
      <c r="A1012" s="82" t="s">
        <v>1548</v>
      </c>
      <c r="B1012" s="145">
        <v>774</v>
      </c>
      <c r="C1012" s="84" t="s">
        <v>25</v>
      </c>
      <c r="D1012" s="84" t="s">
        <v>27</v>
      </c>
      <c r="E1012" s="84" t="s">
        <v>1236</v>
      </c>
      <c r="F1012" s="84"/>
      <c r="G1012" s="87">
        <f t="shared" si="244"/>
        <v>2357080.34</v>
      </c>
      <c r="H1012" s="87">
        <f t="shared" si="244"/>
        <v>0</v>
      </c>
      <c r="I1012" s="87">
        <f t="shared" si="244"/>
        <v>0</v>
      </c>
      <c r="J1012" s="173"/>
      <c r="K1012" s="194"/>
      <c r="L1012" s="194"/>
      <c r="M1012" s="194"/>
      <c r="N1012" s="194"/>
      <c r="O1012" s="194"/>
      <c r="P1012" s="194"/>
      <c r="Q1012" s="194"/>
      <c r="R1012" s="194"/>
    </row>
    <row r="1013" spans="1:18" s="3" customFormat="1" ht="26.4">
      <c r="A1013" s="82" t="s">
        <v>29</v>
      </c>
      <c r="B1013" s="145">
        <v>774</v>
      </c>
      <c r="C1013" s="84" t="s">
        <v>25</v>
      </c>
      <c r="D1013" s="84" t="s">
        <v>27</v>
      </c>
      <c r="E1013" s="84" t="s">
        <v>1236</v>
      </c>
      <c r="F1013" s="84" t="s">
        <v>30</v>
      </c>
      <c r="G1013" s="87">
        <f t="shared" si="244"/>
        <v>2357080.34</v>
      </c>
      <c r="H1013" s="87">
        <f t="shared" si="244"/>
        <v>0</v>
      </c>
      <c r="I1013" s="87">
        <f t="shared" si="244"/>
        <v>0</v>
      </c>
      <c r="J1013" s="173"/>
      <c r="K1013" s="194"/>
      <c r="L1013" s="194"/>
      <c r="M1013" s="194"/>
      <c r="N1013" s="194"/>
      <c r="O1013" s="194"/>
      <c r="P1013" s="194"/>
      <c r="Q1013" s="194"/>
      <c r="R1013" s="194"/>
    </row>
    <row r="1014" spans="1:18" s="3" customFormat="1">
      <c r="A1014" s="82" t="s">
        <v>31</v>
      </c>
      <c r="B1014" s="145">
        <v>774</v>
      </c>
      <c r="C1014" s="84" t="s">
        <v>25</v>
      </c>
      <c r="D1014" s="84" t="s">
        <v>27</v>
      </c>
      <c r="E1014" s="84" t="s">
        <v>1236</v>
      </c>
      <c r="F1014" s="84" t="s">
        <v>32</v>
      </c>
      <c r="G1014" s="87">
        <v>2357080.34</v>
      </c>
      <c r="H1014" s="87">
        <v>0</v>
      </c>
      <c r="I1014" s="87">
        <v>0</v>
      </c>
      <c r="J1014" s="173"/>
      <c r="K1014" s="194"/>
      <c r="L1014" s="194"/>
      <c r="M1014" s="194"/>
      <c r="N1014" s="194"/>
      <c r="O1014" s="194"/>
      <c r="P1014" s="194"/>
      <c r="Q1014" s="194"/>
      <c r="R1014" s="194"/>
    </row>
    <row r="1015" spans="1:18" s="3" customFormat="1" ht="75.75" customHeight="1">
      <c r="A1015" s="82" t="s">
        <v>1501</v>
      </c>
      <c r="B1015" s="145">
        <v>774</v>
      </c>
      <c r="C1015" s="84" t="s">
        <v>25</v>
      </c>
      <c r="D1015" s="84" t="s">
        <v>27</v>
      </c>
      <c r="E1015" s="84" t="s">
        <v>1237</v>
      </c>
      <c r="F1015" s="84"/>
      <c r="G1015" s="87">
        <f t="shared" si="244"/>
        <v>591130</v>
      </c>
      <c r="H1015" s="87">
        <f t="shared" si="244"/>
        <v>0</v>
      </c>
      <c r="I1015" s="87">
        <f t="shared" si="244"/>
        <v>0</v>
      </c>
      <c r="J1015" s="173"/>
      <c r="K1015" s="194"/>
      <c r="L1015" s="194"/>
      <c r="M1015" s="194"/>
      <c r="N1015" s="194"/>
      <c r="O1015" s="194"/>
      <c r="P1015" s="194"/>
      <c r="Q1015" s="194"/>
      <c r="R1015" s="194"/>
    </row>
    <row r="1016" spans="1:18" s="3" customFormat="1" ht="26.4">
      <c r="A1016" s="82" t="s">
        <v>29</v>
      </c>
      <c r="B1016" s="145">
        <v>774</v>
      </c>
      <c r="C1016" s="84" t="s">
        <v>25</v>
      </c>
      <c r="D1016" s="84" t="s">
        <v>27</v>
      </c>
      <c r="E1016" s="84" t="s">
        <v>1237</v>
      </c>
      <c r="F1016" s="84" t="s">
        <v>30</v>
      </c>
      <c r="G1016" s="87">
        <f t="shared" ref="G1016:I1016" si="250">G1017</f>
        <v>591130</v>
      </c>
      <c r="H1016" s="87">
        <f t="shared" si="250"/>
        <v>0</v>
      </c>
      <c r="I1016" s="87">
        <f t="shared" si="250"/>
        <v>0</v>
      </c>
      <c r="J1016" s="173"/>
      <c r="K1016" s="194"/>
      <c r="L1016" s="194"/>
      <c r="M1016" s="194"/>
      <c r="N1016" s="194"/>
      <c r="O1016" s="194"/>
      <c r="P1016" s="194"/>
      <c r="Q1016" s="194"/>
      <c r="R1016" s="194"/>
    </row>
    <row r="1017" spans="1:18" s="3" customFormat="1">
      <c r="A1017" s="82" t="s">
        <v>31</v>
      </c>
      <c r="B1017" s="145">
        <v>774</v>
      </c>
      <c r="C1017" s="84" t="s">
        <v>25</v>
      </c>
      <c r="D1017" s="84" t="s">
        <v>27</v>
      </c>
      <c r="E1017" s="84" t="s">
        <v>1237</v>
      </c>
      <c r="F1017" s="84" t="s">
        <v>32</v>
      </c>
      <c r="G1017" s="87">
        <v>591130</v>
      </c>
      <c r="H1017" s="87">
        <v>0</v>
      </c>
      <c r="I1017" s="87">
        <v>0</v>
      </c>
      <c r="J1017" s="173"/>
      <c r="K1017" s="194"/>
      <c r="L1017" s="194"/>
      <c r="M1017" s="194"/>
      <c r="N1017" s="194"/>
      <c r="O1017" s="194"/>
      <c r="P1017" s="194"/>
      <c r="Q1017" s="194"/>
      <c r="R1017" s="194"/>
    </row>
    <row r="1018" spans="1:18" s="3" customFormat="1" ht="105.6">
      <c r="A1018" s="130" t="s">
        <v>1502</v>
      </c>
      <c r="B1018" s="145">
        <v>774</v>
      </c>
      <c r="C1018" s="84" t="s">
        <v>25</v>
      </c>
      <c r="D1018" s="84" t="s">
        <v>27</v>
      </c>
      <c r="E1018" s="84" t="s">
        <v>1238</v>
      </c>
      <c r="F1018" s="84"/>
      <c r="G1018" s="87">
        <f t="shared" ref="G1018:I1019" si="251">G1019</f>
        <v>300000</v>
      </c>
      <c r="H1018" s="87">
        <f t="shared" si="251"/>
        <v>0</v>
      </c>
      <c r="I1018" s="87">
        <f t="shared" si="251"/>
        <v>0</v>
      </c>
      <c r="J1018" s="173"/>
      <c r="K1018" s="194"/>
      <c r="L1018" s="194"/>
      <c r="M1018" s="194"/>
      <c r="N1018" s="194"/>
      <c r="O1018" s="194"/>
      <c r="P1018" s="194"/>
      <c r="Q1018" s="194"/>
      <c r="R1018" s="194"/>
    </row>
    <row r="1019" spans="1:18" s="3" customFormat="1" ht="26.4">
      <c r="A1019" s="82" t="s">
        <v>29</v>
      </c>
      <c r="B1019" s="145">
        <v>774</v>
      </c>
      <c r="C1019" s="84" t="s">
        <v>25</v>
      </c>
      <c r="D1019" s="84" t="s">
        <v>27</v>
      </c>
      <c r="E1019" s="84" t="s">
        <v>1238</v>
      </c>
      <c r="F1019" s="84" t="s">
        <v>30</v>
      </c>
      <c r="G1019" s="87">
        <f t="shared" si="251"/>
        <v>300000</v>
      </c>
      <c r="H1019" s="87">
        <f t="shared" si="251"/>
        <v>0</v>
      </c>
      <c r="I1019" s="87">
        <f t="shared" si="251"/>
        <v>0</v>
      </c>
      <c r="J1019" s="173"/>
      <c r="K1019" s="194"/>
      <c r="L1019" s="194"/>
      <c r="M1019" s="194"/>
      <c r="N1019" s="194"/>
      <c r="O1019" s="194"/>
      <c r="P1019" s="194"/>
      <c r="Q1019" s="194"/>
      <c r="R1019" s="194"/>
    </row>
    <row r="1020" spans="1:18" s="3" customFormat="1">
      <c r="A1020" s="82" t="s">
        <v>31</v>
      </c>
      <c r="B1020" s="145">
        <v>774</v>
      </c>
      <c r="C1020" s="84" t="s">
        <v>25</v>
      </c>
      <c r="D1020" s="84" t="s">
        <v>27</v>
      </c>
      <c r="E1020" s="84" t="s">
        <v>1238</v>
      </c>
      <c r="F1020" s="84" t="s">
        <v>32</v>
      </c>
      <c r="G1020" s="87">
        <v>300000</v>
      </c>
      <c r="H1020" s="87">
        <v>0</v>
      </c>
      <c r="I1020" s="87">
        <v>0</v>
      </c>
      <c r="J1020" s="173"/>
      <c r="K1020" s="194"/>
      <c r="L1020" s="194"/>
      <c r="M1020" s="194"/>
      <c r="N1020" s="194"/>
      <c r="O1020" s="194"/>
      <c r="P1020" s="194"/>
      <c r="Q1020" s="194"/>
      <c r="R1020" s="194"/>
    </row>
    <row r="1021" spans="1:18" s="3" customFormat="1" ht="111" customHeight="1">
      <c r="A1021" s="130" t="s">
        <v>1240</v>
      </c>
      <c r="B1021" s="145">
        <v>774</v>
      </c>
      <c r="C1021" s="84" t="s">
        <v>25</v>
      </c>
      <c r="D1021" s="84" t="s">
        <v>27</v>
      </c>
      <c r="E1021" s="84" t="s">
        <v>1239</v>
      </c>
      <c r="F1021" s="84"/>
      <c r="G1021" s="87">
        <f t="shared" ref="G1021:I1022" si="252">G1022</f>
        <v>700000</v>
      </c>
      <c r="H1021" s="87">
        <f t="shared" si="252"/>
        <v>0</v>
      </c>
      <c r="I1021" s="87">
        <f t="shared" si="252"/>
        <v>0</v>
      </c>
      <c r="J1021" s="173"/>
      <c r="K1021" s="194"/>
      <c r="L1021" s="194"/>
      <c r="M1021" s="194"/>
      <c r="N1021" s="194"/>
      <c r="O1021" s="194"/>
      <c r="P1021" s="194"/>
      <c r="Q1021" s="194"/>
      <c r="R1021" s="194"/>
    </row>
    <row r="1022" spans="1:18" s="3" customFormat="1" ht="26.4">
      <c r="A1022" s="82" t="s">
        <v>29</v>
      </c>
      <c r="B1022" s="145">
        <v>774</v>
      </c>
      <c r="C1022" s="84" t="s">
        <v>25</v>
      </c>
      <c r="D1022" s="84" t="s">
        <v>27</v>
      </c>
      <c r="E1022" s="84" t="s">
        <v>1239</v>
      </c>
      <c r="F1022" s="84" t="s">
        <v>30</v>
      </c>
      <c r="G1022" s="87">
        <f t="shared" si="252"/>
        <v>700000</v>
      </c>
      <c r="H1022" s="87">
        <f t="shared" si="252"/>
        <v>0</v>
      </c>
      <c r="I1022" s="87">
        <f t="shared" si="252"/>
        <v>0</v>
      </c>
      <c r="J1022" s="173"/>
      <c r="K1022" s="194"/>
      <c r="L1022" s="194"/>
      <c r="M1022" s="194"/>
      <c r="N1022" s="194"/>
      <c r="O1022" s="194"/>
      <c r="P1022" s="194"/>
      <c r="Q1022" s="194"/>
      <c r="R1022" s="194"/>
    </row>
    <row r="1023" spans="1:18" s="3" customFormat="1">
      <c r="A1023" s="82" t="s">
        <v>31</v>
      </c>
      <c r="B1023" s="145">
        <v>774</v>
      </c>
      <c r="C1023" s="84" t="s">
        <v>25</v>
      </c>
      <c r="D1023" s="84" t="s">
        <v>27</v>
      </c>
      <c r="E1023" s="84" t="s">
        <v>1239</v>
      </c>
      <c r="F1023" s="84" t="s">
        <v>32</v>
      </c>
      <c r="G1023" s="70">
        <v>700000</v>
      </c>
      <c r="H1023" s="87">
        <v>0</v>
      </c>
      <c r="I1023" s="87">
        <v>0</v>
      </c>
      <c r="J1023" s="173"/>
      <c r="K1023" s="194"/>
      <c r="L1023" s="194"/>
      <c r="M1023" s="194"/>
      <c r="N1023" s="194"/>
      <c r="O1023" s="194"/>
      <c r="P1023" s="194"/>
      <c r="Q1023" s="194"/>
      <c r="R1023" s="194"/>
    </row>
    <row r="1024" spans="1:18" s="3" customFormat="1" ht="85.5" customHeight="1">
      <c r="A1024" s="130" t="s">
        <v>1503</v>
      </c>
      <c r="B1024" s="145">
        <v>774</v>
      </c>
      <c r="C1024" s="84" t="s">
        <v>25</v>
      </c>
      <c r="D1024" s="84" t="s">
        <v>27</v>
      </c>
      <c r="E1024" s="84" t="s">
        <v>1241</v>
      </c>
      <c r="F1024" s="84"/>
      <c r="G1024" s="87">
        <f t="shared" ref="G1024:I1025" si="253">G1025</f>
        <v>250000</v>
      </c>
      <c r="H1024" s="87">
        <f t="shared" si="253"/>
        <v>0</v>
      </c>
      <c r="I1024" s="87">
        <f t="shared" si="253"/>
        <v>0</v>
      </c>
      <c r="J1024" s="173"/>
      <c r="K1024" s="194"/>
      <c r="L1024" s="194"/>
      <c r="M1024" s="194"/>
      <c r="N1024" s="194"/>
      <c r="O1024" s="194"/>
      <c r="P1024" s="194"/>
      <c r="Q1024" s="194"/>
      <c r="R1024" s="194"/>
    </row>
    <row r="1025" spans="1:18" s="3" customFormat="1" ht="26.4">
      <c r="A1025" s="82" t="s">
        <v>29</v>
      </c>
      <c r="B1025" s="145">
        <v>774</v>
      </c>
      <c r="C1025" s="84" t="s">
        <v>25</v>
      </c>
      <c r="D1025" s="84" t="s">
        <v>27</v>
      </c>
      <c r="E1025" s="84" t="s">
        <v>1241</v>
      </c>
      <c r="F1025" s="84" t="s">
        <v>30</v>
      </c>
      <c r="G1025" s="87">
        <f t="shared" si="253"/>
        <v>250000</v>
      </c>
      <c r="H1025" s="87">
        <f t="shared" si="253"/>
        <v>0</v>
      </c>
      <c r="I1025" s="87">
        <f t="shared" si="253"/>
        <v>0</v>
      </c>
      <c r="J1025" s="173"/>
      <c r="K1025" s="194"/>
      <c r="L1025" s="194"/>
      <c r="M1025" s="194"/>
      <c r="N1025" s="194"/>
      <c r="O1025" s="194"/>
      <c r="P1025" s="194"/>
      <c r="Q1025" s="194"/>
      <c r="R1025" s="194"/>
    </row>
    <row r="1026" spans="1:18" s="3" customFormat="1">
      <c r="A1026" s="82" t="s">
        <v>31</v>
      </c>
      <c r="B1026" s="145">
        <v>774</v>
      </c>
      <c r="C1026" s="84" t="s">
        <v>25</v>
      </c>
      <c r="D1026" s="84" t="s">
        <v>27</v>
      </c>
      <c r="E1026" s="84" t="s">
        <v>1241</v>
      </c>
      <c r="F1026" s="84" t="s">
        <v>32</v>
      </c>
      <c r="G1026" s="87">
        <v>250000</v>
      </c>
      <c r="H1026" s="87">
        <v>0</v>
      </c>
      <c r="I1026" s="87">
        <v>0</v>
      </c>
      <c r="J1026" s="173"/>
      <c r="K1026" s="194"/>
      <c r="L1026" s="194"/>
      <c r="M1026" s="194"/>
      <c r="N1026" s="194"/>
      <c r="O1026" s="194"/>
      <c r="P1026" s="194"/>
      <c r="Q1026" s="194"/>
      <c r="R1026" s="194"/>
    </row>
    <row r="1027" spans="1:18" s="3" customFormat="1" ht="118.8">
      <c r="A1027" s="82" t="s">
        <v>1392</v>
      </c>
      <c r="B1027" s="145">
        <v>774</v>
      </c>
      <c r="C1027" s="84" t="s">
        <v>25</v>
      </c>
      <c r="D1027" s="84" t="s">
        <v>27</v>
      </c>
      <c r="E1027" s="84" t="s">
        <v>1242</v>
      </c>
      <c r="F1027" s="84"/>
      <c r="G1027" s="87">
        <f t="shared" ref="G1027:I1028" si="254">G1028</f>
        <v>300000</v>
      </c>
      <c r="H1027" s="87">
        <f t="shared" si="254"/>
        <v>0</v>
      </c>
      <c r="I1027" s="87">
        <f t="shared" si="254"/>
        <v>0</v>
      </c>
      <c r="J1027" s="173"/>
      <c r="K1027" s="194"/>
      <c r="L1027" s="194"/>
      <c r="M1027" s="194"/>
      <c r="N1027" s="194"/>
      <c r="O1027" s="194"/>
      <c r="P1027" s="194"/>
      <c r="Q1027" s="194"/>
      <c r="R1027" s="194"/>
    </row>
    <row r="1028" spans="1:18" s="3" customFormat="1" ht="26.4">
      <c r="A1028" s="82" t="s">
        <v>29</v>
      </c>
      <c r="B1028" s="145">
        <v>774</v>
      </c>
      <c r="C1028" s="84" t="s">
        <v>25</v>
      </c>
      <c r="D1028" s="84" t="s">
        <v>27</v>
      </c>
      <c r="E1028" s="84" t="s">
        <v>1242</v>
      </c>
      <c r="F1028" s="84" t="s">
        <v>30</v>
      </c>
      <c r="G1028" s="87">
        <f t="shared" si="254"/>
        <v>300000</v>
      </c>
      <c r="H1028" s="87">
        <f t="shared" si="254"/>
        <v>0</v>
      </c>
      <c r="I1028" s="87">
        <f t="shared" si="254"/>
        <v>0</v>
      </c>
      <c r="J1028" s="173"/>
      <c r="K1028" s="194"/>
      <c r="L1028" s="194"/>
      <c r="M1028" s="194"/>
      <c r="N1028" s="194"/>
      <c r="O1028" s="194"/>
      <c r="P1028" s="194"/>
      <c r="Q1028" s="194"/>
      <c r="R1028" s="194"/>
    </row>
    <row r="1029" spans="1:18" s="3" customFormat="1">
      <c r="A1029" s="82" t="s">
        <v>31</v>
      </c>
      <c r="B1029" s="145">
        <v>774</v>
      </c>
      <c r="C1029" s="84" t="s">
        <v>25</v>
      </c>
      <c r="D1029" s="84" t="s">
        <v>27</v>
      </c>
      <c r="E1029" s="84" t="s">
        <v>1242</v>
      </c>
      <c r="F1029" s="84" t="s">
        <v>32</v>
      </c>
      <c r="G1029" s="87">
        <f>186000+114000</f>
        <v>300000</v>
      </c>
      <c r="H1029" s="87">
        <v>0</v>
      </c>
      <c r="I1029" s="87">
        <v>0</v>
      </c>
      <c r="J1029" s="173"/>
      <c r="K1029" s="194"/>
      <c r="L1029" s="194"/>
      <c r="M1029" s="194"/>
      <c r="N1029" s="194"/>
      <c r="O1029" s="194"/>
      <c r="P1029" s="194"/>
      <c r="Q1029" s="194"/>
      <c r="R1029" s="194"/>
    </row>
    <row r="1030" spans="1:18" s="3" customFormat="1" ht="115.5" customHeight="1">
      <c r="A1030" s="130" t="s">
        <v>1538</v>
      </c>
      <c r="B1030" s="145">
        <v>774</v>
      </c>
      <c r="C1030" s="84" t="s">
        <v>25</v>
      </c>
      <c r="D1030" s="84" t="s">
        <v>27</v>
      </c>
      <c r="E1030" s="84" t="s">
        <v>1243</v>
      </c>
      <c r="F1030" s="84"/>
      <c r="G1030" s="87">
        <f t="shared" ref="G1030:I1043" si="255">G1031</f>
        <v>148400</v>
      </c>
      <c r="H1030" s="87">
        <f t="shared" si="255"/>
        <v>0</v>
      </c>
      <c r="I1030" s="87">
        <f t="shared" si="255"/>
        <v>0</v>
      </c>
      <c r="J1030" s="173"/>
      <c r="K1030" s="194"/>
      <c r="L1030" s="194"/>
      <c r="M1030" s="194"/>
      <c r="N1030" s="194"/>
      <c r="O1030" s="194"/>
      <c r="P1030" s="194"/>
      <c r="Q1030" s="194"/>
      <c r="R1030" s="194"/>
    </row>
    <row r="1031" spans="1:18" s="3" customFormat="1" ht="26.4">
      <c r="A1031" s="82" t="s">
        <v>29</v>
      </c>
      <c r="B1031" s="145">
        <v>774</v>
      </c>
      <c r="C1031" s="84" t="s">
        <v>25</v>
      </c>
      <c r="D1031" s="84" t="s">
        <v>27</v>
      </c>
      <c r="E1031" s="84" t="s">
        <v>1243</v>
      </c>
      <c r="F1031" s="84" t="s">
        <v>30</v>
      </c>
      <c r="G1031" s="87">
        <f t="shared" si="255"/>
        <v>148400</v>
      </c>
      <c r="H1031" s="87">
        <f t="shared" si="255"/>
        <v>0</v>
      </c>
      <c r="I1031" s="87">
        <f t="shared" si="255"/>
        <v>0</v>
      </c>
      <c r="J1031" s="173"/>
      <c r="K1031" s="194"/>
      <c r="L1031" s="194"/>
      <c r="M1031" s="194"/>
      <c r="N1031" s="194"/>
      <c r="O1031" s="194"/>
      <c r="P1031" s="194"/>
      <c r="Q1031" s="194"/>
      <c r="R1031" s="194"/>
    </row>
    <row r="1032" spans="1:18" s="3" customFormat="1">
      <c r="A1032" s="82" t="s">
        <v>31</v>
      </c>
      <c r="B1032" s="145">
        <v>774</v>
      </c>
      <c r="C1032" s="84" t="s">
        <v>25</v>
      </c>
      <c r="D1032" s="84" t="s">
        <v>27</v>
      </c>
      <c r="E1032" s="84" t="s">
        <v>1243</v>
      </c>
      <c r="F1032" s="84" t="s">
        <v>32</v>
      </c>
      <c r="G1032" s="87">
        <v>148400</v>
      </c>
      <c r="H1032" s="87">
        <v>0</v>
      </c>
      <c r="I1032" s="87">
        <v>0</v>
      </c>
      <c r="J1032" s="173"/>
      <c r="K1032" s="194"/>
      <c r="L1032" s="194"/>
      <c r="M1032" s="194"/>
      <c r="N1032" s="194"/>
      <c r="O1032" s="194"/>
      <c r="P1032" s="194"/>
      <c r="Q1032" s="194"/>
      <c r="R1032" s="194"/>
    </row>
    <row r="1033" spans="1:18" s="3" customFormat="1" ht="87" customHeight="1">
      <c r="A1033" s="82" t="s">
        <v>1539</v>
      </c>
      <c r="B1033" s="145">
        <v>774</v>
      </c>
      <c r="C1033" s="84" t="s">
        <v>25</v>
      </c>
      <c r="D1033" s="84" t="s">
        <v>27</v>
      </c>
      <c r="E1033" s="84" t="s">
        <v>1244</v>
      </c>
      <c r="F1033" s="84"/>
      <c r="G1033" s="87">
        <f t="shared" si="255"/>
        <v>2000000</v>
      </c>
      <c r="H1033" s="87">
        <f t="shared" si="255"/>
        <v>0</v>
      </c>
      <c r="I1033" s="87">
        <f t="shared" si="255"/>
        <v>0</v>
      </c>
      <c r="J1033" s="173"/>
      <c r="K1033" s="194"/>
      <c r="L1033" s="194"/>
      <c r="M1033" s="194"/>
      <c r="N1033" s="194"/>
      <c r="O1033" s="194"/>
      <c r="P1033" s="194"/>
      <c r="Q1033" s="194"/>
      <c r="R1033" s="194"/>
    </row>
    <row r="1034" spans="1:18" s="3" customFormat="1" ht="26.4">
      <c r="A1034" s="82" t="s">
        <v>29</v>
      </c>
      <c r="B1034" s="145">
        <v>774</v>
      </c>
      <c r="C1034" s="84" t="s">
        <v>25</v>
      </c>
      <c r="D1034" s="84" t="s">
        <v>27</v>
      </c>
      <c r="E1034" s="84" t="s">
        <v>1244</v>
      </c>
      <c r="F1034" s="84" t="s">
        <v>30</v>
      </c>
      <c r="G1034" s="87">
        <f t="shared" si="255"/>
        <v>2000000</v>
      </c>
      <c r="H1034" s="87">
        <f t="shared" si="255"/>
        <v>0</v>
      </c>
      <c r="I1034" s="87">
        <f t="shared" si="255"/>
        <v>0</v>
      </c>
      <c r="J1034" s="173"/>
      <c r="K1034" s="194"/>
      <c r="L1034" s="194"/>
      <c r="M1034" s="194"/>
      <c r="N1034" s="194"/>
      <c r="O1034" s="194"/>
      <c r="P1034" s="194"/>
      <c r="Q1034" s="194"/>
      <c r="R1034" s="194"/>
    </row>
    <row r="1035" spans="1:18" s="3" customFormat="1">
      <c r="A1035" s="82" t="s">
        <v>31</v>
      </c>
      <c r="B1035" s="145">
        <v>774</v>
      </c>
      <c r="C1035" s="84" t="s">
        <v>25</v>
      </c>
      <c r="D1035" s="84" t="s">
        <v>27</v>
      </c>
      <c r="E1035" s="84" t="s">
        <v>1244</v>
      </c>
      <c r="F1035" s="84" t="s">
        <v>32</v>
      </c>
      <c r="G1035" s="87">
        <v>2000000</v>
      </c>
      <c r="H1035" s="87">
        <v>0</v>
      </c>
      <c r="I1035" s="87">
        <v>0</v>
      </c>
      <c r="J1035" s="173"/>
      <c r="K1035" s="194"/>
      <c r="L1035" s="194"/>
      <c r="M1035" s="194"/>
      <c r="N1035" s="194"/>
      <c r="O1035" s="194"/>
      <c r="P1035" s="194"/>
      <c r="Q1035" s="194"/>
      <c r="R1035" s="194"/>
    </row>
    <row r="1036" spans="1:18" s="3" customFormat="1" ht="104.25" customHeight="1">
      <c r="A1036" s="130" t="s">
        <v>1540</v>
      </c>
      <c r="B1036" s="145">
        <v>774</v>
      </c>
      <c r="C1036" s="84" t="s">
        <v>25</v>
      </c>
      <c r="D1036" s="84" t="s">
        <v>27</v>
      </c>
      <c r="E1036" s="84" t="s">
        <v>1398</v>
      </c>
      <c r="F1036" s="84"/>
      <c r="G1036" s="87">
        <f t="shared" si="255"/>
        <v>100000</v>
      </c>
      <c r="H1036" s="87">
        <f t="shared" si="255"/>
        <v>0</v>
      </c>
      <c r="I1036" s="87">
        <f t="shared" si="255"/>
        <v>0</v>
      </c>
      <c r="J1036" s="173"/>
      <c r="K1036" s="194"/>
      <c r="L1036" s="194"/>
      <c r="M1036" s="194"/>
      <c r="N1036" s="194"/>
      <c r="O1036" s="194"/>
      <c r="P1036" s="194"/>
      <c r="Q1036" s="194"/>
      <c r="R1036" s="194"/>
    </row>
    <row r="1037" spans="1:18" s="3" customFormat="1" ht="26.4">
      <c r="A1037" s="82" t="s">
        <v>29</v>
      </c>
      <c r="B1037" s="145">
        <v>774</v>
      </c>
      <c r="C1037" s="84" t="s">
        <v>25</v>
      </c>
      <c r="D1037" s="84" t="s">
        <v>27</v>
      </c>
      <c r="E1037" s="84" t="s">
        <v>1398</v>
      </c>
      <c r="F1037" s="84" t="s">
        <v>30</v>
      </c>
      <c r="G1037" s="87">
        <f t="shared" si="255"/>
        <v>100000</v>
      </c>
      <c r="H1037" s="87">
        <f t="shared" si="255"/>
        <v>0</v>
      </c>
      <c r="I1037" s="87">
        <f t="shared" si="255"/>
        <v>0</v>
      </c>
      <c r="J1037" s="173"/>
      <c r="K1037" s="194"/>
      <c r="L1037" s="194"/>
      <c r="M1037" s="194"/>
      <c r="N1037" s="194"/>
      <c r="O1037" s="194"/>
      <c r="P1037" s="194"/>
      <c r="Q1037" s="194"/>
      <c r="R1037" s="194"/>
    </row>
    <row r="1038" spans="1:18" s="3" customFormat="1">
      <c r="A1038" s="82" t="s">
        <v>31</v>
      </c>
      <c r="B1038" s="145">
        <v>774</v>
      </c>
      <c r="C1038" s="84" t="s">
        <v>25</v>
      </c>
      <c r="D1038" s="84" t="s">
        <v>27</v>
      </c>
      <c r="E1038" s="84" t="s">
        <v>1398</v>
      </c>
      <c r="F1038" s="84" t="s">
        <v>32</v>
      </c>
      <c r="G1038" s="87">
        <v>100000</v>
      </c>
      <c r="H1038" s="87">
        <v>0</v>
      </c>
      <c r="I1038" s="87">
        <v>0</v>
      </c>
      <c r="J1038" s="173"/>
      <c r="K1038" s="194"/>
      <c r="L1038" s="194"/>
      <c r="M1038" s="194"/>
      <c r="N1038" s="194"/>
      <c r="O1038" s="194"/>
      <c r="P1038" s="194"/>
      <c r="Q1038" s="194"/>
      <c r="R1038" s="194"/>
    </row>
    <row r="1039" spans="1:18" s="3" customFormat="1" ht="104.25" customHeight="1">
      <c r="A1039" s="82" t="s">
        <v>1452</v>
      </c>
      <c r="B1039" s="145">
        <v>774</v>
      </c>
      <c r="C1039" s="84" t="s">
        <v>25</v>
      </c>
      <c r="D1039" s="84" t="s">
        <v>27</v>
      </c>
      <c r="E1039" s="84" t="s">
        <v>1399</v>
      </c>
      <c r="F1039" s="84"/>
      <c r="G1039" s="87">
        <f t="shared" si="255"/>
        <v>2086610</v>
      </c>
      <c r="H1039" s="87">
        <f t="shared" si="255"/>
        <v>0</v>
      </c>
      <c r="I1039" s="87">
        <f t="shared" si="255"/>
        <v>0</v>
      </c>
      <c r="J1039" s="173"/>
      <c r="K1039" s="194"/>
      <c r="L1039" s="194"/>
      <c r="M1039" s="194"/>
      <c r="N1039" s="194"/>
      <c r="O1039" s="194"/>
      <c r="P1039" s="194"/>
      <c r="Q1039" s="194"/>
      <c r="R1039" s="194"/>
    </row>
    <row r="1040" spans="1:18" s="3" customFormat="1" ht="26.4">
      <c r="A1040" s="82" t="s">
        <v>29</v>
      </c>
      <c r="B1040" s="145">
        <v>774</v>
      </c>
      <c r="C1040" s="84" t="s">
        <v>25</v>
      </c>
      <c r="D1040" s="84" t="s">
        <v>27</v>
      </c>
      <c r="E1040" s="84" t="s">
        <v>1399</v>
      </c>
      <c r="F1040" s="84" t="s">
        <v>30</v>
      </c>
      <c r="G1040" s="87">
        <f t="shared" si="255"/>
        <v>2086610</v>
      </c>
      <c r="H1040" s="87">
        <f t="shared" si="255"/>
        <v>0</v>
      </c>
      <c r="I1040" s="87">
        <f t="shared" si="255"/>
        <v>0</v>
      </c>
      <c r="J1040" s="173"/>
      <c r="K1040" s="194"/>
      <c r="L1040" s="194"/>
      <c r="M1040" s="194"/>
      <c r="N1040" s="194"/>
      <c r="O1040" s="194"/>
      <c r="P1040" s="194"/>
      <c r="Q1040" s="194"/>
      <c r="R1040" s="194"/>
    </row>
    <row r="1041" spans="1:18" s="3" customFormat="1">
      <c r="A1041" s="82" t="s">
        <v>31</v>
      </c>
      <c r="B1041" s="145">
        <v>774</v>
      </c>
      <c r="C1041" s="84" t="s">
        <v>25</v>
      </c>
      <c r="D1041" s="84" t="s">
        <v>27</v>
      </c>
      <c r="E1041" s="84" t="s">
        <v>1399</v>
      </c>
      <c r="F1041" s="84" t="s">
        <v>32</v>
      </c>
      <c r="G1041" s="87">
        <v>2086610</v>
      </c>
      <c r="H1041" s="87">
        <v>0</v>
      </c>
      <c r="I1041" s="87">
        <v>0</v>
      </c>
      <c r="J1041" s="173"/>
      <c r="K1041" s="194"/>
      <c r="L1041" s="194"/>
      <c r="M1041" s="194"/>
      <c r="N1041" s="194"/>
      <c r="O1041" s="194"/>
      <c r="P1041" s="194"/>
      <c r="Q1041" s="194"/>
      <c r="R1041" s="194"/>
    </row>
    <row r="1042" spans="1:18" s="3" customFormat="1" ht="61.5" customHeight="1">
      <c r="A1042" s="82" t="s">
        <v>1328</v>
      </c>
      <c r="B1042" s="145">
        <v>774</v>
      </c>
      <c r="C1042" s="84" t="s">
        <v>25</v>
      </c>
      <c r="D1042" s="84" t="s">
        <v>27</v>
      </c>
      <c r="E1042" s="84" t="s">
        <v>1329</v>
      </c>
      <c r="F1042" s="84"/>
      <c r="G1042" s="87">
        <f t="shared" si="255"/>
        <v>1695231.87</v>
      </c>
      <c r="H1042" s="87">
        <f t="shared" si="255"/>
        <v>0</v>
      </c>
      <c r="I1042" s="87">
        <f t="shared" si="255"/>
        <v>0</v>
      </c>
      <c r="J1042" s="173"/>
      <c r="K1042" s="194"/>
      <c r="L1042" s="194"/>
      <c r="M1042" s="194"/>
      <c r="N1042" s="194"/>
      <c r="O1042" s="194"/>
      <c r="P1042" s="194"/>
      <c r="Q1042" s="194"/>
      <c r="R1042" s="194"/>
    </row>
    <row r="1043" spans="1:18" s="3" customFormat="1" ht="26.4">
      <c r="A1043" s="82" t="s">
        <v>29</v>
      </c>
      <c r="B1043" s="145">
        <v>774</v>
      </c>
      <c r="C1043" s="84" t="s">
        <v>25</v>
      </c>
      <c r="D1043" s="84" t="s">
        <v>27</v>
      </c>
      <c r="E1043" s="84" t="s">
        <v>1329</v>
      </c>
      <c r="F1043" s="84" t="s">
        <v>30</v>
      </c>
      <c r="G1043" s="87">
        <f t="shared" si="255"/>
        <v>1695231.87</v>
      </c>
      <c r="H1043" s="87">
        <f t="shared" si="255"/>
        <v>0</v>
      </c>
      <c r="I1043" s="87">
        <f t="shared" si="255"/>
        <v>0</v>
      </c>
      <c r="J1043" s="173"/>
      <c r="K1043" s="194"/>
      <c r="L1043" s="194"/>
      <c r="M1043" s="194"/>
      <c r="N1043" s="194"/>
      <c r="O1043" s="194"/>
      <c r="P1043" s="194"/>
      <c r="Q1043" s="194"/>
      <c r="R1043" s="194"/>
    </row>
    <row r="1044" spans="1:18" s="3" customFormat="1">
      <c r="A1044" s="82" t="s">
        <v>31</v>
      </c>
      <c r="B1044" s="145">
        <v>774</v>
      </c>
      <c r="C1044" s="84" t="s">
        <v>25</v>
      </c>
      <c r="D1044" s="84" t="s">
        <v>27</v>
      </c>
      <c r="E1044" s="84" t="s">
        <v>1329</v>
      </c>
      <c r="F1044" s="84" t="s">
        <v>32</v>
      </c>
      <c r="G1044" s="87">
        <v>1695231.87</v>
      </c>
      <c r="H1044" s="87">
        <v>0</v>
      </c>
      <c r="I1044" s="87">
        <v>0</v>
      </c>
      <c r="J1044" s="173"/>
      <c r="K1044" s="194"/>
      <c r="L1044" s="194"/>
      <c r="M1044" s="194"/>
      <c r="N1044" s="194"/>
      <c r="O1044" s="194"/>
      <c r="P1044" s="194"/>
      <c r="Q1044" s="194"/>
      <c r="R1044" s="194"/>
    </row>
    <row r="1045" spans="1:18" s="3" customFormat="1">
      <c r="A1045" s="82" t="s">
        <v>116</v>
      </c>
      <c r="B1045" s="145">
        <v>774</v>
      </c>
      <c r="C1045" s="84" t="s">
        <v>25</v>
      </c>
      <c r="D1045" s="84" t="s">
        <v>27</v>
      </c>
      <c r="E1045" s="84" t="s">
        <v>184</v>
      </c>
      <c r="F1045" s="84"/>
      <c r="G1045" s="87">
        <f>G1046</f>
        <v>24944.17</v>
      </c>
      <c r="H1045" s="87"/>
      <c r="I1045" s="87"/>
      <c r="J1045" s="173"/>
      <c r="K1045" s="194"/>
      <c r="L1045" s="194"/>
      <c r="M1045" s="194"/>
      <c r="N1045" s="194"/>
      <c r="O1045" s="194"/>
      <c r="P1045" s="194"/>
      <c r="Q1045" s="194"/>
      <c r="R1045" s="194"/>
    </row>
    <row r="1046" spans="1:18" s="18" customFormat="1" ht="29.25" customHeight="1">
      <c r="A1046" s="13" t="s">
        <v>1388</v>
      </c>
      <c r="B1046" s="15" t="s">
        <v>92</v>
      </c>
      <c r="C1046" s="15" t="s">
        <v>25</v>
      </c>
      <c r="D1046" s="15" t="s">
        <v>27</v>
      </c>
      <c r="E1046" s="15" t="s">
        <v>1387</v>
      </c>
      <c r="F1046" s="15"/>
      <c r="G1046" s="70">
        <f>G1047</f>
        <v>24944.17</v>
      </c>
      <c r="H1046" s="70">
        <f t="shared" ref="H1046:I1046" si="256">H1047</f>
        <v>0</v>
      </c>
      <c r="I1046" s="70">
        <f t="shared" si="256"/>
        <v>0</v>
      </c>
      <c r="J1046" s="173"/>
      <c r="K1046" s="195"/>
      <c r="L1046" s="195"/>
      <c r="M1046" s="195"/>
      <c r="N1046" s="195"/>
      <c r="O1046" s="195"/>
      <c r="P1046" s="195"/>
      <c r="Q1046" s="195"/>
      <c r="R1046" s="195"/>
    </row>
    <row r="1047" spans="1:18" s="18" customFormat="1" ht="26.4">
      <c r="A1047" s="16" t="s">
        <v>35</v>
      </c>
      <c r="B1047" s="15" t="s">
        <v>92</v>
      </c>
      <c r="C1047" s="15" t="s">
        <v>25</v>
      </c>
      <c r="D1047" s="15" t="s">
        <v>27</v>
      </c>
      <c r="E1047" s="15" t="s">
        <v>1387</v>
      </c>
      <c r="F1047" s="15" t="s">
        <v>30</v>
      </c>
      <c r="G1047" s="70">
        <f>G1048</f>
        <v>24944.17</v>
      </c>
      <c r="H1047" s="70">
        <f>H1048</f>
        <v>0</v>
      </c>
      <c r="I1047" s="70">
        <f>I1048</f>
        <v>0</v>
      </c>
      <c r="J1047" s="173"/>
      <c r="K1047" s="195"/>
      <c r="L1047" s="195"/>
      <c r="M1047" s="195"/>
      <c r="N1047" s="195"/>
      <c r="O1047" s="195"/>
      <c r="P1047" s="195"/>
      <c r="Q1047" s="195"/>
      <c r="R1047" s="195"/>
    </row>
    <row r="1048" spans="1:18" s="18" customFormat="1" ht="26.4">
      <c r="A1048" s="16" t="s">
        <v>37</v>
      </c>
      <c r="B1048" s="15" t="s">
        <v>92</v>
      </c>
      <c r="C1048" s="15" t="s">
        <v>25</v>
      </c>
      <c r="D1048" s="15" t="s">
        <v>27</v>
      </c>
      <c r="E1048" s="15" t="s">
        <v>1387</v>
      </c>
      <c r="F1048" s="15" t="s">
        <v>32</v>
      </c>
      <c r="G1048" s="70">
        <v>24944.17</v>
      </c>
      <c r="H1048" s="70">
        <v>0</v>
      </c>
      <c r="I1048" s="70">
        <v>0</v>
      </c>
      <c r="J1048" s="173"/>
      <c r="K1048" s="195"/>
      <c r="L1048" s="195"/>
      <c r="M1048" s="195"/>
      <c r="N1048" s="195"/>
      <c r="O1048" s="195"/>
      <c r="P1048" s="195"/>
      <c r="Q1048" s="195"/>
      <c r="R1048" s="195"/>
    </row>
    <row r="1049" spans="1:18" s="3" customFormat="1" ht="30" customHeight="1">
      <c r="A1049" s="82" t="s">
        <v>23</v>
      </c>
      <c r="B1049" s="145">
        <v>774</v>
      </c>
      <c r="C1049" s="84" t="s">
        <v>25</v>
      </c>
      <c r="D1049" s="84" t="s">
        <v>27</v>
      </c>
      <c r="E1049" s="84" t="s">
        <v>218</v>
      </c>
      <c r="F1049" s="84"/>
      <c r="G1049" s="87">
        <f t="shared" ref="G1049:I1050" si="257">G1050</f>
        <v>607246.4</v>
      </c>
      <c r="H1049" s="87">
        <f t="shared" si="257"/>
        <v>806702.1</v>
      </c>
      <c r="I1049" s="87">
        <f t="shared" si="257"/>
        <v>806702.1</v>
      </c>
      <c r="J1049" s="173"/>
      <c r="K1049" s="194"/>
      <c r="L1049" s="194"/>
      <c r="M1049" s="194"/>
      <c r="N1049" s="194"/>
      <c r="O1049" s="194"/>
      <c r="P1049" s="194"/>
      <c r="Q1049" s="194"/>
      <c r="R1049" s="194"/>
    </row>
    <row r="1050" spans="1:18" s="3" customFormat="1" ht="24.75" customHeight="1">
      <c r="A1050" s="82" t="s">
        <v>138</v>
      </c>
      <c r="B1050" s="145">
        <v>774</v>
      </c>
      <c r="C1050" s="84" t="s">
        <v>25</v>
      </c>
      <c r="D1050" s="84" t="s">
        <v>27</v>
      </c>
      <c r="E1050" s="84" t="s">
        <v>219</v>
      </c>
      <c r="F1050" s="84"/>
      <c r="G1050" s="87">
        <f t="shared" si="257"/>
        <v>607246.4</v>
      </c>
      <c r="H1050" s="87">
        <f t="shared" si="257"/>
        <v>806702.1</v>
      </c>
      <c r="I1050" s="87">
        <f t="shared" si="257"/>
        <v>806702.1</v>
      </c>
      <c r="J1050" s="173"/>
      <c r="K1050" s="194"/>
      <c r="L1050" s="194"/>
      <c r="M1050" s="194"/>
      <c r="N1050" s="194"/>
      <c r="O1050" s="194"/>
      <c r="P1050" s="194"/>
      <c r="Q1050" s="194"/>
      <c r="R1050" s="194"/>
    </row>
    <row r="1051" spans="1:18" s="18" customFormat="1" ht="26.4">
      <c r="A1051" s="82" t="s">
        <v>29</v>
      </c>
      <c r="B1051" s="84" t="s">
        <v>92</v>
      </c>
      <c r="C1051" s="84" t="s">
        <v>25</v>
      </c>
      <c r="D1051" s="84" t="s">
        <v>27</v>
      </c>
      <c r="E1051" s="84" t="s">
        <v>219</v>
      </c>
      <c r="F1051" s="84" t="s">
        <v>30</v>
      </c>
      <c r="G1051" s="87">
        <f>G1052</f>
        <v>607246.4</v>
      </c>
      <c r="H1051" s="87">
        <f>H1052</f>
        <v>806702.1</v>
      </c>
      <c r="I1051" s="87">
        <f>I1052</f>
        <v>806702.1</v>
      </c>
      <c r="J1051" s="173"/>
      <c r="K1051" s="195"/>
      <c r="L1051" s="195"/>
      <c r="M1051" s="195"/>
      <c r="N1051" s="195"/>
      <c r="O1051" s="195"/>
      <c r="P1051" s="195"/>
      <c r="Q1051" s="195"/>
      <c r="R1051" s="195"/>
    </row>
    <row r="1052" spans="1:18" s="18" customFormat="1" ht="17.25" customHeight="1">
      <c r="A1052" s="82" t="s">
        <v>31</v>
      </c>
      <c r="B1052" s="84" t="s">
        <v>92</v>
      </c>
      <c r="C1052" s="84" t="s">
        <v>25</v>
      </c>
      <c r="D1052" s="84" t="s">
        <v>27</v>
      </c>
      <c r="E1052" s="84" t="s">
        <v>219</v>
      </c>
      <c r="F1052" s="84" t="s">
        <v>32</v>
      </c>
      <c r="G1052" s="70">
        <f>616246.4-9000</f>
        <v>607246.4</v>
      </c>
      <c r="H1052" s="87">
        <f>362000+444702.1</f>
        <v>806702.1</v>
      </c>
      <c r="I1052" s="87">
        <f>362000+444702.1</f>
        <v>806702.1</v>
      </c>
      <c r="J1052" s="173"/>
      <c r="K1052" s="195"/>
      <c r="L1052" s="195"/>
      <c r="M1052" s="195"/>
      <c r="N1052" s="195"/>
      <c r="O1052" s="195"/>
      <c r="P1052" s="195"/>
      <c r="Q1052" s="195"/>
      <c r="R1052" s="195"/>
    </row>
    <row r="1053" spans="1:18" s="18" customFormat="1" ht="25.5" hidden="1" customHeight="1">
      <c r="A1053" s="132" t="s">
        <v>459</v>
      </c>
      <c r="B1053" s="145">
        <v>774</v>
      </c>
      <c r="C1053" s="84" t="s">
        <v>25</v>
      </c>
      <c r="D1053" s="84" t="s">
        <v>27</v>
      </c>
      <c r="E1053" s="84" t="s">
        <v>214</v>
      </c>
      <c r="F1053" s="84"/>
      <c r="G1053" s="87">
        <f t="shared" ref="G1053:I1055" si="258">G1054</f>
        <v>0</v>
      </c>
      <c r="H1053" s="87">
        <f t="shared" si="258"/>
        <v>0</v>
      </c>
      <c r="I1053" s="87">
        <f t="shared" si="258"/>
        <v>0</v>
      </c>
      <c r="J1053" s="173"/>
      <c r="K1053" s="195"/>
      <c r="L1053" s="195"/>
      <c r="M1053" s="195"/>
      <c r="N1053" s="195"/>
      <c r="O1053" s="195"/>
      <c r="P1053" s="195"/>
      <c r="Q1053" s="195"/>
      <c r="R1053" s="195"/>
    </row>
    <row r="1054" spans="1:18" s="18" customFormat="1" ht="26.4" hidden="1">
      <c r="A1054" s="82" t="s">
        <v>96</v>
      </c>
      <c r="B1054" s="84" t="s">
        <v>92</v>
      </c>
      <c r="C1054" s="84" t="s">
        <v>25</v>
      </c>
      <c r="D1054" s="84" t="s">
        <v>27</v>
      </c>
      <c r="E1054" s="84" t="s">
        <v>215</v>
      </c>
      <c r="F1054" s="84"/>
      <c r="G1054" s="87">
        <f t="shared" si="258"/>
        <v>0</v>
      </c>
      <c r="H1054" s="87">
        <f t="shared" si="258"/>
        <v>0</v>
      </c>
      <c r="I1054" s="87">
        <f t="shared" si="258"/>
        <v>0</v>
      </c>
      <c r="J1054" s="173"/>
      <c r="K1054" s="195"/>
      <c r="L1054" s="195"/>
      <c r="M1054" s="195"/>
      <c r="N1054" s="195"/>
      <c r="O1054" s="195"/>
      <c r="P1054" s="195"/>
      <c r="Q1054" s="195"/>
      <c r="R1054" s="195"/>
    </row>
    <row r="1055" spans="1:18" s="18" customFormat="1" ht="30.75" hidden="1" customHeight="1">
      <c r="A1055" s="82" t="s">
        <v>29</v>
      </c>
      <c r="B1055" s="84" t="s">
        <v>92</v>
      </c>
      <c r="C1055" s="84" t="s">
        <v>25</v>
      </c>
      <c r="D1055" s="84" t="s">
        <v>27</v>
      </c>
      <c r="E1055" s="84" t="s">
        <v>215</v>
      </c>
      <c r="F1055" s="84" t="s">
        <v>30</v>
      </c>
      <c r="G1055" s="87">
        <f t="shared" si="258"/>
        <v>0</v>
      </c>
      <c r="H1055" s="87">
        <f t="shared" si="258"/>
        <v>0</v>
      </c>
      <c r="I1055" s="87">
        <f t="shared" si="258"/>
        <v>0</v>
      </c>
      <c r="J1055" s="173"/>
      <c r="K1055" s="195"/>
      <c r="L1055" s="195"/>
      <c r="M1055" s="195"/>
      <c r="N1055" s="195"/>
      <c r="O1055" s="195"/>
      <c r="P1055" s="195"/>
      <c r="Q1055" s="195"/>
      <c r="R1055" s="195"/>
    </row>
    <row r="1056" spans="1:18" s="18" customFormat="1" hidden="1">
      <c r="A1056" s="82" t="s">
        <v>31</v>
      </c>
      <c r="B1056" s="84" t="s">
        <v>92</v>
      </c>
      <c r="C1056" s="84" t="s">
        <v>25</v>
      </c>
      <c r="D1056" s="84" t="s">
        <v>27</v>
      </c>
      <c r="E1056" s="84" t="s">
        <v>215</v>
      </c>
      <c r="F1056" s="84" t="s">
        <v>32</v>
      </c>
      <c r="G1056" s="87"/>
      <c r="H1056" s="87"/>
      <c r="I1056" s="87"/>
      <c r="J1056" s="173"/>
      <c r="K1056" s="195"/>
      <c r="L1056" s="195"/>
      <c r="M1056" s="195"/>
      <c r="N1056" s="195"/>
      <c r="O1056" s="195"/>
      <c r="P1056" s="195"/>
      <c r="Q1056" s="195"/>
      <c r="R1056" s="195"/>
    </row>
    <row r="1057" spans="1:18" s="18" customFormat="1" ht="39.6" hidden="1">
      <c r="A1057" s="82" t="s">
        <v>442</v>
      </c>
      <c r="B1057" s="84" t="s">
        <v>92</v>
      </c>
      <c r="C1057" s="84" t="s">
        <v>25</v>
      </c>
      <c r="D1057" s="84" t="s">
        <v>27</v>
      </c>
      <c r="E1057" s="84" t="s">
        <v>441</v>
      </c>
      <c r="F1057" s="84"/>
      <c r="G1057" s="87">
        <f>G1058</f>
        <v>0</v>
      </c>
      <c r="H1057" s="87">
        <f t="shared" ref="H1057:I1058" si="259">H1058</f>
        <v>0</v>
      </c>
      <c r="I1057" s="87">
        <f t="shared" si="259"/>
        <v>0</v>
      </c>
      <c r="J1057" s="173"/>
      <c r="K1057" s="195"/>
      <c r="L1057" s="195"/>
      <c r="M1057" s="195"/>
      <c r="N1057" s="195"/>
      <c r="O1057" s="195"/>
      <c r="P1057" s="195"/>
      <c r="Q1057" s="195"/>
      <c r="R1057" s="195"/>
    </row>
    <row r="1058" spans="1:18" s="18" customFormat="1" ht="52.5" hidden="1" customHeight="1">
      <c r="A1058" s="82" t="s">
        <v>708</v>
      </c>
      <c r="B1058" s="84" t="s">
        <v>92</v>
      </c>
      <c r="C1058" s="84" t="s">
        <v>25</v>
      </c>
      <c r="D1058" s="84" t="s">
        <v>27</v>
      </c>
      <c r="E1058" s="84" t="s">
        <v>709</v>
      </c>
      <c r="F1058" s="84"/>
      <c r="G1058" s="87">
        <f>G1059</f>
        <v>0</v>
      </c>
      <c r="H1058" s="87">
        <f t="shared" si="259"/>
        <v>0</v>
      </c>
      <c r="I1058" s="87">
        <f t="shared" si="259"/>
        <v>0</v>
      </c>
      <c r="J1058" s="173"/>
      <c r="K1058" s="195"/>
      <c r="L1058" s="195"/>
      <c r="M1058" s="195"/>
      <c r="N1058" s="195"/>
      <c r="O1058" s="195"/>
      <c r="P1058" s="195"/>
      <c r="Q1058" s="195"/>
      <c r="R1058" s="195"/>
    </row>
    <row r="1059" spans="1:18" s="18" customFormat="1" ht="26.4" hidden="1">
      <c r="A1059" s="82" t="s">
        <v>94</v>
      </c>
      <c r="B1059" s="84" t="s">
        <v>92</v>
      </c>
      <c r="C1059" s="84" t="s">
        <v>25</v>
      </c>
      <c r="D1059" s="84" t="s">
        <v>27</v>
      </c>
      <c r="E1059" s="84" t="s">
        <v>709</v>
      </c>
      <c r="F1059" s="84" t="s">
        <v>338</v>
      </c>
      <c r="G1059" s="87"/>
      <c r="H1059" s="87"/>
      <c r="I1059" s="87"/>
      <c r="J1059" s="173"/>
      <c r="K1059" s="195"/>
      <c r="L1059" s="195"/>
      <c r="M1059" s="195"/>
      <c r="N1059" s="195"/>
      <c r="O1059" s="195"/>
      <c r="P1059" s="195"/>
      <c r="Q1059" s="195"/>
      <c r="R1059" s="195"/>
    </row>
    <row r="1060" spans="1:18" s="18" customFormat="1" ht="92.4" hidden="1">
      <c r="A1060" s="130" t="s">
        <v>407</v>
      </c>
      <c r="B1060" s="84" t="s">
        <v>92</v>
      </c>
      <c r="C1060" s="84" t="s">
        <v>25</v>
      </c>
      <c r="D1060" s="84" t="s">
        <v>27</v>
      </c>
      <c r="E1060" s="84" t="s">
        <v>709</v>
      </c>
      <c r="F1060" s="84" t="s">
        <v>406</v>
      </c>
      <c r="G1060" s="87"/>
      <c r="H1060" s="87"/>
      <c r="I1060" s="87"/>
      <c r="J1060" s="173"/>
      <c r="K1060" s="195"/>
      <c r="L1060" s="195"/>
      <c r="M1060" s="195"/>
      <c r="N1060" s="195"/>
      <c r="O1060" s="195"/>
      <c r="P1060" s="195"/>
      <c r="Q1060" s="195"/>
      <c r="R1060" s="195"/>
    </row>
    <row r="1061" spans="1:18" s="18" customFormat="1" ht="39.6" hidden="1">
      <c r="A1061" s="82" t="s">
        <v>442</v>
      </c>
      <c r="B1061" s="84" t="s">
        <v>92</v>
      </c>
      <c r="C1061" s="84" t="s">
        <v>25</v>
      </c>
      <c r="D1061" s="84" t="s">
        <v>27</v>
      </c>
      <c r="E1061" s="84" t="s">
        <v>441</v>
      </c>
      <c r="F1061" s="84"/>
      <c r="G1061" s="87">
        <f>G1062</f>
        <v>0</v>
      </c>
      <c r="H1061" s="87">
        <f t="shared" ref="H1061:I1061" si="260">H1062</f>
        <v>0</v>
      </c>
      <c r="I1061" s="87">
        <f t="shared" si="260"/>
        <v>0</v>
      </c>
      <c r="J1061" s="173"/>
      <c r="K1061" s="195"/>
      <c r="L1061" s="195"/>
      <c r="M1061" s="195"/>
      <c r="N1061" s="195"/>
      <c r="O1061" s="195"/>
      <c r="P1061" s="195"/>
      <c r="Q1061" s="195"/>
      <c r="R1061" s="195"/>
    </row>
    <row r="1062" spans="1:18" s="18" customFormat="1" ht="52.5" hidden="1" customHeight="1">
      <c r="A1062" s="82" t="s">
        <v>708</v>
      </c>
      <c r="B1062" s="84" t="s">
        <v>92</v>
      </c>
      <c r="C1062" s="84" t="s">
        <v>25</v>
      </c>
      <c r="D1062" s="84" t="s">
        <v>27</v>
      </c>
      <c r="E1062" s="84" t="s">
        <v>709</v>
      </c>
      <c r="F1062" s="84"/>
      <c r="G1062" s="87">
        <f>G1063</f>
        <v>0</v>
      </c>
      <c r="H1062" s="87">
        <f t="shared" ref="H1062:I1062" si="261">H1063</f>
        <v>0</v>
      </c>
      <c r="I1062" s="87">
        <f t="shared" si="261"/>
        <v>0</v>
      </c>
      <c r="J1062" s="173"/>
      <c r="K1062" s="195"/>
      <c r="L1062" s="195"/>
      <c r="M1062" s="195"/>
      <c r="N1062" s="195"/>
      <c r="O1062" s="195"/>
      <c r="P1062" s="195"/>
      <c r="Q1062" s="195"/>
      <c r="R1062" s="195"/>
    </row>
    <row r="1063" spans="1:18" s="18" customFormat="1" ht="26.4" hidden="1">
      <c r="A1063" s="82" t="s">
        <v>94</v>
      </c>
      <c r="B1063" s="84" t="s">
        <v>92</v>
      </c>
      <c r="C1063" s="84" t="s">
        <v>25</v>
      </c>
      <c r="D1063" s="84" t="s">
        <v>27</v>
      </c>
      <c r="E1063" s="84" t="s">
        <v>709</v>
      </c>
      <c r="F1063" s="84" t="s">
        <v>338</v>
      </c>
      <c r="G1063" s="87">
        <f>G1064</f>
        <v>0</v>
      </c>
      <c r="H1063" s="87">
        <f t="shared" ref="H1063:I1063" si="262">H1064</f>
        <v>0</v>
      </c>
      <c r="I1063" s="87">
        <f t="shared" si="262"/>
        <v>0</v>
      </c>
      <c r="J1063" s="173"/>
      <c r="K1063" s="195"/>
      <c r="L1063" s="195"/>
      <c r="M1063" s="195"/>
      <c r="N1063" s="195"/>
      <c r="O1063" s="195"/>
      <c r="P1063" s="195"/>
      <c r="Q1063" s="195"/>
      <c r="R1063" s="195"/>
    </row>
    <row r="1064" spans="1:18" s="18" customFormat="1" ht="92.4" hidden="1">
      <c r="A1064" s="130" t="s">
        <v>407</v>
      </c>
      <c r="B1064" s="84" t="s">
        <v>92</v>
      </c>
      <c r="C1064" s="84" t="s">
        <v>25</v>
      </c>
      <c r="D1064" s="84" t="s">
        <v>27</v>
      </c>
      <c r="E1064" s="84" t="s">
        <v>709</v>
      </c>
      <c r="F1064" s="84" t="s">
        <v>406</v>
      </c>
      <c r="G1064" s="87"/>
      <c r="H1064" s="87"/>
      <c r="I1064" s="87"/>
      <c r="J1064" s="173"/>
      <c r="K1064" s="195"/>
      <c r="L1064" s="195"/>
      <c r="M1064" s="195"/>
      <c r="N1064" s="195"/>
      <c r="O1064" s="195"/>
      <c r="P1064" s="195"/>
      <c r="Q1064" s="195"/>
      <c r="R1064" s="195"/>
    </row>
    <row r="1065" spans="1:18" s="18" customFormat="1" ht="52.8" hidden="1">
      <c r="A1065" s="82" t="s">
        <v>486</v>
      </c>
      <c r="B1065" s="84" t="s">
        <v>92</v>
      </c>
      <c r="C1065" s="84" t="s">
        <v>25</v>
      </c>
      <c r="D1065" s="84" t="s">
        <v>27</v>
      </c>
      <c r="E1065" s="84" t="s">
        <v>208</v>
      </c>
      <c r="F1065" s="84"/>
      <c r="G1065" s="87">
        <f>G1066</f>
        <v>0</v>
      </c>
      <c r="H1065" s="87">
        <f>H1066+H1069</f>
        <v>0</v>
      </c>
      <c r="I1065" s="87">
        <f t="shared" ref="H1065:I1067" si="263">I1066</f>
        <v>0</v>
      </c>
      <c r="J1065" s="173"/>
      <c r="K1065" s="195"/>
      <c r="L1065" s="195"/>
      <c r="M1065" s="195"/>
      <c r="N1065" s="195"/>
      <c r="O1065" s="195"/>
      <c r="P1065" s="195"/>
      <c r="Q1065" s="195"/>
      <c r="R1065" s="195"/>
    </row>
    <row r="1066" spans="1:18" s="18" customFormat="1" ht="26.4" hidden="1">
      <c r="A1066" s="82" t="s">
        <v>478</v>
      </c>
      <c r="B1066" s="84" t="s">
        <v>92</v>
      </c>
      <c r="C1066" s="84" t="s">
        <v>25</v>
      </c>
      <c r="D1066" s="84" t="s">
        <v>27</v>
      </c>
      <c r="E1066" s="84" t="s">
        <v>477</v>
      </c>
      <c r="F1066" s="84"/>
      <c r="G1066" s="87">
        <f>G1067</f>
        <v>0</v>
      </c>
      <c r="H1066" s="87">
        <f t="shared" si="263"/>
        <v>0</v>
      </c>
      <c r="I1066" s="87">
        <f t="shared" si="263"/>
        <v>0</v>
      </c>
      <c r="J1066" s="173"/>
      <c r="K1066" s="195"/>
      <c r="L1066" s="195"/>
      <c r="M1066" s="195"/>
      <c r="N1066" s="195"/>
      <c r="O1066" s="195"/>
      <c r="P1066" s="195"/>
      <c r="Q1066" s="195"/>
      <c r="R1066" s="195"/>
    </row>
    <row r="1067" spans="1:18" s="18" customFormat="1" ht="36" hidden="1" customHeight="1">
      <c r="A1067" s="82" t="s">
        <v>94</v>
      </c>
      <c r="B1067" s="84" t="s">
        <v>92</v>
      </c>
      <c r="C1067" s="84" t="s">
        <v>25</v>
      </c>
      <c r="D1067" s="84" t="s">
        <v>27</v>
      </c>
      <c r="E1067" s="84" t="s">
        <v>477</v>
      </c>
      <c r="F1067" s="84" t="s">
        <v>338</v>
      </c>
      <c r="G1067" s="87">
        <f>G1068</f>
        <v>0</v>
      </c>
      <c r="H1067" s="87">
        <f t="shared" si="263"/>
        <v>0</v>
      </c>
      <c r="I1067" s="87">
        <f t="shared" si="263"/>
        <v>0</v>
      </c>
      <c r="J1067" s="173"/>
      <c r="K1067" s="195"/>
      <c r="L1067" s="195"/>
      <c r="M1067" s="195"/>
      <c r="N1067" s="195"/>
      <c r="O1067" s="195"/>
      <c r="P1067" s="195"/>
      <c r="Q1067" s="195"/>
      <c r="R1067" s="195"/>
    </row>
    <row r="1068" spans="1:18" s="18" customFormat="1" ht="99" hidden="1" customHeight="1">
      <c r="A1068" s="130" t="s">
        <v>407</v>
      </c>
      <c r="B1068" s="84" t="s">
        <v>92</v>
      </c>
      <c r="C1068" s="84" t="s">
        <v>25</v>
      </c>
      <c r="D1068" s="84" t="s">
        <v>27</v>
      </c>
      <c r="E1068" s="84" t="s">
        <v>477</v>
      </c>
      <c r="F1068" s="84" t="s">
        <v>406</v>
      </c>
      <c r="G1068" s="87">
        <v>0</v>
      </c>
      <c r="H1068" s="87"/>
      <c r="I1068" s="87">
        <v>0</v>
      </c>
      <c r="J1068" s="173"/>
      <c r="K1068" s="195"/>
      <c r="L1068" s="195"/>
      <c r="M1068" s="195"/>
      <c r="N1068" s="195"/>
      <c r="O1068" s="195"/>
      <c r="P1068" s="195"/>
      <c r="Q1068" s="195"/>
      <c r="R1068" s="195"/>
    </row>
    <row r="1069" spans="1:18" s="18" customFormat="1" ht="26.4" hidden="1">
      <c r="A1069" s="82" t="s">
        <v>480</v>
      </c>
      <c r="B1069" s="84" t="s">
        <v>92</v>
      </c>
      <c r="C1069" s="84" t="s">
        <v>25</v>
      </c>
      <c r="D1069" s="84" t="s">
        <v>27</v>
      </c>
      <c r="E1069" s="84" t="s">
        <v>479</v>
      </c>
      <c r="F1069" s="84"/>
      <c r="G1069" s="87">
        <f>G1070</f>
        <v>0</v>
      </c>
      <c r="H1069" s="87">
        <f t="shared" ref="H1069:I1070" si="264">H1070</f>
        <v>0</v>
      </c>
      <c r="I1069" s="87">
        <f t="shared" si="264"/>
        <v>0</v>
      </c>
      <c r="J1069" s="173"/>
      <c r="K1069" s="195"/>
      <c r="L1069" s="195"/>
      <c r="M1069" s="195"/>
      <c r="N1069" s="195"/>
      <c r="O1069" s="195"/>
      <c r="P1069" s="195"/>
      <c r="Q1069" s="195"/>
      <c r="R1069" s="195"/>
    </row>
    <row r="1070" spans="1:18" s="18" customFormat="1" ht="36" hidden="1" customHeight="1">
      <c r="A1070" s="82" t="s">
        <v>94</v>
      </c>
      <c r="B1070" s="84" t="s">
        <v>92</v>
      </c>
      <c r="C1070" s="84" t="s">
        <v>25</v>
      </c>
      <c r="D1070" s="84" t="s">
        <v>27</v>
      </c>
      <c r="E1070" s="84" t="s">
        <v>479</v>
      </c>
      <c r="F1070" s="84" t="s">
        <v>338</v>
      </c>
      <c r="G1070" s="87">
        <f>G1071</f>
        <v>0</v>
      </c>
      <c r="H1070" s="87">
        <f t="shared" si="264"/>
        <v>0</v>
      </c>
      <c r="I1070" s="87">
        <f t="shared" si="264"/>
        <v>0</v>
      </c>
      <c r="J1070" s="173"/>
      <c r="K1070" s="195"/>
      <c r="L1070" s="195"/>
      <c r="M1070" s="195"/>
      <c r="N1070" s="195"/>
      <c r="O1070" s="195"/>
      <c r="P1070" s="195"/>
      <c r="Q1070" s="195"/>
      <c r="R1070" s="195"/>
    </row>
    <row r="1071" spans="1:18" s="18" customFormat="1" ht="99" hidden="1" customHeight="1">
      <c r="A1071" s="130" t="s">
        <v>407</v>
      </c>
      <c r="B1071" s="84" t="s">
        <v>92</v>
      </c>
      <c r="C1071" s="84" t="s">
        <v>25</v>
      </c>
      <c r="D1071" s="84" t="s">
        <v>27</v>
      </c>
      <c r="E1071" s="84" t="s">
        <v>479</v>
      </c>
      <c r="F1071" s="84" t="s">
        <v>406</v>
      </c>
      <c r="G1071" s="87">
        <v>0</v>
      </c>
      <c r="H1071" s="87"/>
      <c r="I1071" s="87">
        <v>0</v>
      </c>
      <c r="J1071" s="173"/>
      <c r="K1071" s="195"/>
      <c r="L1071" s="195"/>
      <c r="M1071" s="195"/>
      <c r="N1071" s="195"/>
      <c r="O1071" s="195"/>
      <c r="P1071" s="195"/>
      <c r="Q1071" s="195"/>
      <c r="R1071" s="195"/>
    </row>
    <row r="1072" spans="1:18" s="76" customFormat="1" ht="24.75" hidden="1" customHeight="1">
      <c r="A1072" s="136" t="s">
        <v>163</v>
      </c>
      <c r="B1072" s="84" t="s">
        <v>92</v>
      </c>
      <c r="C1072" s="84" t="s">
        <v>25</v>
      </c>
      <c r="D1072" s="84" t="s">
        <v>27</v>
      </c>
      <c r="E1072" s="84" t="s">
        <v>228</v>
      </c>
      <c r="F1072" s="155"/>
      <c r="G1072" s="87">
        <f>G1073</f>
        <v>0</v>
      </c>
      <c r="H1072" s="87">
        <v>0</v>
      </c>
      <c r="I1072" s="87">
        <v>0</v>
      </c>
      <c r="J1072" s="173"/>
      <c r="K1072" s="209"/>
      <c r="L1072" s="210"/>
      <c r="M1072" s="210"/>
      <c r="N1072" s="210"/>
      <c r="O1072" s="210"/>
      <c r="P1072" s="210"/>
      <c r="Q1072" s="210"/>
      <c r="R1072" s="210"/>
    </row>
    <row r="1073" spans="1:18" ht="26.4" hidden="1">
      <c r="A1073" s="136" t="s">
        <v>163</v>
      </c>
      <c r="B1073" s="84" t="s">
        <v>92</v>
      </c>
      <c r="C1073" s="84" t="s">
        <v>25</v>
      </c>
      <c r="D1073" s="84" t="s">
        <v>27</v>
      </c>
      <c r="E1073" s="84" t="s">
        <v>270</v>
      </c>
      <c r="F1073" s="145"/>
      <c r="G1073" s="87">
        <f>G1074</f>
        <v>0</v>
      </c>
      <c r="H1073" s="87">
        <v>0</v>
      </c>
      <c r="I1073" s="87">
        <v>0</v>
      </c>
      <c r="J1073" s="173"/>
      <c r="K1073" s="204"/>
    </row>
    <row r="1074" spans="1:18" hidden="1">
      <c r="A1074" s="82" t="s">
        <v>62</v>
      </c>
      <c r="B1074" s="84" t="s">
        <v>92</v>
      </c>
      <c r="C1074" s="84" t="s">
        <v>25</v>
      </c>
      <c r="D1074" s="84" t="s">
        <v>27</v>
      </c>
      <c r="E1074" s="84" t="s">
        <v>270</v>
      </c>
      <c r="F1074" s="84" t="s">
        <v>30</v>
      </c>
      <c r="G1074" s="87">
        <f>G1075</f>
        <v>0</v>
      </c>
      <c r="H1074" s="87">
        <f>H1075</f>
        <v>0</v>
      </c>
      <c r="I1074" s="87">
        <f>I1075</f>
        <v>0</v>
      </c>
      <c r="J1074" s="173"/>
      <c r="K1074" s="204"/>
    </row>
    <row r="1075" spans="1:18" ht="19.5" hidden="1" customHeight="1">
      <c r="A1075" s="82" t="s">
        <v>174</v>
      </c>
      <c r="B1075" s="84" t="s">
        <v>92</v>
      </c>
      <c r="C1075" s="84" t="s">
        <v>25</v>
      </c>
      <c r="D1075" s="84" t="s">
        <v>27</v>
      </c>
      <c r="E1075" s="84" t="s">
        <v>270</v>
      </c>
      <c r="F1075" s="84" t="s">
        <v>32</v>
      </c>
      <c r="G1075" s="87"/>
      <c r="H1075" s="87">
        <f>прил4!H309</f>
        <v>0</v>
      </c>
      <c r="I1075" s="87">
        <f>прил4!I309</f>
        <v>0</v>
      </c>
      <c r="J1075" s="173"/>
      <c r="K1075" s="204"/>
    </row>
    <row r="1076" spans="1:18" ht="30" hidden="1" customHeight="1">
      <c r="A1076" s="82" t="s">
        <v>326</v>
      </c>
      <c r="B1076" s="84" t="s">
        <v>92</v>
      </c>
      <c r="C1076" s="84" t="s">
        <v>25</v>
      </c>
      <c r="D1076" s="84" t="s">
        <v>27</v>
      </c>
      <c r="E1076" s="84" t="s">
        <v>205</v>
      </c>
      <c r="F1076" s="84"/>
      <c r="G1076" s="87">
        <f>G1077</f>
        <v>0</v>
      </c>
      <c r="H1076" s="87"/>
      <c r="I1076" s="87"/>
      <c r="J1076" s="173"/>
      <c r="K1076" s="204"/>
    </row>
    <row r="1077" spans="1:18" ht="29.25" hidden="1" customHeight="1">
      <c r="A1077" s="82" t="s">
        <v>29</v>
      </c>
      <c r="B1077" s="84" t="s">
        <v>92</v>
      </c>
      <c r="C1077" s="84" t="s">
        <v>25</v>
      </c>
      <c r="D1077" s="84" t="s">
        <v>27</v>
      </c>
      <c r="E1077" s="84" t="s">
        <v>205</v>
      </c>
      <c r="F1077" s="84" t="s">
        <v>30</v>
      </c>
      <c r="G1077" s="87">
        <f>G1078</f>
        <v>0</v>
      </c>
      <c r="H1077" s="87"/>
      <c r="I1077" s="87"/>
      <c r="J1077" s="173"/>
      <c r="K1077" s="204"/>
    </row>
    <row r="1078" spans="1:18" ht="19.5" hidden="1" customHeight="1">
      <c r="A1078" s="82" t="s">
        <v>31</v>
      </c>
      <c r="B1078" s="84" t="s">
        <v>92</v>
      </c>
      <c r="C1078" s="84" t="s">
        <v>25</v>
      </c>
      <c r="D1078" s="84" t="s">
        <v>27</v>
      </c>
      <c r="E1078" s="84" t="s">
        <v>205</v>
      </c>
      <c r="F1078" s="84" t="s">
        <v>32</v>
      </c>
      <c r="G1078" s="87"/>
      <c r="H1078" s="87"/>
      <c r="I1078" s="87"/>
      <c r="J1078" s="173"/>
      <c r="K1078" s="204"/>
    </row>
    <row r="1079" spans="1:18" s="161" customFormat="1" ht="30.75" hidden="1" customHeight="1">
      <c r="A1079" s="136" t="s">
        <v>267</v>
      </c>
      <c r="B1079" s="84" t="s">
        <v>92</v>
      </c>
      <c r="C1079" s="84" t="s">
        <v>25</v>
      </c>
      <c r="D1079" s="84" t="s">
        <v>27</v>
      </c>
      <c r="E1079" s="84" t="s">
        <v>543</v>
      </c>
      <c r="F1079" s="84"/>
      <c r="G1079" s="87">
        <f>G1080</f>
        <v>0</v>
      </c>
      <c r="H1079" s="263">
        <v>0</v>
      </c>
      <c r="I1079" s="263">
        <v>0</v>
      </c>
      <c r="J1079" s="188"/>
      <c r="K1079" s="201"/>
      <c r="L1079" s="201"/>
      <c r="M1079" s="201"/>
      <c r="N1079" s="201"/>
      <c r="O1079" s="201"/>
      <c r="P1079" s="201"/>
      <c r="Q1079" s="201"/>
      <c r="R1079" s="201"/>
    </row>
    <row r="1080" spans="1:18" ht="30.75" hidden="1" customHeight="1">
      <c r="A1080" s="82" t="s">
        <v>267</v>
      </c>
      <c r="B1080" s="84" t="s">
        <v>92</v>
      </c>
      <c r="C1080" s="84" t="s">
        <v>25</v>
      </c>
      <c r="D1080" s="84" t="s">
        <v>27</v>
      </c>
      <c r="E1080" s="84" t="s">
        <v>544</v>
      </c>
      <c r="F1080" s="84"/>
      <c r="G1080" s="87">
        <f>G1087</f>
        <v>0</v>
      </c>
      <c r="H1080" s="87">
        <v>0</v>
      </c>
      <c r="I1080" s="87">
        <v>0</v>
      </c>
      <c r="J1080" s="173"/>
    </row>
    <row r="1081" spans="1:18" ht="30.75" hidden="1" customHeight="1">
      <c r="A1081" s="82" t="s">
        <v>35</v>
      </c>
      <c r="B1081" s="84" t="s">
        <v>92</v>
      </c>
      <c r="C1081" s="84" t="s">
        <v>25</v>
      </c>
      <c r="D1081" s="84" t="s">
        <v>27</v>
      </c>
      <c r="E1081" s="84" t="s">
        <v>544</v>
      </c>
      <c r="F1081" s="84" t="s">
        <v>36</v>
      </c>
      <c r="G1081" s="87">
        <f>G1082</f>
        <v>49000</v>
      </c>
      <c r="H1081" s="87">
        <v>0</v>
      </c>
      <c r="I1081" s="87">
        <v>0</v>
      </c>
      <c r="J1081" s="173"/>
    </row>
    <row r="1082" spans="1:18" ht="30.75" hidden="1" customHeight="1">
      <c r="A1082" s="82" t="s">
        <v>37</v>
      </c>
      <c r="B1082" s="84" t="s">
        <v>92</v>
      </c>
      <c r="C1082" s="84" t="s">
        <v>25</v>
      </c>
      <c r="D1082" s="84" t="s">
        <v>27</v>
      </c>
      <c r="E1082" s="84" t="s">
        <v>544</v>
      </c>
      <c r="F1082" s="84" t="s">
        <v>38</v>
      </c>
      <c r="G1082" s="87">
        <f>прил4!G1663</f>
        <v>49000</v>
      </c>
      <c r="H1082" s="87">
        <v>0</v>
      </c>
      <c r="I1082" s="87">
        <v>0</v>
      </c>
      <c r="J1082" s="173"/>
    </row>
    <row r="1083" spans="1:18" ht="23.25" hidden="1" customHeight="1">
      <c r="A1083" s="82" t="s">
        <v>144</v>
      </c>
      <c r="B1083" s="84" t="s">
        <v>92</v>
      </c>
      <c r="C1083" s="84" t="s">
        <v>25</v>
      </c>
      <c r="D1083" s="84" t="s">
        <v>27</v>
      </c>
      <c r="E1083" s="84" t="s">
        <v>544</v>
      </c>
      <c r="F1083" s="84" t="s">
        <v>145</v>
      </c>
      <c r="G1083" s="87">
        <f>G1084</f>
        <v>1004778.02</v>
      </c>
      <c r="H1083" s="87">
        <v>0</v>
      </c>
      <c r="I1083" s="87">
        <v>0</v>
      </c>
      <c r="J1083" s="173"/>
    </row>
    <row r="1084" spans="1:18" ht="30.75" hidden="1" customHeight="1">
      <c r="A1084" s="82" t="s">
        <v>146</v>
      </c>
      <c r="B1084" s="84" t="s">
        <v>92</v>
      </c>
      <c r="C1084" s="84" t="s">
        <v>25</v>
      </c>
      <c r="D1084" s="84" t="s">
        <v>27</v>
      </c>
      <c r="E1084" s="84" t="s">
        <v>544</v>
      </c>
      <c r="F1084" s="84" t="s">
        <v>147</v>
      </c>
      <c r="G1084" s="87">
        <f>прил4!G919</f>
        <v>1004778.02</v>
      </c>
      <c r="H1084" s="87">
        <v>0</v>
      </c>
      <c r="I1084" s="87">
        <v>0</v>
      </c>
      <c r="J1084" s="173"/>
    </row>
    <row r="1085" spans="1:18" ht="21.75" hidden="1" customHeight="1">
      <c r="A1085" s="82" t="s">
        <v>152</v>
      </c>
      <c r="B1085" s="84" t="s">
        <v>92</v>
      </c>
      <c r="C1085" s="84" t="s">
        <v>25</v>
      </c>
      <c r="D1085" s="84" t="s">
        <v>27</v>
      </c>
      <c r="E1085" s="84" t="s">
        <v>544</v>
      </c>
      <c r="F1085" s="84" t="s">
        <v>153</v>
      </c>
      <c r="G1085" s="87">
        <f>G1086</f>
        <v>0</v>
      </c>
      <c r="H1085" s="87">
        <v>0</v>
      </c>
      <c r="I1085" s="87">
        <v>0</v>
      </c>
      <c r="J1085" s="173"/>
    </row>
    <row r="1086" spans="1:18" ht="22.5" hidden="1" customHeight="1">
      <c r="A1086" s="82" t="s">
        <v>172</v>
      </c>
      <c r="B1086" s="84" t="s">
        <v>92</v>
      </c>
      <c r="C1086" s="84" t="s">
        <v>25</v>
      </c>
      <c r="D1086" s="84" t="s">
        <v>27</v>
      </c>
      <c r="E1086" s="84" t="s">
        <v>544</v>
      </c>
      <c r="F1086" s="84" t="s">
        <v>173</v>
      </c>
      <c r="G1086" s="87"/>
      <c r="H1086" s="87">
        <v>0</v>
      </c>
      <c r="I1086" s="87">
        <v>0</v>
      </c>
      <c r="J1086" s="173"/>
    </row>
    <row r="1087" spans="1:18" ht="26.4" hidden="1">
      <c r="A1087" s="82" t="s">
        <v>29</v>
      </c>
      <c r="B1087" s="84" t="s">
        <v>92</v>
      </c>
      <c r="C1087" s="84" t="s">
        <v>25</v>
      </c>
      <c r="D1087" s="84" t="s">
        <v>27</v>
      </c>
      <c r="E1087" s="84" t="s">
        <v>544</v>
      </c>
      <c r="F1087" s="84" t="s">
        <v>30</v>
      </c>
      <c r="G1087" s="85">
        <f t="shared" ref="G1087:I1087" si="265">G1088</f>
        <v>0</v>
      </c>
      <c r="H1087" s="85">
        <f t="shared" si="265"/>
        <v>0</v>
      </c>
      <c r="I1087" s="85">
        <f t="shared" si="265"/>
        <v>0</v>
      </c>
      <c r="J1087" s="174"/>
    </row>
    <row r="1088" spans="1:18" hidden="1">
      <c r="A1088" s="82" t="s">
        <v>31</v>
      </c>
      <c r="B1088" s="84" t="s">
        <v>92</v>
      </c>
      <c r="C1088" s="84" t="s">
        <v>25</v>
      </c>
      <c r="D1088" s="84" t="s">
        <v>27</v>
      </c>
      <c r="E1088" s="84" t="s">
        <v>544</v>
      </c>
      <c r="F1088" s="84" t="s">
        <v>32</v>
      </c>
      <c r="G1088" s="85"/>
      <c r="H1088" s="85"/>
      <c r="I1088" s="85"/>
      <c r="J1088" s="174"/>
    </row>
    <row r="1089" spans="1:18" s="161" customFormat="1" ht="30.75" hidden="1" customHeight="1">
      <c r="A1089" s="136" t="s">
        <v>163</v>
      </c>
      <c r="B1089" s="84" t="s">
        <v>92</v>
      </c>
      <c r="C1089" s="84" t="s">
        <v>25</v>
      </c>
      <c r="D1089" s="84" t="s">
        <v>27</v>
      </c>
      <c r="E1089" s="84" t="s">
        <v>228</v>
      </c>
      <c r="F1089" s="84"/>
      <c r="G1089" s="87">
        <f>G1090</f>
        <v>0</v>
      </c>
      <c r="H1089" s="263">
        <v>0</v>
      </c>
      <c r="I1089" s="263">
        <v>0</v>
      </c>
      <c r="J1089" s="188"/>
      <c r="K1089" s="201"/>
      <c r="L1089" s="201"/>
      <c r="M1089" s="201"/>
      <c r="N1089" s="201"/>
      <c r="O1089" s="201"/>
      <c r="P1089" s="201"/>
      <c r="Q1089" s="201"/>
      <c r="R1089" s="201"/>
    </row>
    <row r="1090" spans="1:18" ht="30.75" hidden="1" customHeight="1">
      <c r="A1090" s="82" t="s">
        <v>163</v>
      </c>
      <c r="B1090" s="84" t="s">
        <v>92</v>
      </c>
      <c r="C1090" s="84" t="s">
        <v>25</v>
      </c>
      <c r="D1090" s="84" t="s">
        <v>27</v>
      </c>
      <c r="E1090" s="84" t="s">
        <v>790</v>
      </c>
      <c r="F1090" s="84"/>
      <c r="G1090" s="87">
        <f>G1097</f>
        <v>0</v>
      </c>
      <c r="H1090" s="87">
        <v>0</v>
      </c>
      <c r="I1090" s="87">
        <v>0</v>
      </c>
      <c r="J1090" s="173"/>
    </row>
    <row r="1091" spans="1:18" ht="30.75" hidden="1" customHeight="1">
      <c r="A1091" s="82" t="s">
        <v>35</v>
      </c>
      <c r="B1091" s="84" t="s">
        <v>92</v>
      </c>
      <c r="C1091" s="84" t="s">
        <v>25</v>
      </c>
      <c r="D1091" s="84" t="s">
        <v>27</v>
      </c>
      <c r="E1091" s="84" t="s">
        <v>544</v>
      </c>
      <c r="F1091" s="84" t="s">
        <v>36</v>
      </c>
      <c r="G1091" s="87">
        <f>G1092</f>
        <v>11991339</v>
      </c>
      <c r="H1091" s="87">
        <v>0</v>
      </c>
      <c r="I1091" s="87">
        <v>0</v>
      </c>
      <c r="J1091" s="173"/>
    </row>
    <row r="1092" spans="1:18" ht="30.75" hidden="1" customHeight="1">
      <c r="A1092" s="82" t="s">
        <v>37</v>
      </c>
      <c r="B1092" s="84" t="s">
        <v>92</v>
      </c>
      <c r="C1092" s="84" t="s">
        <v>25</v>
      </c>
      <c r="D1092" s="84" t="s">
        <v>27</v>
      </c>
      <c r="E1092" s="84" t="s">
        <v>544</v>
      </c>
      <c r="F1092" s="84" t="s">
        <v>38</v>
      </c>
      <c r="G1092" s="87">
        <f>прил4!G1680</f>
        <v>11991339</v>
      </c>
      <c r="H1092" s="87">
        <v>0</v>
      </c>
      <c r="I1092" s="87">
        <v>0</v>
      </c>
      <c r="J1092" s="173"/>
    </row>
    <row r="1093" spans="1:18" ht="23.25" hidden="1" customHeight="1">
      <c r="A1093" s="82" t="s">
        <v>144</v>
      </c>
      <c r="B1093" s="84" t="s">
        <v>92</v>
      </c>
      <c r="C1093" s="84" t="s">
        <v>25</v>
      </c>
      <c r="D1093" s="84" t="s">
        <v>27</v>
      </c>
      <c r="E1093" s="84" t="s">
        <v>544</v>
      </c>
      <c r="F1093" s="84" t="s">
        <v>145</v>
      </c>
      <c r="G1093" s="87">
        <f>G1094</f>
        <v>0</v>
      </c>
      <c r="H1093" s="87">
        <v>0</v>
      </c>
      <c r="I1093" s="87">
        <v>0</v>
      </c>
      <c r="J1093" s="173"/>
    </row>
    <row r="1094" spans="1:18" ht="30.75" hidden="1" customHeight="1">
      <c r="A1094" s="82" t="s">
        <v>146</v>
      </c>
      <c r="B1094" s="84" t="s">
        <v>92</v>
      </c>
      <c r="C1094" s="84" t="s">
        <v>25</v>
      </c>
      <c r="D1094" s="84" t="s">
        <v>27</v>
      </c>
      <c r="E1094" s="84" t="s">
        <v>544</v>
      </c>
      <c r="F1094" s="84" t="s">
        <v>147</v>
      </c>
      <c r="G1094" s="87">
        <f>прил4!G929</f>
        <v>0</v>
      </c>
      <c r="H1094" s="87">
        <v>0</v>
      </c>
      <c r="I1094" s="87">
        <v>0</v>
      </c>
      <c r="J1094" s="173"/>
    </row>
    <row r="1095" spans="1:18" ht="21.75" hidden="1" customHeight="1">
      <c r="A1095" s="82" t="s">
        <v>152</v>
      </c>
      <c r="B1095" s="84" t="s">
        <v>92</v>
      </c>
      <c r="C1095" s="84" t="s">
        <v>25</v>
      </c>
      <c r="D1095" s="84" t="s">
        <v>27</v>
      </c>
      <c r="E1095" s="84" t="s">
        <v>544</v>
      </c>
      <c r="F1095" s="84" t="s">
        <v>153</v>
      </c>
      <c r="G1095" s="87">
        <f>G1096</f>
        <v>0</v>
      </c>
      <c r="H1095" s="87">
        <v>0</v>
      </c>
      <c r="I1095" s="87">
        <v>0</v>
      </c>
      <c r="J1095" s="173"/>
    </row>
    <row r="1096" spans="1:18" ht="22.5" hidden="1" customHeight="1">
      <c r="A1096" s="82" t="s">
        <v>172</v>
      </c>
      <c r="B1096" s="84" t="s">
        <v>92</v>
      </c>
      <c r="C1096" s="84" t="s">
        <v>25</v>
      </c>
      <c r="D1096" s="84" t="s">
        <v>27</v>
      </c>
      <c r="E1096" s="84" t="s">
        <v>544</v>
      </c>
      <c r="F1096" s="84" t="s">
        <v>173</v>
      </c>
      <c r="G1096" s="87"/>
      <c r="H1096" s="87">
        <v>0</v>
      </c>
      <c r="I1096" s="87">
        <v>0</v>
      </c>
      <c r="J1096" s="173"/>
    </row>
    <row r="1097" spans="1:18" ht="26.4" hidden="1">
      <c r="A1097" s="82" t="s">
        <v>29</v>
      </c>
      <c r="B1097" s="84" t="s">
        <v>92</v>
      </c>
      <c r="C1097" s="84" t="s">
        <v>25</v>
      </c>
      <c r="D1097" s="84" t="s">
        <v>27</v>
      </c>
      <c r="E1097" s="84" t="s">
        <v>790</v>
      </c>
      <c r="F1097" s="84" t="s">
        <v>30</v>
      </c>
      <c r="G1097" s="85">
        <f t="shared" ref="G1097:I1097" si="266">G1098</f>
        <v>0</v>
      </c>
      <c r="H1097" s="85">
        <f t="shared" si="266"/>
        <v>0</v>
      </c>
      <c r="I1097" s="85">
        <f t="shared" si="266"/>
        <v>0</v>
      </c>
      <c r="J1097" s="174"/>
    </row>
    <row r="1098" spans="1:18" hidden="1">
      <c r="A1098" s="82" t="s">
        <v>31</v>
      </c>
      <c r="B1098" s="84" t="s">
        <v>92</v>
      </c>
      <c r="C1098" s="84" t="s">
        <v>25</v>
      </c>
      <c r="D1098" s="84" t="s">
        <v>27</v>
      </c>
      <c r="E1098" s="84" t="s">
        <v>790</v>
      </c>
      <c r="F1098" s="84" t="s">
        <v>32</v>
      </c>
      <c r="G1098" s="85"/>
      <c r="H1098" s="85"/>
      <c r="I1098" s="85"/>
      <c r="J1098" s="174"/>
    </row>
    <row r="1099" spans="1:18" s="165" customFormat="1" ht="28.5" hidden="1" customHeight="1">
      <c r="A1099" s="136" t="s">
        <v>460</v>
      </c>
      <c r="B1099" s="84" t="s">
        <v>92</v>
      </c>
      <c r="C1099" s="84" t="s">
        <v>25</v>
      </c>
      <c r="D1099" s="84" t="s">
        <v>27</v>
      </c>
      <c r="E1099" s="84" t="s">
        <v>189</v>
      </c>
      <c r="F1099" s="84"/>
      <c r="G1099" s="87">
        <f>G1104</f>
        <v>0</v>
      </c>
      <c r="H1099" s="87">
        <f t="shared" ref="H1099:I1099" si="267">H1104</f>
        <v>0</v>
      </c>
      <c r="I1099" s="87">
        <f t="shared" si="267"/>
        <v>0</v>
      </c>
      <c r="J1099" s="173"/>
      <c r="K1099" s="199"/>
      <c r="L1099" s="199"/>
      <c r="M1099" s="199"/>
      <c r="N1099" s="199"/>
      <c r="O1099" s="199"/>
      <c r="P1099" s="199"/>
      <c r="Q1099" s="199"/>
      <c r="R1099" s="199"/>
    </row>
    <row r="1100" spans="1:18" s="165" customFormat="1" ht="27.75" hidden="1" customHeight="1">
      <c r="A1100" s="136" t="s">
        <v>72</v>
      </c>
      <c r="B1100" s="84" t="s">
        <v>92</v>
      </c>
      <c r="C1100" s="84" t="s">
        <v>25</v>
      </c>
      <c r="D1100" s="84" t="s">
        <v>27</v>
      </c>
      <c r="E1100" s="84" t="s">
        <v>200</v>
      </c>
      <c r="F1100" s="84"/>
      <c r="G1100" s="87">
        <f>G1101</f>
        <v>0</v>
      </c>
      <c r="H1100" s="87">
        <f t="shared" ref="H1100:I1100" si="268">H1101</f>
        <v>0</v>
      </c>
      <c r="I1100" s="87">
        <f t="shared" si="268"/>
        <v>0</v>
      </c>
      <c r="J1100" s="173"/>
      <c r="K1100" s="199"/>
      <c r="L1100" s="199"/>
      <c r="M1100" s="199"/>
      <c r="N1100" s="199"/>
      <c r="O1100" s="199"/>
      <c r="P1100" s="199"/>
      <c r="Q1100" s="199"/>
      <c r="R1100" s="199"/>
    </row>
    <row r="1101" spans="1:18" s="220" customFormat="1" ht="28.5" hidden="1" customHeight="1">
      <c r="A1101" s="82" t="s">
        <v>35</v>
      </c>
      <c r="B1101" s="84" t="s">
        <v>92</v>
      </c>
      <c r="C1101" s="84" t="s">
        <v>25</v>
      </c>
      <c r="D1101" s="84" t="s">
        <v>27</v>
      </c>
      <c r="E1101" s="84" t="s">
        <v>200</v>
      </c>
      <c r="F1101" s="84" t="s">
        <v>36</v>
      </c>
      <c r="G1101" s="87">
        <f>G1102</f>
        <v>0</v>
      </c>
      <c r="H1101" s="87">
        <f>H1102</f>
        <v>0</v>
      </c>
      <c r="I1101" s="87">
        <f>I1102</f>
        <v>0</v>
      </c>
      <c r="J1101" s="173"/>
      <c r="K1101" s="198"/>
      <c r="L1101" s="198"/>
      <c r="M1101" s="198"/>
      <c r="N1101" s="198"/>
      <c r="O1101" s="198"/>
      <c r="P1101" s="198"/>
      <c r="Q1101" s="198"/>
      <c r="R1101" s="198"/>
    </row>
    <row r="1102" spans="1:18" s="220" customFormat="1" hidden="1">
      <c r="A1102" s="82"/>
      <c r="B1102" s="84" t="s">
        <v>92</v>
      </c>
      <c r="C1102" s="84" t="s">
        <v>25</v>
      </c>
      <c r="D1102" s="84" t="s">
        <v>27</v>
      </c>
      <c r="E1102" s="84"/>
      <c r="F1102" s="84"/>
      <c r="G1102" s="87"/>
      <c r="H1102" s="87"/>
      <c r="I1102" s="87"/>
      <c r="J1102" s="173"/>
      <c r="K1102" s="200"/>
      <c r="L1102" s="198"/>
      <c r="M1102" s="198"/>
      <c r="N1102" s="198"/>
      <c r="O1102" s="198"/>
      <c r="P1102" s="198"/>
      <c r="Q1102" s="198"/>
      <c r="R1102" s="198"/>
    </row>
    <row r="1103" spans="1:18" s="220" customFormat="1" ht="39.6" hidden="1">
      <c r="A1103" s="82" t="s">
        <v>1137</v>
      </c>
      <c r="B1103" s="84" t="s">
        <v>92</v>
      </c>
      <c r="C1103" s="84" t="s">
        <v>25</v>
      </c>
      <c r="D1103" s="84" t="s">
        <v>27</v>
      </c>
      <c r="E1103" s="84" t="s">
        <v>189</v>
      </c>
      <c r="F1103" s="84"/>
      <c r="G1103" s="87">
        <f>G1104</f>
        <v>0</v>
      </c>
      <c r="H1103" s="87">
        <f t="shared" ref="H1103:I1103" si="269">H1104</f>
        <v>0</v>
      </c>
      <c r="I1103" s="87">
        <f t="shared" si="269"/>
        <v>0</v>
      </c>
      <c r="J1103" s="173"/>
      <c r="K1103" s="200"/>
      <c r="L1103" s="198"/>
      <c r="M1103" s="198"/>
      <c r="N1103" s="198"/>
      <c r="O1103" s="198"/>
      <c r="P1103" s="198"/>
      <c r="Q1103" s="198"/>
      <c r="R1103" s="198"/>
    </row>
    <row r="1104" spans="1:18" s="165" customFormat="1" ht="65.25" hidden="1" customHeight="1">
      <c r="A1104" s="136" t="s">
        <v>929</v>
      </c>
      <c r="B1104" s="84" t="s">
        <v>92</v>
      </c>
      <c r="C1104" s="84" t="s">
        <v>25</v>
      </c>
      <c r="D1104" s="84" t="s">
        <v>27</v>
      </c>
      <c r="E1104" s="84" t="s">
        <v>1327</v>
      </c>
      <c r="F1104" s="84"/>
      <c r="G1104" s="87">
        <f>G1105</f>
        <v>0</v>
      </c>
      <c r="H1104" s="87">
        <f t="shared" ref="H1104:I1104" si="270">H1105</f>
        <v>0</v>
      </c>
      <c r="I1104" s="87">
        <f t="shared" si="270"/>
        <v>0</v>
      </c>
      <c r="J1104" s="173"/>
      <c r="K1104" s="199"/>
      <c r="L1104" s="199"/>
      <c r="M1104" s="199"/>
      <c r="N1104" s="199"/>
      <c r="O1104" s="199"/>
      <c r="P1104" s="199"/>
      <c r="Q1104" s="199"/>
      <c r="R1104" s="199"/>
    </row>
    <row r="1105" spans="1:18" s="220" customFormat="1" ht="28.5" hidden="1" customHeight="1">
      <c r="A1105" s="82" t="s">
        <v>29</v>
      </c>
      <c r="B1105" s="84" t="s">
        <v>92</v>
      </c>
      <c r="C1105" s="84" t="s">
        <v>25</v>
      </c>
      <c r="D1105" s="84" t="s">
        <v>27</v>
      </c>
      <c r="E1105" s="84" t="s">
        <v>1327</v>
      </c>
      <c r="F1105" s="84" t="s">
        <v>30</v>
      </c>
      <c r="G1105" s="87">
        <f>G1106</f>
        <v>0</v>
      </c>
      <c r="H1105" s="87">
        <f>H1106</f>
        <v>0</v>
      </c>
      <c r="I1105" s="87">
        <f>I1106</f>
        <v>0</v>
      </c>
      <c r="J1105" s="173"/>
      <c r="K1105" s="198"/>
      <c r="L1105" s="198"/>
      <c r="M1105" s="198"/>
      <c r="N1105" s="198"/>
      <c r="O1105" s="198"/>
      <c r="P1105" s="198"/>
      <c r="Q1105" s="198"/>
      <c r="R1105" s="198"/>
    </row>
    <row r="1106" spans="1:18" s="220" customFormat="1" hidden="1">
      <c r="A1106" s="82" t="s">
        <v>31</v>
      </c>
      <c r="B1106" s="84" t="s">
        <v>92</v>
      </c>
      <c r="C1106" s="84" t="s">
        <v>25</v>
      </c>
      <c r="D1106" s="84" t="s">
        <v>27</v>
      </c>
      <c r="E1106" s="84" t="s">
        <v>1327</v>
      </c>
      <c r="F1106" s="84" t="s">
        <v>32</v>
      </c>
      <c r="G1106" s="87">
        <f>2500000-2500000</f>
        <v>0</v>
      </c>
      <c r="H1106" s="87">
        <v>0</v>
      </c>
      <c r="I1106" s="87">
        <v>0</v>
      </c>
      <c r="J1106" s="173"/>
      <c r="K1106" s="200"/>
      <c r="L1106" s="198"/>
      <c r="M1106" s="198"/>
      <c r="N1106" s="198"/>
      <c r="O1106" s="198"/>
      <c r="P1106" s="198"/>
      <c r="Q1106" s="198"/>
      <c r="R1106" s="198"/>
    </row>
    <row r="1107" spans="1:18" s="33" customFormat="1" ht="27" hidden="1" customHeight="1">
      <c r="A1107" s="82" t="s">
        <v>95</v>
      </c>
      <c r="B1107" s="145">
        <v>774</v>
      </c>
      <c r="C1107" s="84" t="s">
        <v>25</v>
      </c>
      <c r="D1107" s="84" t="s">
        <v>27</v>
      </c>
      <c r="E1107" s="145" t="s">
        <v>204</v>
      </c>
      <c r="F1107" s="84"/>
      <c r="G1107" s="87">
        <f>G1108+G1111</f>
        <v>0</v>
      </c>
      <c r="H1107" s="87">
        <f t="shared" ref="H1107:I1108" si="271">H1108</f>
        <v>0</v>
      </c>
      <c r="I1107" s="87">
        <f t="shared" si="271"/>
        <v>0</v>
      </c>
      <c r="J1107" s="173"/>
      <c r="K1107" s="206"/>
      <c r="L1107" s="206"/>
      <c r="M1107" s="206"/>
      <c r="N1107" s="206"/>
      <c r="O1107" s="206"/>
      <c r="P1107" s="206"/>
      <c r="Q1107" s="206"/>
      <c r="R1107" s="206"/>
    </row>
    <row r="1108" spans="1:18" ht="19.5" hidden="1" customHeight="1">
      <c r="A1108" s="82" t="s">
        <v>793</v>
      </c>
      <c r="B1108" s="145">
        <v>774</v>
      </c>
      <c r="C1108" s="84" t="s">
        <v>25</v>
      </c>
      <c r="D1108" s="84" t="s">
        <v>27</v>
      </c>
      <c r="E1108" s="84" t="s">
        <v>794</v>
      </c>
      <c r="F1108" s="84"/>
      <c r="G1108" s="87">
        <f>G1109</f>
        <v>0</v>
      </c>
      <c r="H1108" s="87">
        <f t="shared" si="271"/>
        <v>0</v>
      </c>
      <c r="I1108" s="87">
        <f t="shared" si="271"/>
        <v>0</v>
      </c>
      <c r="J1108" s="173"/>
    </row>
    <row r="1109" spans="1:18" ht="30.75" hidden="1" customHeight="1">
      <c r="A1109" s="82" t="s">
        <v>29</v>
      </c>
      <c r="B1109" s="145">
        <v>774</v>
      </c>
      <c r="C1109" s="84" t="s">
        <v>25</v>
      </c>
      <c r="D1109" s="84" t="s">
        <v>27</v>
      </c>
      <c r="E1109" s="84" t="s">
        <v>794</v>
      </c>
      <c r="F1109" s="84" t="s">
        <v>30</v>
      </c>
      <c r="G1109" s="87">
        <f>G1110</f>
        <v>0</v>
      </c>
      <c r="H1109" s="87">
        <f>H1110</f>
        <v>0</v>
      </c>
      <c r="I1109" s="87">
        <f>I1110</f>
        <v>0</v>
      </c>
      <c r="J1109" s="173"/>
    </row>
    <row r="1110" spans="1:18" ht="18.75" hidden="1" customHeight="1">
      <c r="A1110" s="82" t="s">
        <v>31</v>
      </c>
      <c r="B1110" s="145">
        <v>774</v>
      </c>
      <c r="C1110" s="84" t="s">
        <v>25</v>
      </c>
      <c r="D1110" s="84" t="s">
        <v>27</v>
      </c>
      <c r="E1110" s="84" t="s">
        <v>794</v>
      </c>
      <c r="F1110" s="84" t="s">
        <v>32</v>
      </c>
      <c r="G1110" s="87"/>
      <c r="H1110" s="87"/>
      <c r="I1110" s="87"/>
      <c r="J1110" s="173"/>
    </row>
    <row r="1111" spans="1:18" ht="19.5" hidden="1" customHeight="1">
      <c r="A1111" s="82" t="s">
        <v>986</v>
      </c>
      <c r="B1111" s="145">
        <v>774</v>
      </c>
      <c r="C1111" s="84" t="s">
        <v>25</v>
      </c>
      <c r="D1111" s="84" t="s">
        <v>27</v>
      </c>
      <c r="E1111" s="84" t="s">
        <v>987</v>
      </c>
      <c r="F1111" s="84"/>
      <c r="G1111" s="87">
        <f>G1112</f>
        <v>0</v>
      </c>
      <c r="H1111" s="87">
        <f t="shared" ref="H1111:I1111" si="272">H1112</f>
        <v>0</v>
      </c>
      <c r="I1111" s="87">
        <f t="shared" si="272"/>
        <v>0</v>
      </c>
      <c r="J1111" s="173"/>
    </row>
    <row r="1112" spans="1:18" ht="30.75" hidden="1" customHeight="1">
      <c r="A1112" s="82" t="s">
        <v>29</v>
      </c>
      <c r="B1112" s="145">
        <v>774</v>
      </c>
      <c r="C1112" s="84" t="s">
        <v>25</v>
      </c>
      <c r="D1112" s="84" t="s">
        <v>27</v>
      </c>
      <c r="E1112" s="84" t="s">
        <v>987</v>
      </c>
      <c r="F1112" s="84" t="s">
        <v>30</v>
      </c>
      <c r="G1112" s="87">
        <f>G1113</f>
        <v>0</v>
      </c>
      <c r="H1112" s="87">
        <f>H1113</f>
        <v>0</v>
      </c>
      <c r="I1112" s="87">
        <f>I1113</f>
        <v>0</v>
      </c>
      <c r="J1112" s="173"/>
    </row>
    <row r="1113" spans="1:18" ht="18.75" hidden="1" customHeight="1">
      <c r="A1113" s="82" t="s">
        <v>31</v>
      </c>
      <c r="B1113" s="145">
        <v>774</v>
      </c>
      <c r="C1113" s="84" t="s">
        <v>25</v>
      </c>
      <c r="D1113" s="84" t="s">
        <v>27</v>
      </c>
      <c r="E1113" s="84" t="s">
        <v>987</v>
      </c>
      <c r="F1113" s="84" t="s">
        <v>32</v>
      </c>
      <c r="G1113" s="87"/>
      <c r="H1113" s="87"/>
      <c r="I1113" s="87"/>
      <c r="J1113" s="173"/>
    </row>
    <row r="1114" spans="1:18" s="33" customFormat="1" ht="27" customHeight="1">
      <c r="A1114" s="82" t="s">
        <v>267</v>
      </c>
      <c r="B1114" s="145">
        <v>774</v>
      </c>
      <c r="C1114" s="84" t="s">
        <v>25</v>
      </c>
      <c r="D1114" s="84" t="s">
        <v>27</v>
      </c>
      <c r="E1114" s="145" t="s">
        <v>543</v>
      </c>
      <c r="F1114" s="84"/>
      <c r="G1114" s="87">
        <f>G1115</f>
        <v>1000000</v>
      </c>
      <c r="H1114" s="87">
        <f t="shared" ref="H1114:I1115" si="273">H1115</f>
        <v>0</v>
      </c>
      <c r="I1114" s="87">
        <f t="shared" si="273"/>
        <v>0</v>
      </c>
      <c r="J1114" s="173"/>
      <c r="K1114" s="206"/>
      <c r="L1114" s="206"/>
      <c r="M1114" s="206"/>
      <c r="N1114" s="206"/>
      <c r="O1114" s="206"/>
      <c r="P1114" s="206"/>
      <c r="Q1114" s="206"/>
      <c r="R1114" s="206"/>
    </row>
    <row r="1115" spans="1:18" ht="19.5" customHeight="1">
      <c r="A1115" s="82" t="s">
        <v>267</v>
      </c>
      <c r="B1115" s="145">
        <v>774</v>
      </c>
      <c r="C1115" s="84" t="s">
        <v>25</v>
      </c>
      <c r="D1115" s="84" t="s">
        <v>27</v>
      </c>
      <c r="E1115" s="84" t="s">
        <v>544</v>
      </c>
      <c r="F1115" s="84"/>
      <c r="G1115" s="87">
        <f>G1116</f>
        <v>1000000</v>
      </c>
      <c r="H1115" s="87">
        <f t="shared" si="273"/>
        <v>0</v>
      </c>
      <c r="I1115" s="87">
        <f t="shared" si="273"/>
        <v>0</v>
      </c>
      <c r="J1115" s="173"/>
    </row>
    <row r="1116" spans="1:18" ht="30.75" customHeight="1">
      <c r="A1116" s="82" t="s">
        <v>29</v>
      </c>
      <c r="B1116" s="145">
        <v>774</v>
      </c>
      <c r="C1116" s="84" t="s">
        <v>25</v>
      </c>
      <c r="D1116" s="84" t="s">
        <v>27</v>
      </c>
      <c r="E1116" s="84" t="s">
        <v>544</v>
      </c>
      <c r="F1116" s="84" t="s">
        <v>30</v>
      </c>
      <c r="G1116" s="87">
        <f>G1117</f>
        <v>1000000</v>
      </c>
      <c r="H1116" s="87">
        <f>H1117</f>
        <v>0</v>
      </c>
      <c r="I1116" s="87">
        <f>I1117</f>
        <v>0</v>
      </c>
      <c r="J1116" s="173"/>
    </row>
    <row r="1117" spans="1:18" ht="18.75" customHeight="1">
      <c r="A1117" s="82" t="s">
        <v>31</v>
      </c>
      <c r="B1117" s="145">
        <v>774</v>
      </c>
      <c r="C1117" s="84" t="s">
        <v>25</v>
      </c>
      <c r="D1117" s="84" t="s">
        <v>27</v>
      </c>
      <c r="E1117" s="84" t="s">
        <v>544</v>
      </c>
      <c r="F1117" s="84" t="s">
        <v>32</v>
      </c>
      <c r="G1117" s="87">
        <v>1000000</v>
      </c>
      <c r="H1117" s="87"/>
      <c r="I1117" s="87"/>
      <c r="J1117" s="173"/>
    </row>
    <row r="1118" spans="1:18" s="3" customFormat="1">
      <c r="A1118" s="82" t="s">
        <v>1278</v>
      </c>
      <c r="B1118" s="145">
        <v>774</v>
      </c>
      <c r="C1118" s="84" t="s">
        <v>25</v>
      </c>
      <c r="D1118" s="84" t="s">
        <v>27</v>
      </c>
      <c r="E1118" s="84" t="s">
        <v>228</v>
      </c>
      <c r="F1118" s="84"/>
      <c r="G1118" s="87">
        <f>G1119</f>
        <v>34521.85</v>
      </c>
      <c r="H1118" s="87">
        <v>0</v>
      </c>
      <c r="I1118" s="87">
        <v>0</v>
      </c>
      <c r="J1118" s="173"/>
      <c r="K1118" s="194"/>
      <c r="L1118" s="194"/>
      <c r="M1118" s="194"/>
      <c r="N1118" s="194"/>
      <c r="O1118" s="194"/>
      <c r="P1118" s="194"/>
      <c r="Q1118" s="194"/>
      <c r="R1118" s="194"/>
    </row>
    <row r="1119" spans="1:18" s="3" customFormat="1">
      <c r="A1119" s="82" t="s">
        <v>1278</v>
      </c>
      <c r="B1119" s="145">
        <v>774</v>
      </c>
      <c r="C1119" s="84" t="s">
        <v>25</v>
      </c>
      <c r="D1119" s="84" t="s">
        <v>27</v>
      </c>
      <c r="E1119" s="84" t="s">
        <v>270</v>
      </c>
      <c r="F1119" s="84"/>
      <c r="G1119" s="87">
        <f t="shared" ref="G1119:I1124" si="274">G1120</f>
        <v>34521.85</v>
      </c>
      <c r="H1119" s="87">
        <f t="shared" si="274"/>
        <v>0</v>
      </c>
      <c r="I1119" s="87">
        <f t="shared" si="274"/>
        <v>0</v>
      </c>
      <c r="J1119" s="173"/>
      <c r="K1119" s="194"/>
      <c r="L1119" s="194"/>
      <c r="M1119" s="194"/>
      <c r="N1119" s="194"/>
      <c r="O1119" s="194"/>
      <c r="P1119" s="194"/>
      <c r="Q1119" s="194"/>
      <c r="R1119" s="194"/>
    </row>
    <row r="1120" spans="1:18" s="3" customFormat="1" ht="26.4">
      <c r="A1120" s="82" t="s">
        <v>29</v>
      </c>
      <c r="B1120" s="145">
        <v>774</v>
      </c>
      <c r="C1120" s="84" t="s">
        <v>25</v>
      </c>
      <c r="D1120" s="84" t="s">
        <v>27</v>
      </c>
      <c r="E1120" s="84" t="s">
        <v>270</v>
      </c>
      <c r="F1120" s="84" t="s">
        <v>30</v>
      </c>
      <c r="G1120" s="87">
        <f t="shared" si="274"/>
        <v>34521.85</v>
      </c>
      <c r="H1120" s="87">
        <f t="shared" si="274"/>
        <v>0</v>
      </c>
      <c r="I1120" s="87">
        <f t="shared" si="274"/>
        <v>0</v>
      </c>
      <c r="J1120" s="173"/>
      <c r="K1120" s="194"/>
      <c r="L1120" s="194"/>
      <c r="M1120" s="194"/>
      <c r="N1120" s="194"/>
      <c r="O1120" s="194"/>
      <c r="P1120" s="194"/>
      <c r="Q1120" s="194"/>
      <c r="R1120" s="194"/>
    </row>
    <row r="1121" spans="1:18" s="3" customFormat="1">
      <c r="A1121" s="82" t="s">
        <v>31</v>
      </c>
      <c r="B1121" s="145">
        <v>774</v>
      </c>
      <c r="C1121" s="84" t="s">
        <v>25</v>
      </c>
      <c r="D1121" s="84" t="s">
        <v>27</v>
      </c>
      <c r="E1121" s="84" t="s">
        <v>270</v>
      </c>
      <c r="F1121" s="84" t="s">
        <v>32</v>
      </c>
      <c r="G1121" s="87">
        <v>34521.85</v>
      </c>
      <c r="H1121" s="87">
        <v>0</v>
      </c>
      <c r="I1121" s="87">
        <v>0</v>
      </c>
      <c r="J1121" s="173"/>
      <c r="K1121" s="194"/>
      <c r="L1121" s="194"/>
      <c r="M1121" s="194"/>
      <c r="N1121" s="194"/>
      <c r="O1121" s="194"/>
      <c r="P1121" s="194"/>
      <c r="Q1121" s="194"/>
      <c r="R1121" s="194"/>
    </row>
    <row r="1122" spans="1:18" s="3" customFormat="1">
      <c r="A1122" s="82" t="s">
        <v>1462</v>
      </c>
      <c r="B1122" s="145">
        <v>774</v>
      </c>
      <c r="C1122" s="84" t="s">
        <v>25</v>
      </c>
      <c r="D1122" s="84" t="s">
        <v>27</v>
      </c>
      <c r="E1122" s="84" t="s">
        <v>1461</v>
      </c>
      <c r="F1122" s="84"/>
      <c r="G1122" s="87">
        <f t="shared" si="274"/>
        <v>225098.28</v>
      </c>
      <c r="H1122" s="87">
        <f t="shared" si="274"/>
        <v>0</v>
      </c>
      <c r="I1122" s="87">
        <f t="shared" si="274"/>
        <v>0</v>
      </c>
      <c r="J1122" s="173"/>
      <c r="K1122" s="194"/>
      <c r="L1122" s="194"/>
      <c r="M1122" s="194"/>
      <c r="N1122" s="194"/>
      <c r="O1122" s="194"/>
      <c r="P1122" s="194"/>
      <c r="Q1122" s="194"/>
      <c r="R1122" s="194"/>
    </row>
    <row r="1123" spans="1:18" s="3" customFormat="1">
      <c r="A1123" s="82" t="s">
        <v>326</v>
      </c>
      <c r="B1123" s="145">
        <v>774</v>
      </c>
      <c r="C1123" s="84" t="s">
        <v>25</v>
      </c>
      <c r="D1123" s="84" t="s">
        <v>27</v>
      </c>
      <c r="E1123" s="84" t="s">
        <v>1463</v>
      </c>
      <c r="F1123" s="84"/>
      <c r="G1123" s="87">
        <f t="shared" si="274"/>
        <v>225098.28</v>
      </c>
      <c r="H1123" s="87">
        <f t="shared" si="274"/>
        <v>0</v>
      </c>
      <c r="I1123" s="87">
        <f t="shared" si="274"/>
        <v>0</v>
      </c>
      <c r="J1123" s="173"/>
      <c r="K1123" s="194"/>
      <c r="L1123" s="194"/>
      <c r="M1123" s="194"/>
      <c r="N1123" s="194"/>
      <c r="O1123" s="194"/>
      <c r="P1123" s="194"/>
      <c r="Q1123" s="194"/>
      <c r="R1123" s="194"/>
    </row>
    <row r="1124" spans="1:18" s="3" customFormat="1" ht="26.4">
      <c r="A1124" s="82" t="s">
        <v>29</v>
      </c>
      <c r="B1124" s="145">
        <v>774</v>
      </c>
      <c r="C1124" s="84" t="s">
        <v>25</v>
      </c>
      <c r="D1124" s="84" t="s">
        <v>27</v>
      </c>
      <c r="E1124" s="84" t="s">
        <v>1463</v>
      </c>
      <c r="F1124" s="84" t="s">
        <v>30</v>
      </c>
      <c r="G1124" s="87">
        <f t="shared" si="274"/>
        <v>225098.28</v>
      </c>
      <c r="H1124" s="87">
        <f t="shared" si="274"/>
        <v>0</v>
      </c>
      <c r="I1124" s="87">
        <f t="shared" si="274"/>
        <v>0</v>
      </c>
      <c r="J1124" s="173"/>
      <c r="K1124" s="194"/>
      <c r="L1124" s="194"/>
      <c r="M1124" s="194"/>
      <c r="N1124" s="194"/>
      <c r="O1124" s="194"/>
      <c r="P1124" s="194"/>
      <c r="Q1124" s="194"/>
      <c r="R1124" s="194"/>
    </row>
    <row r="1125" spans="1:18" s="3" customFormat="1">
      <c r="A1125" s="82" t="s">
        <v>31</v>
      </c>
      <c r="B1125" s="145">
        <v>774</v>
      </c>
      <c r="C1125" s="84" t="s">
        <v>25</v>
      </c>
      <c r="D1125" s="84" t="s">
        <v>27</v>
      </c>
      <c r="E1125" s="84" t="s">
        <v>1463</v>
      </c>
      <c r="F1125" s="84" t="s">
        <v>32</v>
      </c>
      <c r="G1125" s="87">
        <v>225098.28</v>
      </c>
      <c r="H1125" s="87">
        <v>0</v>
      </c>
      <c r="I1125" s="87">
        <v>0</v>
      </c>
      <c r="J1125" s="173"/>
      <c r="K1125" s="194"/>
      <c r="L1125" s="194"/>
      <c r="M1125" s="194"/>
      <c r="N1125" s="194"/>
      <c r="O1125" s="194"/>
      <c r="P1125" s="194"/>
      <c r="Q1125" s="194"/>
      <c r="R1125" s="194"/>
    </row>
    <row r="1126" spans="1:18" ht="18.75" customHeight="1">
      <c r="A1126" s="16" t="s">
        <v>93</v>
      </c>
      <c r="B1126" s="14">
        <v>774</v>
      </c>
      <c r="C1126" s="15" t="s">
        <v>25</v>
      </c>
      <c r="D1126" s="15" t="s">
        <v>69</v>
      </c>
      <c r="E1126" s="15"/>
      <c r="F1126" s="14"/>
      <c r="G1126" s="70">
        <f>G1127+G1134</f>
        <v>114493129.63000003</v>
      </c>
      <c r="H1126" s="70">
        <f>H1134+H1203+H1199+H1211+H1218+H1238+H1248+H1252</f>
        <v>111796799.94000003</v>
      </c>
      <c r="I1126" s="70">
        <f>I1134+I1203+I1199+I1211+I1218+I1238+I1248+I1252</f>
        <v>113435911.94000003</v>
      </c>
      <c r="J1126" s="172"/>
      <c r="K1126" s="69"/>
      <c r="L1126" s="69"/>
      <c r="M1126" s="69"/>
      <c r="N1126" s="69"/>
      <c r="O1126" s="69"/>
      <c r="P1126" s="69"/>
      <c r="Q1126" s="69"/>
      <c r="R1126" s="69"/>
    </row>
    <row r="1127" spans="1:18" ht="41.25" hidden="1" customHeight="1">
      <c r="A1127" s="16" t="s">
        <v>1129</v>
      </c>
      <c r="B1127" s="84" t="s">
        <v>92</v>
      </c>
      <c r="C1127" s="84" t="s">
        <v>25</v>
      </c>
      <c r="D1127" s="84" t="s">
        <v>69</v>
      </c>
      <c r="E1127" s="15" t="s">
        <v>257</v>
      </c>
      <c r="F1127" s="15"/>
      <c r="G1127" s="87">
        <f>G1128+G1158+G1131</f>
        <v>0</v>
      </c>
      <c r="H1127" s="70">
        <f t="shared" ref="H1127:I1132" si="275">H1128</f>
        <v>0</v>
      </c>
      <c r="I1127" s="70">
        <f t="shared" si="275"/>
        <v>0</v>
      </c>
      <c r="J1127" s="172"/>
      <c r="K1127" s="69"/>
      <c r="L1127" s="69"/>
      <c r="M1127" s="69"/>
      <c r="N1127" s="69"/>
      <c r="O1127" s="69"/>
      <c r="P1127" s="69"/>
      <c r="Q1127" s="69"/>
      <c r="R1127" s="69"/>
    </row>
    <row r="1128" spans="1:18" ht="44.25" hidden="1" customHeight="1">
      <c r="A1128" s="50" t="s">
        <v>1291</v>
      </c>
      <c r="B1128" s="84" t="s">
        <v>92</v>
      </c>
      <c r="C1128" s="84" t="s">
        <v>25</v>
      </c>
      <c r="D1128" s="84" t="s">
        <v>69</v>
      </c>
      <c r="E1128" s="15" t="s">
        <v>1290</v>
      </c>
      <c r="F1128" s="15"/>
      <c r="G1128" s="70">
        <f>G1129</f>
        <v>0</v>
      </c>
      <c r="H1128" s="70">
        <f>H1129</f>
        <v>0</v>
      </c>
      <c r="I1128" s="70">
        <f>I1129</f>
        <v>0</v>
      </c>
      <c r="J1128" s="172"/>
      <c r="K1128" s="69"/>
      <c r="L1128" s="69"/>
      <c r="M1128" s="69"/>
      <c r="N1128" s="69"/>
      <c r="O1128" s="69"/>
      <c r="P1128" s="69"/>
      <c r="Q1128" s="69"/>
      <c r="R1128" s="69"/>
    </row>
    <row r="1129" spans="1:18" ht="32.25" hidden="1" customHeight="1">
      <c r="A1129" s="82" t="s">
        <v>29</v>
      </c>
      <c r="B1129" s="84" t="s">
        <v>92</v>
      </c>
      <c r="C1129" s="84" t="s">
        <v>25</v>
      </c>
      <c r="D1129" s="84" t="s">
        <v>69</v>
      </c>
      <c r="E1129" s="15" t="s">
        <v>1290</v>
      </c>
      <c r="F1129" s="15" t="s">
        <v>30</v>
      </c>
      <c r="G1129" s="70">
        <f>G1130</f>
        <v>0</v>
      </c>
      <c r="H1129" s="70">
        <f t="shared" si="275"/>
        <v>0</v>
      </c>
      <c r="I1129" s="70">
        <f t="shared" si="275"/>
        <v>0</v>
      </c>
      <c r="J1129" s="172"/>
      <c r="K1129" s="69"/>
      <c r="L1129" s="69"/>
      <c r="M1129" s="69"/>
      <c r="N1129" s="69"/>
      <c r="O1129" s="69"/>
      <c r="P1129" s="69"/>
      <c r="Q1129" s="69"/>
      <c r="R1129" s="69"/>
    </row>
    <row r="1130" spans="1:18" ht="30.75" hidden="1" customHeight="1">
      <c r="A1130" s="82" t="s">
        <v>31</v>
      </c>
      <c r="B1130" s="84" t="s">
        <v>92</v>
      </c>
      <c r="C1130" s="84" t="s">
        <v>25</v>
      </c>
      <c r="D1130" s="84" t="s">
        <v>69</v>
      </c>
      <c r="E1130" s="15" t="s">
        <v>1290</v>
      </c>
      <c r="F1130" s="15" t="s">
        <v>32</v>
      </c>
      <c r="G1130" s="70">
        <f>1396668.36+598572+4994.04-2000234.4</f>
        <v>0</v>
      </c>
      <c r="H1130" s="70">
        <v>0</v>
      </c>
      <c r="I1130" s="70">
        <v>0</v>
      </c>
      <c r="J1130" s="172"/>
      <c r="K1130" s="69"/>
      <c r="L1130" s="69"/>
      <c r="M1130" s="69"/>
      <c r="N1130" s="69"/>
      <c r="O1130" s="69"/>
      <c r="P1130" s="69"/>
      <c r="Q1130" s="69"/>
      <c r="R1130" s="69"/>
    </row>
    <row r="1131" spans="1:18" ht="32.25" hidden="1" customHeight="1">
      <c r="A1131" s="50" t="s">
        <v>1338</v>
      </c>
      <c r="B1131" s="84" t="s">
        <v>92</v>
      </c>
      <c r="C1131" s="84" t="s">
        <v>25</v>
      </c>
      <c r="D1131" s="84" t="s">
        <v>69</v>
      </c>
      <c r="E1131" s="15" t="s">
        <v>1337</v>
      </c>
      <c r="F1131" s="15"/>
      <c r="G1131" s="70">
        <f>G1132</f>
        <v>0</v>
      </c>
      <c r="H1131" s="70">
        <f>H1132</f>
        <v>0</v>
      </c>
      <c r="I1131" s="70">
        <f>I1132</f>
        <v>0</v>
      </c>
      <c r="J1131" s="172"/>
      <c r="K1131" s="69"/>
      <c r="L1131" s="69"/>
      <c r="M1131" s="69"/>
      <c r="N1131" s="69"/>
      <c r="O1131" s="69"/>
      <c r="P1131" s="69"/>
      <c r="Q1131" s="69"/>
      <c r="R1131" s="69"/>
    </row>
    <row r="1132" spans="1:18" ht="32.25" hidden="1" customHeight="1">
      <c r="A1132" s="82" t="s">
        <v>29</v>
      </c>
      <c r="B1132" s="84" t="s">
        <v>92</v>
      </c>
      <c r="C1132" s="84" t="s">
        <v>25</v>
      </c>
      <c r="D1132" s="84" t="s">
        <v>69</v>
      </c>
      <c r="E1132" s="15" t="s">
        <v>1337</v>
      </c>
      <c r="F1132" s="15" t="s">
        <v>30</v>
      </c>
      <c r="G1132" s="70">
        <f>G1133</f>
        <v>0</v>
      </c>
      <c r="H1132" s="70">
        <f t="shared" si="275"/>
        <v>0</v>
      </c>
      <c r="I1132" s="70">
        <f t="shared" si="275"/>
        <v>0</v>
      </c>
      <c r="J1132" s="172"/>
      <c r="K1132" s="69"/>
      <c r="L1132" s="69"/>
      <c r="M1132" s="69"/>
      <c r="N1132" s="69"/>
      <c r="O1132" s="69"/>
      <c r="P1132" s="69"/>
      <c r="Q1132" s="69"/>
      <c r="R1132" s="69"/>
    </row>
    <row r="1133" spans="1:18" ht="30.75" hidden="1" customHeight="1">
      <c r="A1133" s="82" t="s">
        <v>31</v>
      </c>
      <c r="B1133" s="84" t="s">
        <v>92</v>
      </c>
      <c r="C1133" s="84" t="s">
        <v>25</v>
      </c>
      <c r="D1133" s="84" t="s">
        <v>69</v>
      </c>
      <c r="E1133" s="15" t="s">
        <v>1337</v>
      </c>
      <c r="F1133" s="15" t="s">
        <v>32</v>
      </c>
      <c r="G1133" s="70">
        <f>194529.71-194529.71</f>
        <v>0</v>
      </c>
      <c r="H1133" s="70">
        <v>0</v>
      </c>
      <c r="I1133" s="70">
        <v>0</v>
      </c>
      <c r="J1133" s="172"/>
      <c r="K1133" s="69"/>
      <c r="L1133" s="69"/>
      <c r="M1133" s="69"/>
      <c r="N1133" s="69"/>
      <c r="O1133" s="69"/>
      <c r="P1133" s="69"/>
      <c r="Q1133" s="69"/>
      <c r="R1133" s="69"/>
    </row>
    <row r="1134" spans="1:18" s="28" customFormat="1" ht="36" customHeight="1">
      <c r="A1134" s="16" t="s">
        <v>1133</v>
      </c>
      <c r="B1134" s="84" t="s">
        <v>92</v>
      </c>
      <c r="C1134" s="84" t="s">
        <v>25</v>
      </c>
      <c r="D1134" s="84" t="s">
        <v>69</v>
      </c>
      <c r="E1134" s="84" t="s">
        <v>183</v>
      </c>
      <c r="F1134" s="164"/>
      <c r="G1134" s="87">
        <f>G1135+G1195+G1176+G1157</f>
        <v>114493129.63000003</v>
      </c>
      <c r="H1134" s="87">
        <f>H1135+H1195+H1176+H1157</f>
        <v>111796799.94000003</v>
      </c>
      <c r="I1134" s="87">
        <f>I1135+I1195+I1176+I1157</f>
        <v>113435911.94000003</v>
      </c>
      <c r="J1134" s="173"/>
      <c r="K1134" s="199"/>
      <c r="L1134" s="199"/>
      <c r="M1134" s="199"/>
      <c r="N1134" s="199"/>
      <c r="O1134" s="199"/>
      <c r="P1134" s="199"/>
      <c r="Q1134" s="199"/>
      <c r="R1134" s="199"/>
    </row>
    <row r="1135" spans="1:18" ht="55.5" customHeight="1">
      <c r="A1135" s="82" t="s">
        <v>1172</v>
      </c>
      <c r="B1135" s="84" t="s">
        <v>92</v>
      </c>
      <c r="C1135" s="84" t="s">
        <v>25</v>
      </c>
      <c r="D1135" s="84" t="s">
        <v>69</v>
      </c>
      <c r="E1135" s="84" t="s">
        <v>209</v>
      </c>
      <c r="F1135" s="84"/>
      <c r="G1135" s="87">
        <f>G1139+G1145+G1136+G1163+G1154+G1160+G1151+G1148+G1170+G1173+G1144</f>
        <v>113633904.16000003</v>
      </c>
      <c r="H1135" s="87">
        <f>H1139+H1145+H1136+H1163+H1154+H1160+H1151+H1148+H1170+H1173+H1144</f>
        <v>111136799.94000003</v>
      </c>
      <c r="I1135" s="87">
        <f t="shared" ref="I1135" si="276">I1139+I1145+I1136+I1163+I1154+I1160+I1151+I1148+I1170+I1173+I1144</f>
        <v>112671362.19000003</v>
      </c>
      <c r="J1135" s="173"/>
    </row>
    <row r="1136" spans="1:18" ht="84.75" customHeight="1">
      <c r="A1136" s="104" t="s">
        <v>1053</v>
      </c>
      <c r="B1136" s="84" t="s">
        <v>92</v>
      </c>
      <c r="C1136" s="84" t="s">
        <v>25</v>
      </c>
      <c r="D1136" s="84" t="s">
        <v>69</v>
      </c>
      <c r="E1136" s="84" t="s">
        <v>867</v>
      </c>
      <c r="F1136" s="84"/>
      <c r="G1136" s="87">
        <f t="shared" ref="G1136:I1137" si="277">G1137</f>
        <v>3066762.54</v>
      </c>
      <c r="H1136" s="87">
        <f t="shared" si="277"/>
        <v>1748000</v>
      </c>
      <c r="I1136" s="87">
        <f t="shared" si="277"/>
        <v>1545280</v>
      </c>
      <c r="J1136" s="173"/>
    </row>
    <row r="1137" spans="1:18" s="18" customFormat="1" ht="26.4">
      <c r="A1137" s="82" t="s">
        <v>29</v>
      </c>
      <c r="B1137" s="84" t="s">
        <v>92</v>
      </c>
      <c r="C1137" s="84" t="s">
        <v>25</v>
      </c>
      <c r="D1137" s="84" t="s">
        <v>69</v>
      </c>
      <c r="E1137" s="84" t="s">
        <v>867</v>
      </c>
      <c r="F1137" s="84" t="s">
        <v>30</v>
      </c>
      <c r="G1137" s="87">
        <f t="shared" si="277"/>
        <v>3066762.54</v>
      </c>
      <c r="H1137" s="87">
        <f t="shared" si="277"/>
        <v>1748000</v>
      </c>
      <c r="I1137" s="87">
        <f t="shared" si="277"/>
        <v>1545280</v>
      </c>
      <c r="J1137" s="173"/>
      <c r="K1137" s="195"/>
      <c r="L1137" s="195"/>
      <c r="M1137" s="195"/>
      <c r="N1137" s="195"/>
      <c r="O1137" s="195"/>
      <c r="P1137" s="195"/>
      <c r="Q1137" s="195"/>
      <c r="R1137" s="195"/>
    </row>
    <row r="1138" spans="1:18" s="18" customFormat="1">
      <c r="A1138" s="82" t="s">
        <v>31</v>
      </c>
      <c r="B1138" s="84" t="s">
        <v>92</v>
      </c>
      <c r="C1138" s="84" t="s">
        <v>25</v>
      </c>
      <c r="D1138" s="84" t="s">
        <v>69</v>
      </c>
      <c r="E1138" s="84" t="s">
        <v>867</v>
      </c>
      <c r="F1138" s="84" t="s">
        <v>32</v>
      </c>
      <c r="G1138" s="87">
        <f>2178050.77+888711.77</f>
        <v>3066762.54</v>
      </c>
      <c r="H1138" s="87">
        <f>1941573.2-193573.2</f>
        <v>1748000</v>
      </c>
      <c r="I1138" s="87">
        <v>1545280</v>
      </c>
      <c r="J1138" s="173"/>
      <c r="K1138" s="195"/>
      <c r="L1138" s="195"/>
      <c r="M1138" s="195"/>
      <c r="N1138" s="195"/>
      <c r="O1138" s="195"/>
      <c r="P1138" s="195"/>
      <c r="Q1138" s="195"/>
      <c r="R1138" s="195"/>
    </row>
    <row r="1139" spans="1:18" s="18" customFormat="1" ht="15" customHeight="1">
      <c r="A1139" s="299" t="s">
        <v>1052</v>
      </c>
      <c r="B1139" s="84" t="s">
        <v>92</v>
      </c>
      <c r="C1139" s="84" t="s">
        <v>25</v>
      </c>
      <c r="D1139" s="84" t="s">
        <v>69</v>
      </c>
      <c r="E1139" s="84" t="s">
        <v>131</v>
      </c>
      <c r="F1139" s="84"/>
      <c r="G1139" s="87">
        <f t="shared" ref="G1139:I1155" si="278">G1140</f>
        <v>73975528.430000007</v>
      </c>
      <c r="H1139" s="87">
        <f t="shared" si="278"/>
        <v>74582183.430000007</v>
      </c>
      <c r="I1139" s="87">
        <f t="shared" si="278"/>
        <v>76316115.430000007</v>
      </c>
      <c r="J1139" s="173"/>
      <c r="K1139" s="195"/>
      <c r="L1139" s="195"/>
      <c r="M1139" s="195"/>
      <c r="N1139" s="195"/>
      <c r="O1139" s="195"/>
      <c r="P1139" s="195"/>
      <c r="Q1139" s="195"/>
      <c r="R1139" s="195"/>
    </row>
    <row r="1140" spans="1:18" s="18" customFormat="1" ht="26.4">
      <c r="A1140" s="82" t="s">
        <v>29</v>
      </c>
      <c r="B1140" s="84" t="s">
        <v>92</v>
      </c>
      <c r="C1140" s="84" t="s">
        <v>25</v>
      </c>
      <c r="D1140" s="84" t="s">
        <v>69</v>
      </c>
      <c r="E1140" s="84" t="s">
        <v>131</v>
      </c>
      <c r="F1140" s="84" t="s">
        <v>30</v>
      </c>
      <c r="G1140" s="87">
        <f>G1141</f>
        <v>73975528.430000007</v>
      </c>
      <c r="H1140" s="87">
        <f t="shared" si="278"/>
        <v>74582183.430000007</v>
      </c>
      <c r="I1140" s="87">
        <f t="shared" si="278"/>
        <v>76316115.430000007</v>
      </c>
      <c r="J1140" s="173"/>
      <c r="K1140" s="195"/>
      <c r="L1140" s="195"/>
      <c r="M1140" s="195"/>
      <c r="N1140" s="195"/>
      <c r="O1140" s="195"/>
      <c r="P1140" s="195"/>
      <c r="Q1140" s="195"/>
      <c r="R1140" s="195"/>
    </row>
    <row r="1141" spans="1:18" s="18" customFormat="1">
      <c r="A1141" s="82" t="s">
        <v>31</v>
      </c>
      <c r="B1141" s="84" t="s">
        <v>92</v>
      </c>
      <c r="C1141" s="84" t="s">
        <v>25</v>
      </c>
      <c r="D1141" s="84" t="s">
        <v>69</v>
      </c>
      <c r="E1141" s="84" t="s">
        <v>131</v>
      </c>
      <c r="F1141" s="84" t="s">
        <v>32</v>
      </c>
      <c r="G1141" s="70">
        <v>73975528.430000007</v>
      </c>
      <c r="H1141" s="70">
        <f>85809771-11227587.57</f>
        <v>74582183.430000007</v>
      </c>
      <c r="I1141" s="70">
        <f>87647683-11331567.57</f>
        <v>76316115.430000007</v>
      </c>
      <c r="J1141" s="415" t="s">
        <v>1170</v>
      </c>
      <c r="K1141" s="416"/>
      <c r="L1141" s="195" t="s">
        <v>1171</v>
      </c>
      <c r="M1141" s="195"/>
      <c r="N1141" s="195"/>
      <c r="O1141" s="195"/>
      <c r="P1141" s="195"/>
      <c r="Q1141" s="195"/>
      <c r="R1141" s="195"/>
    </row>
    <row r="1142" spans="1:18" s="18" customFormat="1" ht="53.25" customHeight="1">
      <c r="A1142" s="82" t="s">
        <v>609</v>
      </c>
      <c r="B1142" s="84" t="s">
        <v>92</v>
      </c>
      <c r="C1142" s="84" t="s">
        <v>25</v>
      </c>
      <c r="D1142" s="84" t="s">
        <v>69</v>
      </c>
      <c r="E1142" s="84" t="s">
        <v>608</v>
      </c>
      <c r="F1142" s="84"/>
      <c r="G1142" s="87">
        <f t="shared" ref="G1142:I1143" si="279">G1143</f>
        <v>11133889.57</v>
      </c>
      <c r="H1142" s="87">
        <f t="shared" si="279"/>
        <v>11227587.57</v>
      </c>
      <c r="I1142" s="87">
        <f t="shared" si="279"/>
        <v>11331567.57</v>
      </c>
      <c r="J1142" s="173"/>
      <c r="K1142" s="195"/>
      <c r="L1142" s="195"/>
      <c r="M1142" s="195"/>
      <c r="N1142" s="195"/>
      <c r="O1142" s="195"/>
      <c r="P1142" s="195"/>
      <c r="Q1142" s="208"/>
      <c r="R1142" s="195"/>
    </row>
    <row r="1143" spans="1:18" s="18" customFormat="1" ht="26.4">
      <c r="A1143" s="82" t="s">
        <v>29</v>
      </c>
      <c r="B1143" s="84" t="s">
        <v>92</v>
      </c>
      <c r="C1143" s="84" t="s">
        <v>25</v>
      </c>
      <c r="D1143" s="84" t="s">
        <v>69</v>
      </c>
      <c r="E1143" s="84" t="s">
        <v>608</v>
      </c>
      <c r="F1143" s="84" t="s">
        <v>30</v>
      </c>
      <c r="G1143" s="87">
        <f t="shared" si="279"/>
        <v>11133889.57</v>
      </c>
      <c r="H1143" s="87">
        <f t="shared" si="279"/>
        <v>11227587.57</v>
      </c>
      <c r="I1143" s="87">
        <f t="shared" si="279"/>
        <v>11331567.57</v>
      </c>
      <c r="J1143" s="173"/>
      <c r="K1143" s="195"/>
      <c r="L1143" s="195"/>
      <c r="M1143" s="195"/>
      <c r="N1143" s="195"/>
      <c r="O1143" s="195"/>
      <c r="P1143" s="195"/>
      <c r="Q1143" s="195"/>
      <c r="R1143" s="195"/>
    </row>
    <row r="1144" spans="1:18" s="18" customFormat="1">
      <c r="A1144" s="82" t="s">
        <v>31</v>
      </c>
      <c r="B1144" s="84" t="s">
        <v>92</v>
      </c>
      <c r="C1144" s="84" t="s">
        <v>25</v>
      </c>
      <c r="D1144" s="84" t="s">
        <v>69</v>
      </c>
      <c r="E1144" s="84" t="s">
        <v>608</v>
      </c>
      <c r="F1144" s="84" t="s">
        <v>32</v>
      </c>
      <c r="G1144" s="87">
        <v>11133889.57</v>
      </c>
      <c r="H1144" s="87">
        <v>11227587.57</v>
      </c>
      <c r="I1144" s="87">
        <v>11331567.57</v>
      </c>
      <c r="J1144" s="173"/>
      <c r="K1144" s="195"/>
      <c r="L1144" s="195"/>
      <c r="M1144" s="195"/>
      <c r="N1144" s="195"/>
      <c r="O1144" s="195"/>
      <c r="P1144" s="195"/>
      <c r="Q1144" s="195"/>
      <c r="R1144" s="195"/>
    </row>
    <row r="1145" spans="1:18" ht="26.4">
      <c r="A1145" s="82" t="s">
        <v>28</v>
      </c>
      <c r="B1145" s="84" t="s">
        <v>92</v>
      </c>
      <c r="C1145" s="84" t="s">
        <v>25</v>
      </c>
      <c r="D1145" s="84" t="s">
        <v>69</v>
      </c>
      <c r="E1145" s="84" t="s">
        <v>217</v>
      </c>
      <c r="F1145" s="84"/>
      <c r="G1145" s="87">
        <f t="shared" ref="G1145:I1146" si="280">G1146</f>
        <v>21513787.390000001</v>
      </c>
      <c r="H1145" s="87">
        <f t="shared" si="280"/>
        <v>19634116.510000002</v>
      </c>
      <c r="I1145" s="87">
        <f t="shared" si="280"/>
        <v>19529566.760000002</v>
      </c>
      <c r="J1145" s="173"/>
    </row>
    <row r="1146" spans="1:18" ht="26.4">
      <c r="A1146" s="82" t="s">
        <v>29</v>
      </c>
      <c r="B1146" s="84" t="s">
        <v>92</v>
      </c>
      <c r="C1146" s="84" t="s">
        <v>25</v>
      </c>
      <c r="D1146" s="84" t="s">
        <v>69</v>
      </c>
      <c r="E1146" s="84" t="s">
        <v>217</v>
      </c>
      <c r="F1146" s="84" t="s">
        <v>30</v>
      </c>
      <c r="G1146" s="87">
        <f t="shared" si="280"/>
        <v>21513787.390000001</v>
      </c>
      <c r="H1146" s="87">
        <f t="shared" si="280"/>
        <v>19634116.510000002</v>
      </c>
      <c r="I1146" s="87">
        <f t="shared" si="280"/>
        <v>19529566.760000002</v>
      </c>
      <c r="J1146" s="173"/>
    </row>
    <row r="1147" spans="1:18">
      <c r="A1147" s="82" t="s">
        <v>31</v>
      </c>
      <c r="B1147" s="84" t="s">
        <v>92</v>
      </c>
      <c r="C1147" s="84" t="s">
        <v>25</v>
      </c>
      <c r="D1147" s="84" t="s">
        <v>69</v>
      </c>
      <c r="E1147" s="84" t="s">
        <v>217</v>
      </c>
      <c r="F1147" s="84" t="s">
        <v>32</v>
      </c>
      <c r="G1147" s="70">
        <f>21113787.39+400000</f>
        <v>21513787.390000001</v>
      </c>
      <c r="H1147" s="87">
        <v>19634116.510000002</v>
      </c>
      <c r="I1147" s="87">
        <f>21029566.76-1500000</f>
        <v>19529566.760000002</v>
      </c>
      <c r="J1147" s="173"/>
    </row>
    <row r="1148" spans="1:18" s="18" customFormat="1">
      <c r="A1148" s="82" t="s">
        <v>816</v>
      </c>
      <c r="B1148" s="145">
        <v>774</v>
      </c>
      <c r="C1148" s="84" t="s">
        <v>25</v>
      </c>
      <c r="D1148" s="84" t="s">
        <v>69</v>
      </c>
      <c r="E1148" s="84" t="s">
        <v>834</v>
      </c>
      <c r="F1148" s="84"/>
      <c r="G1148" s="70">
        <f t="shared" ref="G1148:I1149" si="281">G1149</f>
        <v>120475.8</v>
      </c>
      <c r="H1148" s="87">
        <f t="shared" si="281"/>
        <v>57920</v>
      </c>
      <c r="I1148" s="87">
        <f t="shared" si="281"/>
        <v>57920</v>
      </c>
      <c r="J1148" s="173"/>
      <c r="K1148" s="195"/>
      <c r="L1148" s="195"/>
      <c r="M1148" s="195"/>
      <c r="N1148" s="195"/>
      <c r="O1148" s="195"/>
      <c r="P1148" s="195"/>
      <c r="Q1148" s="195"/>
      <c r="R1148" s="195"/>
    </row>
    <row r="1149" spans="1:18" s="18" customFormat="1" ht="26.4">
      <c r="A1149" s="82" t="s">
        <v>29</v>
      </c>
      <c r="B1149" s="145">
        <v>774</v>
      </c>
      <c r="C1149" s="84" t="s">
        <v>25</v>
      </c>
      <c r="D1149" s="84" t="s">
        <v>69</v>
      </c>
      <c r="E1149" s="84" t="s">
        <v>834</v>
      </c>
      <c r="F1149" s="84" t="s">
        <v>30</v>
      </c>
      <c r="G1149" s="70">
        <f t="shared" si="281"/>
        <v>120475.8</v>
      </c>
      <c r="H1149" s="87">
        <f t="shared" si="281"/>
        <v>57920</v>
      </c>
      <c r="I1149" s="87">
        <f t="shared" si="281"/>
        <v>57920</v>
      </c>
      <c r="J1149" s="173"/>
      <c r="K1149" s="195"/>
      <c r="L1149" s="195"/>
      <c r="M1149" s="195"/>
      <c r="N1149" s="195"/>
      <c r="O1149" s="195"/>
      <c r="P1149" s="195"/>
      <c r="Q1149" s="195"/>
      <c r="R1149" s="195"/>
    </row>
    <row r="1150" spans="1:18" s="18" customFormat="1">
      <c r="A1150" s="82" t="s">
        <v>31</v>
      </c>
      <c r="B1150" s="145">
        <v>774</v>
      </c>
      <c r="C1150" s="84" t="s">
        <v>25</v>
      </c>
      <c r="D1150" s="84" t="s">
        <v>69</v>
      </c>
      <c r="E1150" s="84" t="s">
        <v>834</v>
      </c>
      <c r="F1150" s="84" t="s">
        <v>32</v>
      </c>
      <c r="G1150" s="70">
        <v>120475.8</v>
      </c>
      <c r="H1150" s="87">
        <v>57920</v>
      </c>
      <c r="I1150" s="87">
        <v>57920</v>
      </c>
      <c r="J1150" s="173"/>
      <c r="K1150" s="195"/>
      <c r="L1150" s="195"/>
      <c r="M1150" s="195"/>
      <c r="N1150" s="195"/>
      <c r="O1150" s="195"/>
      <c r="P1150" s="195"/>
      <c r="Q1150" s="195"/>
      <c r="R1150" s="195"/>
    </row>
    <row r="1151" spans="1:18" s="3" customFormat="1" ht="26.4" hidden="1">
      <c r="A1151" s="82" t="s">
        <v>646</v>
      </c>
      <c r="B1151" s="145">
        <v>774</v>
      </c>
      <c r="C1151" s="84" t="s">
        <v>25</v>
      </c>
      <c r="D1151" s="84" t="s">
        <v>69</v>
      </c>
      <c r="E1151" s="84" t="s">
        <v>685</v>
      </c>
      <c r="F1151" s="84"/>
      <c r="G1151" s="70">
        <f t="shared" ref="G1151:I1152" si="282">G1152</f>
        <v>0</v>
      </c>
      <c r="H1151" s="87">
        <f t="shared" si="282"/>
        <v>0</v>
      </c>
      <c r="I1151" s="87">
        <f t="shared" si="282"/>
        <v>0</v>
      </c>
      <c r="J1151" s="173"/>
      <c r="K1151" s="194"/>
      <c r="L1151" s="194"/>
      <c r="M1151" s="194"/>
      <c r="N1151" s="194"/>
      <c r="O1151" s="194"/>
      <c r="P1151" s="194"/>
      <c r="Q1151" s="194"/>
      <c r="R1151" s="194"/>
    </row>
    <row r="1152" spans="1:18" s="3" customFormat="1" ht="26.4" hidden="1">
      <c r="A1152" s="82" t="s">
        <v>29</v>
      </c>
      <c r="B1152" s="145">
        <v>774</v>
      </c>
      <c r="C1152" s="84" t="s">
        <v>25</v>
      </c>
      <c r="D1152" s="84" t="s">
        <v>69</v>
      </c>
      <c r="E1152" s="84" t="s">
        <v>685</v>
      </c>
      <c r="F1152" s="84" t="s">
        <v>30</v>
      </c>
      <c r="G1152" s="70">
        <f t="shared" si="282"/>
        <v>0</v>
      </c>
      <c r="H1152" s="87">
        <f t="shared" si="282"/>
        <v>0</v>
      </c>
      <c r="I1152" s="87">
        <f t="shared" si="282"/>
        <v>0</v>
      </c>
      <c r="J1152" s="173"/>
      <c r="K1152" s="194"/>
      <c r="L1152" s="194"/>
      <c r="M1152" s="194"/>
      <c r="N1152" s="194"/>
      <c r="O1152" s="194"/>
      <c r="P1152" s="194"/>
      <c r="Q1152" s="194"/>
      <c r="R1152" s="194"/>
    </row>
    <row r="1153" spans="1:18" s="3" customFormat="1" hidden="1">
      <c r="A1153" s="82" t="s">
        <v>31</v>
      </c>
      <c r="B1153" s="145">
        <v>774</v>
      </c>
      <c r="C1153" s="84" t="s">
        <v>25</v>
      </c>
      <c r="D1153" s="84" t="s">
        <v>69</v>
      </c>
      <c r="E1153" s="84" t="s">
        <v>685</v>
      </c>
      <c r="F1153" s="84" t="s">
        <v>32</v>
      </c>
      <c r="G1153" s="70"/>
      <c r="H1153" s="87"/>
      <c r="I1153" s="87"/>
      <c r="J1153" s="173"/>
      <c r="K1153" s="194"/>
      <c r="L1153" s="194"/>
      <c r="M1153" s="194"/>
      <c r="N1153" s="194"/>
      <c r="O1153" s="194"/>
      <c r="P1153" s="194"/>
      <c r="Q1153" s="194"/>
      <c r="R1153" s="194"/>
    </row>
    <row r="1154" spans="1:18" s="18" customFormat="1" ht="53.25" hidden="1" customHeight="1">
      <c r="A1154" s="82" t="s">
        <v>609</v>
      </c>
      <c r="B1154" s="84" t="s">
        <v>92</v>
      </c>
      <c r="C1154" s="84" t="s">
        <v>25</v>
      </c>
      <c r="D1154" s="84" t="s">
        <v>69</v>
      </c>
      <c r="E1154" s="84" t="s">
        <v>608</v>
      </c>
      <c r="F1154" s="84"/>
      <c r="G1154" s="70">
        <f t="shared" si="278"/>
        <v>0</v>
      </c>
      <c r="H1154" s="87">
        <f t="shared" si="278"/>
        <v>0</v>
      </c>
      <c r="I1154" s="87">
        <f t="shared" si="278"/>
        <v>0</v>
      </c>
      <c r="J1154" s="173"/>
      <c r="K1154" s="195"/>
      <c r="L1154" s="195"/>
      <c r="M1154" s="195"/>
      <c r="N1154" s="195"/>
      <c r="O1154" s="195"/>
      <c r="P1154" s="195"/>
      <c r="Q1154" s="208"/>
      <c r="R1154" s="195"/>
    </row>
    <row r="1155" spans="1:18" s="18" customFormat="1" ht="26.4" hidden="1">
      <c r="A1155" s="82" t="s">
        <v>29</v>
      </c>
      <c r="B1155" s="84" t="s">
        <v>92</v>
      </c>
      <c r="C1155" s="84" t="s">
        <v>25</v>
      </c>
      <c r="D1155" s="84" t="s">
        <v>69</v>
      </c>
      <c r="E1155" s="84" t="s">
        <v>608</v>
      </c>
      <c r="F1155" s="84" t="s">
        <v>30</v>
      </c>
      <c r="G1155" s="70">
        <f t="shared" si="278"/>
        <v>0</v>
      </c>
      <c r="H1155" s="87">
        <f t="shared" si="278"/>
        <v>0</v>
      </c>
      <c r="I1155" s="87">
        <f t="shared" si="278"/>
        <v>0</v>
      </c>
      <c r="J1155" s="173"/>
      <c r="K1155" s="195"/>
      <c r="L1155" s="195"/>
      <c r="M1155" s="195"/>
      <c r="N1155" s="195"/>
      <c r="O1155" s="195"/>
      <c r="P1155" s="195"/>
      <c r="Q1155" s="195"/>
      <c r="R1155" s="195"/>
    </row>
    <row r="1156" spans="1:18" s="18" customFormat="1" hidden="1">
      <c r="A1156" s="82" t="s">
        <v>31</v>
      </c>
      <c r="B1156" s="84" t="s">
        <v>92</v>
      </c>
      <c r="C1156" s="84" t="s">
        <v>25</v>
      </c>
      <c r="D1156" s="84" t="s">
        <v>69</v>
      </c>
      <c r="E1156" s="84" t="s">
        <v>608</v>
      </c>
      <c r="F1156" s="84" t="s">
        <v>32</v>
      </c>
      <c r="G1156" s="70"/>
      <c r="H1156" s="87"/>
      <c r="I1156" s="87"/>
      <c r="J1156" s="173"/>
      <c r="K1156" s="195"/>
      <c r="L1156" s="195"/>
      <c r="M1156" s="195"/>
      <c r="N1156" s="195"/>
      <c r="O1156" s="195"/>
      <c r="P1156" s="195"/>
      <c r="Q1156" s="195"/>
      <c r="R1156" s="195"/>
    </row>
    <row r="1157" spans="1:18" ht="16.5" hidden="1" customHeight="1">
      <c r="A1157" s="82" t="s">
        <v>1</v>
      </c>
      <c r="B1157" s="145">
        <v>774</v>
      </c>
      <c r="C1157" s="84" t="s">
        <v>25</v>
      </c>
      <c r="D1157" s="84" t="s">
        <v>69</v>
      </c>
      <c r="E1157" s="84" t="s">
        <v>213</v>
      </c>
      <c r="F1157" s="84"/>
      <c r="G1157" s="70">
        <f t="shared" ref="G1157:I1158" si="283">G1158</f>
        <v>0</v>
      </c>
      <c r="H1157" s="87">
        <f t="shared" si="283"/>
        <v>0</v>
      </c>
      <c r="I1157" s="87">
        <f t="shared" si="283"/>
        <v>0</v>
      </c>
      <c r="J1157" s="173"/>
    </row>
    <row r="1158" spans="1:18" ht="26.4" hidden="1">
      <c r="A1158" s="82" t="s">
        <v>29</v>
      </c>
      <c r="B1158" s="145">
        <v>774</v>
      </c>
      <c r="C1158" s="84" t="s">
        <v>25</v>
      </c>
      <c r="D1158" s="84" t="s">
        <v>69</v>
      </c>
      <c r="E1158" s="84" t="s">
        <v>213</v>
      </c>
      <c r="F1158" s="84" t="s">
        <v>30</v>
      </c>
      <c r="G1158" s="70">
        <f t="shared" si="283"/>
        <v>0</v>
      </c>
      <c r="H1158" s="87">
        <f t="shared" si="283"/>
        <v>0</v>
      </c>
      <c r="I1158" s="87">
        <f t="shared" si="283"/>
        <v>0</v>
      </c>
      <c r="J1158" s="173"/>
    </row>
    <row r="1159" spans="1:18" ht="15" hidden="1" customHeight="1">
      <c r="A1159" s="82" t="s">
        <v>31</v>
      </c>
      <c r="B1159" s="145">
        <v>774</v>
      </c>
      <c r="C1159" s="84" t="s">
        <v>25</v>
      </c>
      <c r="D1159" s="84" t="s">
        <v>69</v>
      </c>
      <c r="E1159" s="84" t="s">
        <v>213</v>
      </c>
      <c r="F1159" s="84" t="s">
        <v>32</v>
      </c>
      <c r="G1159" s="70">
        <f>310000+29000-339000</f>
        <v>0</v>
      </c>
      <c r="H1159" s="87">
        <f>310000+29000-339000</f>
        <v>0</v>
      </c>
      <c r="I1159" s="87">
        <f>310000+29000-339000</f>
        <v>0</v>
      </c>
      <c r="J1159" s="173"/>
    </row>
    <row r="1160" spans="1:18" s="18" customFormat="1" ht="53.25" hidden="1" customHeight="1">
      <c r="A1160" s="82" t="s">
        <v>622</v>
      </c>
      <c r="B1160" s="84" t="s">
        <v>92</v>
      </c>
      <c r="C1160" s="84" t="s">
        <v>25</v>
      </c>
      <c r="D1160" s="84" t="s">
        <v>69</v>
      </c>
      <c r="E1160" s="84" t="s">
        <v>621</v>
      </c>
      <c r="F1160" s="84"/>
      <c r="G1160" s="70">
        <f t="shared" ref="G1160:I1161" si="284">G1161</f>
        <v>0</v>
      </c>
      <c r="H1160" s="87">
        <f t="shared" si="284"/>
        <v>0</v>
      </c>
      <c r="I1160" s="87">
        <f t="shared" si="284"/>
        <v>0</v>
      </c>
      <c r="J1160" s="173"/>
      <c r="K1160" s="195"/>
      <c r="L1160" s="195"/>
      <c r="M1160" s="195"/>
      <c r="N1160" s="195"/>
      <c r="O1160" s="195"/>
      <c r="P1160" s="195"/>
      <c r="Q1160" s="195"/>
      <c r="R1160" s="195"/>
    </row>
    <row r="1161" spans="1:18" s="18" customFormat="1" ht="26.4" hidden="1">
      <c r="A1161" s="82" t="s">
        <v>29</v>
      </c>
      <c r="B1161" s="84" t="s">
        <v>92</v>
      </c>
      <c r="C1161" s="84" t="s">
        <v>25</v>
      </c>
      <c r="D1161" s="84" t="s">
        <v>69</v>
      </c>
      <c r="E1161" s="84" t="s">
        <v>621</v>
      </c>
      <c r="F1161" s="84" t="s">
        <v>30</v>
      </c>
      <c r="G1161" s="70">
        <f t="shared" si="284"/>
        <v>0</v>
      </c>
      <c r="H1161" s="87">
        <f t="shared" si="284"/>
        <v>0</v>
      </c>
      <c r="I1161" s="87">
        <f t="shared" si="284"/>
        <v>0</v>
      </c>
      <c r="J1161" s="173"/>
      <c r="K1161" s="195"/>
      <c r="L1161" s="195"/>
      <c r="M1161" s="195"/>
      <c r="N1161" s="195"/>
      <c r="O1161" s="195"/>
      <c r="P1161" s="195"/>
      <c r="Q1161" s="195"/>
      <c r="R1161" s="195"/>
    </row>
    <row r="1162" spans="1:18" s="18" customFormat="1" hidden="1">
      <c r="A1162" s="82" t="s">
        <v>31</v>
      </c>
      <c r="B1162" s="84" t="s">
        <v>92</v>
      </c>
      <c r="C1162" s="84" t="s">
        <v>25</v>
      </c>
      <c r="D1162" s="84" t="s">
        <v>69</v>
      </c>
      <c r="E1162" s="84" t="s">
        <v>621</v>
      </c>
      <c r="F1162" s="84" t="s">
        <v>32</v>
      </c>
      <c r="G1162" s="70"/>
      <c r="H1162" s="87"/>
      <c r="I1162" s="87"/>
      <c r="J1162" s="173"/>
      <c r="K1162" s="195"/>
      <c r="L1162" s="195"/>
      <c r="M1162" s="195"/>
      <c r="N1162" s="195"/>
      <c r="O1162" s="195"/>
      <c r="P1162" s="195"/>
      <c r="Q1162" s="195"/>
      <c r="R1162" s="195"/>
    </row>
    <row r="1163" spans="1:18" ht="39.75" customHeight="1">
      <c r="A1163" s="82" t="s">
        <v>607</v>
      </c>
      <c r="B1163" s="145">
        <v>774</v>
      </c>
      <c r="C1163" s="84" t="s">
        <v>25</v>
      </c>
      <c r="D1163" s="84" t="s">
        <v>69</v>
      </c>
      <c r="E1163" s="84" t="s">
        <v>620</v>
      </c>
      <c r="F1163" s="84"/>
      <c r="G1163" s="70">
        <f>G1164+G1168</f>
        <v>3823460.43</v>
      </c>
      <c r="H1163" s="87">
        <f t="shared" ref="H1163:I1163" si="285">H1164+H1168</f>
        <v>3826992.43</v>
      </c>
      <c r="I1163" s="87">
        <f t="shared" si="285"/>
        <v>3830912.43</v>
      </c>
      <c r="J1163" s="173"/>
    </row>
    <row r="1164" spans="1:18" ht="34.5" customHeight="1">
      <c r="A1164" s="82" t="s">
        <v>29</v>
      </c>
      <c r="B1164" s="145">
        <v>774</v>
      </c>
      <c r="C1164" s="84" t="s">
        <v>25</v>
      </c>
      <c r="D1164" s="84" t="s">
        <v>69</v>
      </c>
      <c r="E1164" s="84" t="s">
        <v>620</v>
      </c>
      <c r="F1164" s="84" t="s">
        <v>30</v>
      </c>
      <c r="G1164" s="70">
        <f>G1165+G1166+G1167</f>
        <v>3687609.68</v>
      </c>
      <c r="H1164" s="87">
        <f t="shared" ref="H1164:I1164" si="286">H1165+H1166+H1167</f>
        <v>3690258.68</v>
      </c>
      <c r="I1164" s="87">
        <f t="shared" si="286"/>
        <v>3693198.68</v>
      </c>
      <c r="J1164" s="173"/>
    </row>
    <row r="1165" spans="1:18" ht="15" customHeight="1">
      <c r="A1165" s="82" t="s">
        <v>31</v>
      </c>
      <c r="B1165" s="145">
        <v>774</v>
      </c>
      <c r="C1165" s="84" t="s">
        <v>25</v>
      </c>
      <c r="D1165" s="84" t="s">
        <v>69</v>
      </c>
      <c r="E1165" s="84" t="s">
        <v>620</v>
      </c>
      <c r="F1165" s="84" t="s">
        <v>32</v>
      </c>
      <c r="G1165" s="70">
        <f>3280057.43+135850.75</f>
        <v>3415908.18</v>
      </c>
      <c r="H1165" s="87">
        <f>3280057.43+136733.75</f>
        <v>3416791.18</v>
      </c>
      <c r="I1165" s="87">
        <f>3280057.43+137713.75</f>
        <v>3417771.18</v>
      </c>
      <c r="J1165" s="173"/>
    </row>
    <row r="1166" spans="1:18" ht="15" customHeight="1">
      <c r="A1166" s="82" t="s">
        <v>606</v>
      </c>
      <c r="B1166" s="145">
        <v>774</v>
      </c>
      <c r="C1166" s="84" t="s">
        <v>25</v>
      </c>
      <c r="D1166" s="84" t="s">
        <v>69</v>
      </c>
      <c r="E1166" s="84" t="s">
        <v>620</v>
      </c>
      <c r="F1166" s="84" t="s">
        <v>605</v>
      </c>
      <c r="G1166" s="70">
        <v>135850.75</v>
      </c>
      <c r="H1166" s="87">
        <v>136733.75</v>
      </c>
      <c r="I1166" s="87">
        <v>137713.75</v>
      </c>
      <c r="J1166" s="173"/>
    </row>
    <row r="1167" spans="1:18" ht="36" customHeight="1">
      <c r="A1167" s="82" t="s">
        <v>8</v>
      </c>
      <c r="B1167" s="145">
        <v>774</v>
      </c>
      <c r="C1167" s="84" t="s">
        <v>25</v>
      </c>
      <c r="D1167" s="84" t="s">
        <v>69</v>
      </c>
      <c r="E1167" s="84" t="s">
        <v>620</v>
      </c>
      <c r="F1167" s="84" t="s">
        <v>7</v>
      </c>
      <c r="G1167" s="70">
        <f>135850.75</f>
        <v>135850.75</v>
      </c>
      <c r="H1167" s="87">
        <v>136733.75</v>
      </c>
      <c r="I1167" s="87">
        <v>137713.75</v>
      </c>
      <c r="J1167" s="173"/>
    </row>
    <row r="1168" spans="1:18" ht="15" customHeight="1">
      <c r="A1168" s="82" t="s">
        <v>62</v>
      </c>
      <c r="B1168" s="145">
        <v>774</v>
      </c>
      <c r="C1168" s="84" t="s">
        <v>25</v>
      </c>
      <c r="D1168" s="84" t="s">
        <v>69</v>
      </c>
      <c r="E1168" s="84" t="s">
        <v>620</v>
      </c>
      <c r="F1168" s="84" t="s">
        <v>63</v>
      </c>
      <c r="G1168" s="87">
        <f>G1169</f>
        <v>135850.75</v>
      </c>
      <c r="H1168" s="87">
        <f t="shared" ref="H1168:I1168" si="287">H1169</f>
        <v>136733.75</v>
      </c>
      <c r="I1168" s="87">
        <f t="shared" si="287"/>
        <v>137713.75</v>
      </c>
      <c r="J1168" s="173"/>
    </row>
    <row r="1169" spans="1:18" ht="51.75" customHeight="1">
      <c r="A1169" s="82" t="s">
        <v>419</v>
      </c>
      <c r="B1169" s="145">
        <v>774</v>
      </c>
      <c r="C1169" s="84" t="s">
        <v>25</v>
      </c>
      <c r="D1169" s="84" t="s">
        <v>69</v>
      </c>
      <c r="E1169" s="84" t="s">
        <v>620</v>
      </c>
      <c r="F1169" s="84" t="s">
        <v>333</v>
      </c>
      <c r="G1169" s="70">
        <v>135850.75</v>
      </c>
      <c r="H1169" s="87">
        <v>136733.75</v>
      </c>
      <c r="I1169" s="87">
        <v>137713.75</v>
      </c>
      <c r="J1169" s="173"/>
    </row>
    <row r="1170" spans="1:18" ht="16.5" hidden="1" customHeight="1">
      <c r="A1170" s="82" t="s">
        <v>1</v>
      </c>
      <c r="B1170" s="84" t="s">
        <v>92</v>
      </c>
      <c r="C1170" s="84" t="s">
        <v>25</v>
      </c>
      <c r="D1170" s="84" t="s">
        <v>69</v>
      </c>
      <c r="E1170" s="84" t="s">
        <v>523</v>
      </c>
      <c r="F1170" s="84"/>
      <c r="G1170" s="70">
        <f t="shared" ref="G1170:I1170" si="288">G1171</f>
        <v>0</v>
      </c>
      <c r="H1170" s="87">
        <f t="shared" si="288"/>
        <v>0</v>
      </c>
      <c r="I1170" s="87">
        <f t="shared" si="288"/>
        <v>0</v>
      </c>
      <c r="J1170" s="173"/>
    </row>
    <row r="1171" spans="1:18" ht="24.75" hidden="1" customHeight="1">
      <c r="A1171" s="82" t="s">
        <v>29</v>
      </c>
      <c r="B1171" s="84" t="s">
        <v>92</v>
      </c>
      <c r="C1171" s="84" t="s">
        <v>25</v>
      </c>
      <c r="D1171" s="84" t="s">
        <v>69</v>
      </c>
      <c r="E1171" s="84" t="s">
        <v>523</v>
      </c>
      <c r="F1171" s="84" t="s">
        <v>30</v>
      </c>
      <c r="G1171" s="70">
        <f>G1172</f>
        <v>0</v>
      </c>
      <c r="H1171" s="87">
        <f>H1172</f>
        <v>0</v>
      </c>
      <c r="I1171" s="87">
        <f>I1172</f>
        <v>0</v>
      </c>
      <c r="J1171" s="173"/>
    </row>
    <row r="1172" spans="1:18" hidden="1">
      <c r="A1172" s="82" t="s">
        <v>31</v>
      </c>
      <c r="B1172" s="84" t="s">
        <v>92</v>
      </c>
      <c r="C1172" s="84" t="s">
        <v>25</v>
      </c>
      <c r="D1172" s="84" t="s">
        <v>69</v>
      </c>
      <c r="E1172" s="84" t="s">
        <v>523</v>
      </c>
      <c r="F1172" s="84" t="s">
        <v>32</v>
      </c>
      <c r="G1172" s="70"/>
      <c r="H1172" s="87"/>
      <c r="I1172" s="87"/>
      <c r="J1172" s="173"/>
    </row>
    <row r="1173" spans="1:18" s="3" customFormat="1" ht="24.75" customHeight="1">
      <c r="A1173" s="82" t="s">
        <v>138</v>
      </c>
      <c r="B1173" s="145">
        <v>774</v>
      </c>
      <c r="C1173" s="84" t="s">
        <v>25</v>
      </c>
      <c r="D1173" s="84" t="s">
        <v>69</v>
      </c>
      <c r="E1173" s="84" t="s">
        <v>682</v>
      </c>
      <c r="F1173" s="84"/>
      <c r="G1173" s="70">
        <f t="shared" ref="G1173:I1173" si="289">G1174</f>
        <v>0</v>
      </c>
      <c r="H1173" s="87">
        <f t="shared" si="289"/>
        <v>60000</v>
      </c>
      <c r="I1173" s="87">
        <f t="shared" si="289"/>
        <v>60000</v>
      </c>
      <c r="J1173" s="173"/>
      <c r="K1173" s="194"/>
      <c r="L1173" s="194"/>
      <c r="M1173" s="194"/>
      <c r="N1173" s="194"/>
      <c r="O1173" s="194"/>
      <c r="P1173" s="194"/>
      <c r="Q1173" s="194"/>
      <c r="R1173" s="194"/>
    </row>
    <row r="1174" spans="1:18" s="18" customFormat="1" ht="26.4">
      <c r="A1174" s="82" t="s">
        <v>29</v>
      </c>
      <c r="B1174" s="84" t="s">
        <v>92</v>
      </c>
      <c r="C1174" s="84" t="s">
        <v>25</v>
      </c>
      <c r="D1174" s="84" t="s">
        <v>69</v>
      </c>
      <c r="E1174" s="84" t="s">
        <v>682</v>
      </c>
      <c r="F1174" s="84" t="s">
        <v>30</v>
      </c>
      <c r="G1174" s="70">
        <f>G1175</f>
        <v>0</v>
      </c>
      <c r="H1174" s="87">
        <f>H1175</f>
        <v>60000</v>
      </c>
      <c r="I1174" s="87">
        <f>I1175</f>
        <v>60000</v>
      </c>
      <c r="J1174" s="173"/>
      <c r="K1174" s="195"/>
      <c r="L1174" s="195"/>
      <c r="M1174" s="195"/>
      <c r="N1174" s="195"/>
      <c r="O1174" s="195"/>
      <c r="P1174" s="195"/>
      <c r="Q1174" s="195"/>
      <c r="R1174" s="195"/>
    </row>
    <row r="1175" spans="1:18" s="18" customFormat="1">
      <c r="A1175" s="82" t="s">
        <v>31</v>
      </c>
      <c r="B1175" s="84" t="s">
        <v>92</v>
      </c>
      <c r="C1175" s="84" t="s">
        <v>25</v>
      </c>
      <c r="D1175" s="84" t="s">
        <v>69</v>
      </c>
      <c r="E1175" s="84" t="s">
        <v>682</v>
      </c>
      <c r="F1175" s="84" t="s">
        <v>32</v>
      </c>
      <c r="G1175" s="70">
        <f>60000-60000</f>
        <v>0</v>
      </c>
      <c r="H1175" s="87">
        <v>60000</v>
      </c>
      <c r="I1175" s="87">
        <v>60000</v>
      </c>
      <c r="J1175" s="173"/>
      <c r="K1175" s="195"/>
      <c r="L1175" s="195"/>
      <c r="M1175" s="195"/>
      <c r="N1175" s="195"/>
      <c r="O1175" s="195"/>
      <c r="P1175" s="195"/>
      <c r="Q1175" s="195"/>
      <c r="R1175" s="195"/>
    </row>
    <row r="1176" spans="1:18" ht="35.25" customHeight="1">
      <c r="A1176" s="82" t="s">
        <v>1185</v>
      </c>
      <c r="B1176" s="145">
        <v>774</v>
      </c>
      <c r="C1176" s="84" t="s">
        <v>25</v>
      </c>
      <c r="D1176" s="84" t="s">
        <v>69</v>
      </c>
      <c r="E1176" s="84" t="s">
        <v>212</v>
      </c>
      <c r="F1176" s="84"/>
      <c r="G1176" s="70">
        <f>G1186+G1189+G1192+G1183+G1177+G1180</f>
        <v>20329.12</v>
      </c>
      <c r="H1176" s="87">
        <f>H1186+H1189+H1192+H1183+H1177+H1180</f>
        <v>0</v>
      </c>
      <c r="I1176" s="87">
        <f>I1186+I1189+I1192+I1183+I1177+I1180</f>
        <v>104549.75</v>
      </c>
      <c r="J1176" s="173"/>
    </row>
    <row r="1177" spans="1:18" ht="36" hidden="1" customHeight="1">
      <c r="A1177" s="82" t="s">
        <v>980</v>
      </c>
      <c r="B1177" s="84" t="s">
        <v>92</v>
      </c>
      <c r="C1177" s="84" t="s">
        <v>25</v>
      </c>
      <c r="D1177" s="84" t="s">
        <v>69</v>
      </c>
      <c r="E1177" s="84" t="s">
        <v>213</v>
      </c>
      <c r="F1177" s="84"/>
      <c r="G1177" s="70">
        <f t="shared" ref="G1177:I1177" si="290">G1178</f>
        <v>0</v>
      </c>
      <c r="H1177" s="87">
        <f t="shared" si="290"/>
        <v>0</v>
      </c>
      <c r="I1177" s="87">
        <f t="shared" si="290"/>
        <v>0</v>
      </c>
      <c r="J1177" s="173"/>
    </row>
    <row r="1178" spans="1:18" ht="24.75" hidden="1" customHeight="1">
      <c r="A1178" s="82" t="s">
        <v>29</v>
      </c>
      <c r="B1178" s="84" t="s">
        <v>92</v>
      </c>
      <c r="C1178" s="84" t="s">
        <v>25</v>
      </c>
      <c r="D1178" s="84" t="s">
        <v>69</v>
      </c>
      <c r="E1178" s="84" t="s">
        <v>213</v>
      </c>
      <c r="F1178" s="84" t="s">
        <v>30</v>
      </c>
      <c r="G1178" s="70">
        <f>G1179</f>
        <v>0</v>
      </c>
      <c r="H1178" s="87">
        <f>H1179</f>
        <v>0</v>
      </c>
      <c r="I1178" s="87">
        <f>I1179</f>
        <v>0</v>
      </c>
      <c r="J1178" s="173"/>
    </row>
    <row r="1179" spans="1:18" hidden="1">
      <c r="A1179" s="82" t="s">
        <v>31</v>
      </c>
      <c r="B1179" s="84" t="s">
        <v>92</v>
      </c>
      <c r="C1179" s="84" t="s">
        <v>25</v>
      </c>
      <c r="D1179" s="84" t="s">
        <v>69</v>
      </c>
      <c r="E1179" s="84" t="s">
        <v>213</v>
      </c>
      <c r="F1179" s="84" t="s">
        <v>32</v>
      </c>
      <c r="G1179" s="70">
        <f>1500000-1500000</f>
        <v>0</v>
      </c>
      <c r="H1179" s="87">
        <v>0</v>
      </c>
      <c r="I1179" s="87">
        <v>0</v>
      </c>
      <c r="J1179" s="173"/>
    </row>
    <row r="1180" spans="1:18" s="3" customFormat="1" ht="26.4" hidden="1">
      <c r="A1180" s="82" t="s">
        <v>950</v>
      </c>
      <c r="B1180" s="145">
        <v>774</v>
      </c>
      <c r="C1180" s="84" t="s">
        <v>25</v>
      </c>
      <c r="D1180" s="84" t="s">
        <v>69</v>
      </c>
      <c r="E1180" s="84" t="s">
        <v>948</v>
      </c>
      <c r="F1180" s="84"/>
      <c r="G1180" s="70">
        <f t="shared" ref="G1180:I1181" si="291">G1181</f>
        <v>0</v>
      </c>
      <c r="H1180" s="87">
        <f t="shared" si="291"/>
        <v>0</v>
      </c>
      <c r="I1180" s="87">
        <f t="shared" si="291"/>
        <v>0</v>
      </c>
      <c r="J1180" s="173"/>
      <c r="K1180" s="194"/>
      <c r="L1180" s="194"/>
      <c r="M1180" s="194"/>
      <c r="N1180" s="194"/>
      <c r="O1180" s="194"/>
      <c r="P1180" s="194"/>
      <c r="Q1180" s="194"/>
      <c r="R1180" s="194"/>
    </row>
    <row r="1181" spans="1:18" s="3" customFormat="1" ht="26.4" hidden="1">
      <c r="A1181" s="82" t="s">
        <v>29</v>
      </c>
      <c r="B1181" s="145">
        <v>774</v>
      </c>
      <c r="C1181" s="84" t="s">
        <v>25</v>
      </c>
      <c r="D1181" s="84" t="s">
        <v>69</v>
      </c>
      <c r="E1181" s="84" t="s">
        <v>948</v>
      </c>
      <c r="F1181" s="84" t="s">
        <v>30</v>
      </c>
      <c r="G1181" s="70">
        <f t="shared" si="291"/>
        <v>0</v>
      </c>
      <c r="H1181" s="87">
        <f t="shared" si="291"/>
        <v>0</v>
      </c>
      <c r="I1181" s="87">
        <f t="shared" si="291"/>
        <v>0</v>
      </c>
      <c r="J1181" s="173"/>
      <c r="K1181" s="194"/>
      <c r="L1181" s="194"/>
      <c r="M1181" s="194"/>
      <c r="N1181" s="194"/>
      <c r="O1181" s="194"/>
      <c r="P1181" s="194"/>
      <c r="Q1181" s="194"/>
      <c r="R1181" s="194"/>
    </row>
    <row r="1182" spans="1:18" s="3" customFormat="1" hidden="1">
      <c r="A1182" s="82" t="s">
        <v>31</v>
      </c>
      <c r="B1182" s="145">
        <v>774</v>
      </c>
      <c r="C1182" s="84" t="s">
        <v>25</v>
      </c>
      <c r="D1182" s="84" t="s">
        <v>69</v>
      </c>
      <c r="E1182" s="84" t="s">
        <v>948</v>
      </c>
      <c r="F1182" s="84" t="s">
        <v>32</v>
      </c>
      <c r="G1182" s="70"/>
      <c r="H1182" s="87"/>
      <c r="I1182" s="87"/>
      <c r="J1182" s="173"/>
      <c r="K1182" s="194"/>
      <c r="L1182" s="194"/>
      <c r="M1182" s="194"/>
      <c r="N1182" s="194"/>
      <c r="O1182" s="194"/>
      <c r="P1182" s="194"/>
      <c r="Q1182" s="194"/>
      <c r="R1182" s="194"/>
    </row>
    <row r="1183" spans="1:18" s="3" customFormat="1" ht="26.4">
      <c r="A1183" s="82" t="s">
        <v>288</v>
      </c>
      <c r="B1183" s="145">
        <v>774</v>
      </c>
      <c r="C1183" s="84" t="s">
        <v>25</v>
      </c>
      <c r="D1183" s="84" t="s">
        <v>69</v>
      </c>
      <c r="E1183" s="84" t="s">
        <v>287</v>
      </c>
      <c r="F1183" s="84"/>
      <c r="G1183" s="70">
        <f t="shared" ref="G1183:I1184" si="292">G1184</f>
        <v>20329.12</v>
      </c>
      <c r="H1183" s="87">
        <f t="shared" si="292"/>
        <v>0</v>
      </c>
      <c r="I1183" s="87">
        <f t="shared" si="292"/>
        <v>104549.75</v>
      </c>
      <c r="J1183" s="173"/>
      <c r="K1183" s="194"/>
      <c r="L1183" s="194"/>
      <c r="M1183" s="194"/>
      <c r="N1183" s="194"/>
      <c r="O1183" s="194"/>
      <c r="P1183" s="194"/>
      <c r="Q1183" s="194"/>
      <c r="R1183" s="194"/>
    </row>
    <row r="1184" spans="1:18" s="3" customFormat="1" ht="26.4">
      <c r="A1184" s="82" t="s">
        <v>29</v>
      </c>
      <c r="B1184" s="145">
        <v>774</v>
      </c>
      <c r="C1184" s="84" t="s">
        <v>25</v>
      </c>
      <c r="D1184" s="84" t="s">
        <v>69</v>
      </c>
      <c r="E1184" s="84" t="s">
        <v>287</v>
      </c>
      <c r="F1184" s="84" t="s">
        <v>30</v>
      </c>
      <c r="G1184" s="70">
        <f t="shared" si="292"/>
        <v>20329.12</v>
      </c>
      <c r="H1184" s="87">
        <f t="shared" si="292"/>
        <v>0</v>
      </c>
      <c r="I1184" s="87">
        <f t="shared" si="292"/>
        <v>104549.75</v>
      </c>
      <c r="J1184" s="173"/>
      <c r="K1184" s="194"/>
      <c r="L1184" s="194"/>
      <c r="M1184" s="194"/>
      <c r="N1184" s="194"/>
      <c r="O1184" s="194"/>
      <c r="P1184" s="194"/>
      <c r="Q1184" s="194"/>
      <c r="R1184" s="194"/>
    </row>
    <row r="1185" spans="1:18" s="3" customFormat="1">
      <c r="A1185" s="82" t="s">
        <v>31</v>
      </c>
      <c r="B1185" s="145">
        <v>774</v>
      </c>
      <c r="C1185" s="84" t="s">
        <v>25</v>
      </c>
      <c r="D1185" s="84" t="s">
        <v>69</v>
      </c>
      <c r="E1185" s="84" t="s">
        <v>287</v>
      </c>
      <c r="F1185" s="84" t="s">
        <v>32</v>
      </c>
      <c r="G1185" s="70">
        <v>20329.12</v>
      </c>
      <c r="H1185" s="87">
        <v>0</v>
      </c>
      <c r="I1185" s="87">
        <v>104549.75</v>
      </c>
      <c r="J1185" s="173"/>
      <c r="K1185" s="194"/>
      <c r="L1185" s="194"/>
      <c r="M1185" s="194"/>
      <c r="N1185" s="194"/>
      <c r="O1185" s="194"/>
      <c r="P1185" s="194"/>
      <c r="Q1185" s="194"/>
      <c r="R1185" s="194"/>
    </row>
    <row r="1186" spans="1:18" s="3" customFormat="1" hidden="1">
      <c r="A1186" s="82" t="s">
        <v>1</v>
      </c>
      <c r="B1186" s="145">
        <v>774</v>
      </c>
      <c r="C1186" s="84" t="s">
        <v>25</v>
      </c>
      <c r="D1186" s="84" t="s">
        <v>69</v>
      </c>
      <c r="E1186" s="84" t="s">
        <v>213</v>
      </c>
      <c r="F1186" s="84"/>
      <c r="G1186" s="70">
        <f t="shared" ref="G1186:I1187" si="293">G1187</f>
        <v>0</v>
      </c>
      <c r="H1186" s="87">
        <f t="shared" si="293"/>
        <v>0</v>
      </c>
      <c r="I1186" s="87">
        <f t="shared" si="293"/>
        <v>0</v>
      </c>
      <c r="J1186" s="173"/>
      <c r="K1186" s="194"/>
      <c r="L1186" s="194"/>
      <c r="M1186" s="194"/>
      <c r="N1186" s="194"/>
      <c r="O1186" s="194"/>
      <c r="P1186" s="194"/>
      <c r="Q1186" s="194"/>
      <c r="R1186" s="194"/>
    </row>
    <row r="1187" spans="1:18" s="3" customFormat="1" ht="26.4" hidden="1">
      <c r="A1187" s="82" t="s">
        <v>29</v>
      </c>
      <c r="B1187" s="145">
        <v>774</v>
      </c>
      <c r="C1187" s="84" t="s">
        <v>25</v>
      </c>
      <c r="D1187" s="84" t="s">
        <v>69</v>
      </c>
      <c r="E1187" s="84" t="s">
        <v>213</v>
      </c>
      <c r="F1187" s="84" t="s">
        <v>30</v>
      </c>
      <c r="G1187" s="70">
        <f t="shared" si="293"/>
        <v>0</v>
      </c>
      <c r="H1187" s="87">
        <f t="shared" si="293"/>
        <v>0</v>
      </c>
      <c r="I1187" s="87">
        <f t="shared" si="293"/>
        <v>0</v>
      </c>
      <c r="J1187" s="173"/>
      <c r="K1187" s="194"/>
      <c r="L1187" s="194"/>
      <c r="M1187" s="194"/>
      <c r="N1187" s="194"/>
      <c r="O1187" s="194"/>
      <c r="P1187" s="194"/>
      <c r="Q1187" s="194"/>
      <c r="R1187" s="194"/>
    </row>
    <row r="1188" spans="1:18" s="3" customFormat="1" hidden="1">
      <c r="A1188" s="82" t="s">
        <v>31</v>
      </c>
      <c r="B1188" s="145">
        <v>774</v>
      </c>
      <c r="C1188" s="84" t="s">
        <v>25</v>
      </c>
      <c r="D1188" s="84" t="s">
        <v>69</v>
      </c>
      <c r="E1188" s="84" t="s">
        <v>213</v>
      </c>
      <c r="F1188" s="84" t="s">
        <v>32</v>
      </c>
      <c r="G1188" s="70"/>
      <c r="H1188" s="87"/>
      <c r="I1188" s="87"/>
      <c r="J1188" s="173"/>
      <c r="K1188" s="194"/>
      <c r="L1188" s="194"/>
      <c r="M1188" s="194"/>
      <c r="N1188" s="194"/>
      <c r="O1188" s="194"/>
      <c r="P1188" s="194"/>
      <c r="Q1188" s="194"/>
      <c r="R1188" s="194"/>
    </row>
    <row r="1189" spans="1:18" s="3" customFormat="1" ht="26.4" hidden="1">
      <c r="A1189" s="82" t="s">
        <v>288</v>
      </c>
      <c r="B1189" s="145">
        <v>774</v>
      </c>
      <c r="C1189" s="84" t="s">
        <v>25</v>
      </c>
      <c r="D1189" s="84" t="s">
        <v>69</v>
      </c>
      <c r="E1189" s="84" t="s">
        <v>287</v>
      </c>
      <c r="F1189" s="84"/>
      <c r="G1189" s="70">
        <f t="shared" ref="G1189:I1190" si="294">G1190</f>
        <v>0</v>
      </c>
      <c r="H1189" s="87">
        <f t="shared" si="294"/>
        <v>0</v>
      </c>
      <c r="I1189" s="87">
        <f t="shared" si="294"/>
        <v>0</v>
      </c>
      <c r="J1189" s="173"/>
      <c r="K1189" s="194"/>
      <c r="L1189" s="194"/>
      <c r="M1189" s="194"/>
      <c r="N1189" s="194"/>
      <c r="O1189" s="194"/>
      <c r="P1189" s="194"/>
      <c r="Q1189" s="194"/>
      <c r="R1189" s="194"/>
    </row>
    <row r="1190" spans="1:18" s="3" customFormat="1" ht="26.4" hidden="1">
      <c r="A1190" s="82" t="s">
        <v>29</v>
      </c>
      <c r="B1190" s="145">
        <v>774</v>
      </c>
      <c r="C1190" s="84" t="s">
        <v>25</v>
      </c>
      <c r="D1190" s="84" t="s">
        <v>69</v>
      </c>
      <c r="E1190" s="84" t="s">
        <v>287</v>
      </c>
      <c r="F1190" s="84" t="s">
        <v>30</v>
      </c>
      <c r="G1190" s="70">
        <f t="shared" si="294"/>
        <v>0</v>
      </c>
      <c r="H1190" s="87">
        <f t="shared" si="294"/>
        <v>0</v>
      </c>
      <c r="I1190" s="87">
        <f t="shared" si="294"/>
        <v>0</v>
      </c>
      <c r="J1190" s="173"/>
      <c r="K1190" s="194"/>
      <c r="L1190" s="194"/>
      <c r="M1190" s="194"/>
      <c r="N1190" s="194"/>
      <c r="O1190" s="194"/>
      <c r="P1190" s="194"/>
      <c r="Q1190" s="194"/>
      <c r="R1190" s="194"/>
    </row>
    <row r="1191" spans="1:18" s="3" customFormat="1" hidden="1">
      <c r="A1191" s="82" t="s">
        <v>31</v>
      </c>
      <c r="B1191" s="145">
        <v>774</v>
      </c>
      <c r="C1191" s="84" t="s">
        <v>25</v>
      </c>
      <c r="D1191" s="84" t="s">
        <v>69</v>
      </c>
      <c r="E1191" s="84" t="s">
        <v>287</v>
      </c>
      <c r="F1191" s="84" t="s">
        <v>32</v>
      </c>
      <c r="G1191" s="70"/>
      <c r="H1191" s="87"/>
      <c r="I1191" s="87"/>
      <c r="J1191" s="173"/>
      <c r="K1191" s="194"/>
      <c r="L1191" s="194"/>
      <c r="M1191" s="194"/>
      <c r="N1191" s="194"/>
      <c r="O1191" s="194"/>
      <c r="P1191" s="194"/>
      <c r="Q1191" s="194"/>
      <c r="R1191" s="194"/>
    </row>
    <row r="1192" spans="1:18" s="3" customFormat="1" ht="51.75" hidden="1" customHeight="1">
      <c r="A1192" s="82" t="s">
        <v>690</v>
      </c>
      <c r="B1192" s="145">
        <v>774</v>
      </c>
      <c r="C1192" s="84" t="s">
        <v>25</v>
      </c>
      <c r="D1192" s="84" t="s">
        <v>69</v>
      </c>
      <c r="E1192" s="84" t="s">
        <v>691</v>
      </c>
      <c r="F1192" s="84"/>
      <c r="G1192" s="70">
        <f t="shared" ref="G1192:I1193" si="295">G1193</f>
        <v>0</v>
      </c>
      <c r="H1192" s="87">
        <f t="shared" si="295"/>
        <v>0</v>
      </c>
      <c r="I1192" s="87">
        <f t="shared" si="295"/>
        <v>0</v>
      </c>
      <c r="J1192" s="173"/>
      <c r="K1192" s="194"/>
      <c r="L1192" s="194"/>
      <c r="M1192" s="194"/>
      <c r="N1192" s="194"/>
      <c r="O1192" s="194"/>
      <c r="P1192" s="194"/>
      <c r="Q1192" s="194"/>
      <c r="R1192" s="194"/>
    </row>
    <row r="1193" spans="1:18" s="3" customFormat="1" ht="26.4" hidden="1">
      <c r="A1193" s="82" t="s">
        <v>29</v>
      </c>
      <c r="B1193" s="145">
        <v>774</v>
      </c>
      <c r="C1193" s="84" t="s">
        <v>25</v>
      </c>
      <c r="D1193" s="84" t="s">
        <v>69</v>
      </c>
      <c r="E1193" s="84" t="s">
        <v>691</v>
      </c>
      <c r="F1193" s="84" t="s">
        <v>30</v>
      </c>
      <c r="G1193" s="70">
        <f t="shared" si="295"/>
        <v>0</v>
      </c>
      <c r="H1193" s="87">
        <f t="shared" si="295"/>
        <v>0</v>
      </c>
      <c r="I1193" s="87">
        <f t="shared" si="295"/>
        <v>0</v>
      </c>
      <c r="J1193" s="173"/>
      <c r="K1193" s="194"/>
      <c r="L1193" s="194"/>
      <c r="M1193" s="194"/>
      <c r="N1193" s="194"/>
      <c r="O1193" s="194"/>
      <c r="P1193" s="194"/>
      <c r="Q1193" s="194"/>
      <c r="R1193" s="194"/>
    </row>
    <row r="1194" spans="1:18" s="3" customFormat="1" hidden="1">
      <c r="A1194" s="82" t="s">
        <v>31</v>
      </c>
      <c r="B1194" s="145">
        <v>774</v>
      </c>
      <c r="C1194" s="84" t="s">
        <v>25</v>
      </c>
      <c r="D1194" s="84" t="s">
        <v>69</v>
      </c>
      <c r="E1194" s="84" t="s">
        <v>691</v>
      </c>
      <c r="F1194" s="84" t="s">
        <v>32</v>
      </c>
      <c r="G1194" s="70"/>
      <c r="H1194" s="87"/>
      <c r="I1194" s="87"/>
      <c r="J1194" s="173"/>
      <c r="K1194" s="194"/>
      <c r="L1194" s="194"/>
      <c r="M1194" s="194"/>
      <c r="N1194" s="194"/>
      <c r="O1194" s="194"/>
      <c r="P1194" s="194"/>
      <c r="Q1194" s="194"/>
      <c r="R1194" s="194"/>
    </row>
    <row r="1195" spans="1:18" ht="26.4">
      <c r="A1195" s="82" t="s">
        <v>23</v>
      </c>
      <c r="B1195" s="84" t="s">
        <v>92</v>
      </c>
      <c r="C1195" s="84" t="s">
        <v>25</v>
      </c>
      <c r="D1195" s="84" t="s">
        <v>69</v>
      </c>
      <c r="E1195" s="84" t="s">
        <v>218</v>
      </c>
      <c r="F1195" s="84"/>
      <c r="G1195" s="70">
        <f t="shared" ref="G1195:I1197" si="296">G1196</f>
        <v>838896.35</v>
      </c>
      <c r="H1195" s="87">
        <f t="shared" si="296"/>
        <v>660000</v>
      </c>
      <c r="I1195" s="87">
        <f t="shared" si="296"/>
        <v>660000</v>
      </c>
      <c r="J1195" s="173"/>
    </row>
    <row r="1196" spans="1:18" ht="27" customHeight="1">
      <c r="A1196" s="82" t="s">
        <v>138</v>
      </c>
      <c r="B1196" s="84" t="s">
        <v>92</v>
      </c>
      <c r="C1196" s="84" t="s">
        <v>25</v>
      </c>
      <c r="D1196" s="84" t="s">
        <v>69</v>
      </c>
      <c r="E1196" s="84" t="s">
        <v>219</v>
      </c>
      <c r="F1196" s="84"/>
      <c r="G1196" s="70">
        <f t="shared" si="296"/>
        <v>838896.35</v>
      </c>
      <c r="H1196" s="87">
        <f t="shared" si="296"/>
        <v>660000</v>
      </c>
      <c r="I1196" s="87">
        <f t="shared" si="296"/>
        <v>660000</v>
      </c>
      <c r="J1196" s="173"/>
    </row>
    <row r="1197" spans="1:18" ht="26.4">
      <c r="A1197" s="82" t="s">
        <v>29</v>
      </c>
      <c r="B1197" s="84" t="s">
        <v>92</v>
      </c>
      <c r="C1197" s="84" t="s">
        <v>25</v>
      </c>
      <c r="D1197" s="84" t="s">
        <v>69</v>
      </c>
      <c r="E1197" s="84" t="s">
        <v>219</v>
      </c>
      <c r="F1197" s="84" t="s">
        <v>30</v>
      </c>
      <c r="G1197" s="70">
        <f t="shared" si="296"/>
        <v>838896.35</v>
      </c>
      <c r="H1197" s="87">
        <f t="shared" si="296"/>
        <v>660000</v>
      </c>
      <c r="I1197" s="87">
        <f t="shared" si="296"/>
        <v>660000</v>
      </c>
      <c r="J1197" s="173"/>
    </row>
    <row r="1198" spans="1:18">
      <c r="A1198" s="82" t="s">
        <v>31</v>
      </c>
      <c r="B1198" s="84" t="s">
        <v>92</v>
      </c>
      <c r="C1198" s="84" t="s">
        <v>25</v>
      </c>
      <c r="D1198" s="84" t="s">
        <v>69</v>
      </c>
      <c r="E1198" s="84" t="s">
        <v>219</v>
      </c>
      <c r="F1198" s="84" t="s">
        <v>32</v>
      </c>
      <c r="G1198" s="70">
        <v>838896.35</v>
      </c>
      <c r="H1198" s="87">
        <v>660000</v>
      </c>
      <c r="I1198" s="87">
        <v>660000</v>
      </c>
      <c r="J1198" s="173"/>
    </row>
    <row r="1199" spans="1:18" ht="35.25" hidden="1" customHeight="1">
      <c r="A1199" s="136" t="s">
        <v>460</v>
      </c>
      <c r="B1199" s="84" t="s">
        <v>92</v>
      </c>
      <c r="C1199" s="84" t="s">
        <v>25</v>
      </c>
      <c r="D1199" s="84" t="s">
        <v>69</v>
      </c>
      <c r="E1199" s="84" t="s">
        <v>189</v>
      </c>
      <c r="F1199" s="84"/>
      <c r="G1199" s="87">
        <f>G1200</f>
        <v>0</v>
      </c>
      <c r="H1199" s="87">
        <f t="shared" ref="H1199:I1199" si="297">H1200</f>
        <v>0</v>
      </c>
      <c r="I1199" s="87">
        <f t="shared" si="297"/>
        <v>0</v>
      </c>
      <c r="J1199" s="173"/>
    </row>
    <row r="1200" spans="1:18" ht="36" hidden="1" customHeight="1">
      <c r="A1200" s="82" t="s">
        <v>590</v>
      </c>
      <c r="B1200" s="84" t="s">
        <v>92</v>
      </c>
      <c r="C1200" s="84" t="s">
        <v>25</v>
      </c>
      <c r="D1200" s="84" t="s">
        <v>69</v>
      </c>
      <c r="E1200" s="84" t="s">
        <v>519</v>
      </c>
      <c r="F1200" s="84"/>
      <c r="G1200" s="87">
        <f>G1201</f>
        <v>0</v>
      </c>
      <c r="H1200" s="87">
        <f>H1201+H1203</f>
        <v>0</v>
      </c>
      <c r="I1200" s="87">
        <f>I1201+I1203</f>
        <v>0</v>
      </c>
      <c r="J1200" s="173"/>
    </row>
    <row r="1201" spans="1:18" ht="26.4" hidden="1">
      <c r="A1201" s="82" t="s">
        <v>29</v>
      </c>
      <c r="B1201" s="84" t="s">
        <v>92</v>
      </c>
      <c r="C1201" s="84" t="s">
        <v>25</v>
      </c>
      <c r="D1201" s="84" t="s">
        <v>69</v>
      </c>
      <c r="E1201" s="84" t="s">
        <v>519</v>
      </c>
      <c r="F1201" s="84" t="s">
        <v>30</v>
      </c>
      <c r="G1201" s="87">
        <f>G1202</f>
        <v>0</v>
      </c>
      <c r="H1201" s="87">
        <f>H1202</f>
        <v>0</v>
      </c>
      <c r="I1201" s="87">
        <f>I1202</f>
        <v>0</v>
      </c>
      <c r="J1201" s="173"/>
    </row>
    <row r="1202" spans="1:18" ht="19.5" hidden="1" customHeight="1">
      <c r="A1202" s="82" t="s">
        <v>31</v>
      </c>
      <c r="B1202" s="84" t="s">
        <v>92</v>
      </c>
      <c r="C1202" s="84" t="s">
        <v>25</v>
      </c>
      <c r="D1202" s="84" t="s">
        <v>69</v>
      </c>
      <c r="E1202" s="84" t="s">
        <v>519</v>
      </c>
      <c r="F1202" s="84" t="s">
        <v>32</v>
      </c>
      <c r="G1202" s="87"/>
      <c r="H1202" s="87"/>
      <c r="I1202" s="87"/>
      <c r="J1202" s="173"/>
    </row>
    <row r="1203" spans="1:18" ht="47.25" hidden="1" customHeight="1">
      <c r="A1203" s="82" t="s">
        <v>442</v>
      </c>
      <c r="B1203" s="84" t="s">
        <v>92</v>
      </c>
      <c r="C1203" s="84" t="s">
        <v>25</v>
      </c>
      <c r="D1203" s="84" t="s">
        <v>69</v>
      </c>
      <c r="E1203" s="84" t="s">
        <v>441</v>
      </c>
      <c r="F1203" s="84"/>
      <c r="G1203" s="87">
        <f>G1204</f>
        <v>0</v>
      </c>
      <c r="H1203" s="87">
        <f>H1204</f>
        <v>0</v>
      </c>
      <c r="I1203" s="87">
        <f>I1204</f>
        <v>0</v>
      </c>
      <c r="J1203" s="173"/>
    </row>
    <row r="1204" spans="1:18" ht="74.25" hidden="1" customHeight="1">
      <c r="A1204" s="82" t="s">
        <v>584</v>
      </c>
      <c r="B1204" s="84" t="s">
        <v>92</v>
      </c>
      <c r="C1204" s="84" t="s">
        <v>25</v>
      </c>
      <c r="D1204" s="84" t="s">
        <v>69</v>
      </c>
      <c r="E1204" s="84" t="s">
        <v>583</v>
      </c>
      <c r="F1204" s="84"/>
      <c r="G1204" s="87">
        <f>G1205</f>
        <v>0</v>
      </c>
      <c r="H1204" s="87">
        <f t="shared" ref="H1204:I1205" si="298">H1205</f>
        <v>0</v>
      </c>
      <c r="I1204" s="87">
        <f t="shared" si="298"/>
        <v>0</v>
      </c>
      <c r="J1204" s="173"/>
    </row>
    <row r="1205" spans="1:18" ht="31.5" hidden="1" customHeight="1">
      <c r="A1205" s="82" t="s">
        <v>29</v>
      </c>
      <c r="B1205" s="84" t="s">
        <v>92</v>
      </c>
      <c r="C1205" s="84" t="s">
        <v>25</v>
      </c>
      <c r="D1205" s="84" t="s">
        <v>69</v>
      </c>
      <c r="E1205" s="84" t="s">
        <v>583</v>
      </c>
      <c r="F1205" s="84" t="s">
        <v>30</v>
      </c>
      <c r="G1205" s="87">
        <f>G1206</f>
        <v>0</v>
      </c>
      <c r="H1205" s="87">
        <f t="shared" si="298"/>
        <v>0</v>
      </c>
      <c r="I1205" s="87">
        <f t="shared" si="298"/>
        <v>0</v>
      </c>
      <c r="J1205" s="173"/>
    </row>
    <row r="1206" spans="1:18" ht="17.25" hidden="1" customHeight="1">
      <c r="A1206" s="82" t="s">
        <v>31</v>
      </c>
      <c r="B1206" s="84" t="s">
        <v>92</v>
      </c>
      <c r="C1206" s="84" t="s">
        <v>25</v>
      </c>
      <c r="D1206" s="84" t="s">
        <v>69</v>
      </c>
      <c r="E1206" s="84" t="s">
        <v>583</v>
      </c>
      <c r="F1206" s="84" t="s">
        <v>32</v>
      </c>
      <c r="G1206" s="87"/>
      <c r="H1206" s="124"/>
      <c r="I1206" s="124"/>
      <c r="J1206" s="193"/>
    </row>
    <row r="1207" spans="1:18" s="28" customFormat="1" ht="28.5" hidden="1" customHeight="1">
      <c r="A1207" s="136"/>
      <c r="B1207" s="145"/>
      <c r="C1207" s="84"/>
      <c r="D1207" s="84"/>
      <c r="E1207" s="84"/>
      <c r="F1207" s="84"/>
      <c r="G1207" s="87"/>
      <c r="H1207" s="87"/>
      <c r="I1207" s="87"/>
      <c r="J1207" s="173"/>
      <c r="K1207" s="199"/>
      <c r="L1207" s="199"/>
      <c r="M1207" s="199"/>
      <c r="N1207" s="199"/>
      <c r="O1207" s="199"/>
      <c r="P1207" s="199"/>
      <c r="Q1207" s="199"/>
      <c r="R1207" s="199"/>
    </row>
    <row r="1208" spans="1:18" s="28" customFormat="1" ht="27.75" hidden="1" customHeight="1">
      <c r="A1208" s="136"/>
      <c r="B1208" s="145"/>
      <c r="C1208" s="84"/>
      <c r="D1208" s="84"/>
      <c r="E1208" s="84"/>
      <c r="F1208" s="84"/>
      <c r="G1208" s="87"/>
      <c r="H1208" s="87"/>
      <c r="I1208" s="87"/>
      <c r="J1208" s="173"/>
      <c r="K1208" s="199"/>
      <c r="L1208" s="199"/>
      <c r="M1208" s="199"/>
      <c r="N1208" s="199"/>
      <c r="O1208" s="199"/>
      <c r="P1208" s="199"/>
      <c r="Q1208" s="199"/>
      <c r="R1208" s="199"/>
    </row>
    <row r="1209" spans="1:18" s="32" customFormat="1" ht="28.5" hidden="1" customHeight="1">
      <c r="A1209" s="82"/>
      <c r="B1209" s="145"/>
      <c r="C1209" s="84"/>
      <c r="D1209" s="84"/>
      <c r="E1209" s="84"/>
      <c r="F1209" s="84"/>
      <c r="G1209" s="87"/>
      <c r="H1209" s="87"/>
      <c r="I1209" s="87"/>
      <c r="J1209" s="173"/>
      <c r="K1209" s="198"/>
      <c r="L1209" s="198"/>
      <c r="M1209" s="198"/>
      <c r="N1209" s="198"/>
      <c r="O1209" s="198"/>
      <c r="P1209" s="198"/>
      <c r="Q1209" s="198"/>
      <c r="R1209" s="198"/>
    </row>
    <row r="1210" spans="1:18" s="32" customFormat="1" hidden="1">
      <c r="A1210" s="82"/>
      <c r="B1210" s="145"/>
      <c r="C1210" s="84"/>
      <c r="D1210" s="84"/>
      <c r="E1210" s="84"/>
      <c r="F1210" s="84"/>
      <c r="G1210" s="87"/>
      <c r="H1210" s="87"/>
      <c r="I1210" s="87"/>
      <c r="J1210" s="173"/>
      <c r="K1210" s="200"/>
      <c r="L1210" s="198"/>
      <c r="M1210" s="198"/>
      <c r="N1210" s="198"/>
      <c r="O1210" s="198"/>
      <c r="P1210" s="198"/>
      <c r="Q1210" s="198"/>
      <c r="R1210" s="198"/>
    </row>
    <row r="1211" spans="1:18" s="28" customFormat="1" ht="28.5" hidden="1" customHeight="1">
      <c r="A1211" s="136" t="s">
        <v>460</v>
      </c>
      <c r="B1211" s="84" t="s">
        <v>92</v>
      </c>
      <c r="C1211" s="84" t="s">
        <v>25</v>
      </c>
      <c r="D1211" s="84" t="s">
        <v>69</v>
      </c>
      <c r="E1211" s="84" t="s">
        <v>189</v>
      </c>
      <c r="F1211" s="84"/>
      <c r="G1211" s="87">
        <f>G1212+G1215</f>
        <v>0</v>
      </c>
      <c r="H1211" s="87">
        <f>H1212</f>
        <v>0</v>
      </c>
      <c r="I1211" s="87">
        <f>I1212</f>
        <v>0</v>
      </c>
      <c r="J1211" s="173"/>
      <c r="K1211" s="199"/>
      <c r="L1211" s="199"/>
      <c r="M1211" s="199"/>
      <c r="N1211" s="199"/>
      <c r="O1211" s="199"/>
      <c r="P1211" s="199"/>
      <c r="Q1211" s="199"/>
      <c r="R1211" s="199"/>
    </row>
    <row r="1212" spans="1:18" s="28" customFormat="1" ht="27.75" hidden="1" customHeight="1">
      <c r="A1212" s="136" t="s">
        <v>667</v>
      </c>
      <c r="B1212" s="84" t="s">
        <v>92</v>
      </c>
      <c r="C1212" s="84" t="s">
        <v>25</v>
      </c>
      <c r="D1212" s="84" t="s">
        <v>69</v>
      </c>
      <c r="E1212" s="84" t="s">
        <v>666</v>
      </c>
      <c r="F1212" s="84"/>
      <c r="G1212" s="87">
        <f>G1213</f>
        <v>0</v>
      </c>
      <c r="H1212" s="87">
        <f t="shared" ref="H1212:I1212" si="299">H1213</f>
        <v>0</v>
      </c>
      <c r="I1212" s="87">
        <f t="shared" si="299"/>
        <v>0</v>
      </c>
      <c r="J1212" s="173"/>
      <c r="K1212" s="199"/>
      <c r="L1212" s="199"/>
      <c r="M1212" s="199"/>
      <c r="N1212" s="199"/>
      <c r="O1212" s="199"/>
      <c r="P1212" s="199"/>
      <c r="Q1212" s="199"/>
      <c r="R1212" s="199"/>
    </row>
    <row r="1213" spans="1:18" s="32" customFormat="1" ht="28.5" hidden="1" customHeight="1">
      <c r="A1213" s="82" t="s">
        <v>29</v>
      </c>
      <c r="B1213" s="84" t="s">
        <v>92</v>
      </c>
      <c r="C1213" s="84" t="s">
        <v>25</v>
      </c>
      <c r="D1213" s="84" t="s">
        <v>69</v>
      </c>
      <c r="E1213" s="84" t="s">
        <v>666</v>
      </c>
      <c r="F1213" s="84" t="s">
        <v>30</v>
      </c>
      <c r="G1213" s="87">
        <f>G1214</f>
        <v>0</v>
      </c>
      <c r="H1213" s="87">
        <f>H1214</f>
        <v>0</v>
      </c>
      <c r="I1213" s="87">
        <f>I1214</f>
        <v>0</v>
      </c>
      <c r="J1213" s="173"/>
      <c r="K1213" s="198"/>
      <c r="L1213" s="198"/>
      <c r="M1213" s="198"/>
      <c r="N1213" s="198"/>
      <c r="O1213" s="198"/>
      <c r="P1213" s="198"/>
      <c r="Q1213" s="198"/>
      <c r="R1213" s="198"/>
    </row>
    <row r="1214" spans="1:18" s="32" customFormat="1" hidden="1">
      <c r="A1214" s="82" t="s">
        <v>31</v>
      </c>
      <c r="B1214" s="84" t="s">
        <v>92</v>
      </c>
      <c r="C1214" s="84" t="s">
        <v>25</v>
      </c>
      <c r="D1214" s="84" t="s">
        <v>69</v>
      </c>
      <c r="E1214" s="84" t="s">
        <v>666</v>
      </c>
      <c r="F1214" s="84" t="s">
        <v>32</v>
      </c>
      <c r="G1214" s="87"/>
      <c r="H1214" s="87">
        <v>0</v>
      </c>
      <c r="I1214" s="87">
        <v>0</v>
      </c>
      <c r="J1214" s="173"/>
      <c r="K1214" s="200"/>
      <c r="L1214" s="198"/>
      <c r="M1214" s="198"/>
      <c r="N1214" s="198"/>
      <c r="O1214" s="198"/>
      <c r="P1214" s="198"/>
      <c r="Q1214" s="198"/>
      <c r="R1214" s="198"/>
    </row>
    <row r="1215" spans="1:18" s="28" customFormat="1" ht="27.75" hidden="1" customHeight="1">
      <c r="A1215" s="136" t="s">
        <v>590</v>
      </c>
      <c r="B1215" s="84" t="s">
        <v>92</v>
      </c>
      <c r="C1215" s="84" t="s">
        <v>25</v>
      </c>
      <c r="D1215" s="84" t="s">
        <v>69</v>
      </c>
      <c r="E1215" s="84" t="s">
        <v>519</v>
      </c>
      <c r="F1215" s="84"/>
      <c r="G1215" s="87">
        <f>G1216</f>
        <v>0</v>
      </c>
      <c r="H1215" s="87">
        <f t="shared" ref="H1215:I1215" si="300">H1216</f>
        <v>0</v>
      </c>
      <c r="I1215" s="87">
        <f t="shared" si="300"/>
        <v>0</v>
      </c>
      <c r="J1215" s="173"/>
      <c r="K1215" s="199"/>
      <c r="L1215" s="199"/>
      <c r="M1215" s="199"/>
      <c r="N1215" s="199"/>
      <c r="O1215" s="199"/>
      <c r="P1215" s="199"/>
      <c r="Q1215" s="199"/>
      <c r="R1215" s="199"/>
    </row>
    <row r="1216" spans="1:18" s="32" customFormat="1" ht="28.5" hidden="1" customHeight="1">
      <c r="A1216" s="82" t="s">
        <v>29</v>
      </c>
      <c r="B1216" s="84" t="s">
        <v>92</v>
      </c>
      <c r="C1216" s="84" t="s">
        <v>25</v>
      </c>
      <c r="D1216" s="84" t="s">
        <v>69</v>
      </c>
      <c r="E1216" s="84" t="s">
        <v>519</v>
      </c>
      <c r="F1216" s="84" t="s">
        <v>30</v>
      </c>
      <c r="G1216" s="87">
        <f>G1217</f>
        <v>0</v>
      </c>
      <c r="H1216" s="87">
        <f>H1217</f>
        <v>0</v>
      </c>
      <c r="I1216" s="87">
        <f>I1217</f>
        <v>0</v>
      </c>
      <c r="J1216" s="173"/>
      <c r="K1216" s="198"/>
      <c r="L1216" s="198"/>
      <c r="M1216" s="198"/>
      <c r="N1216" s="198"/>
      <c r="O1216" s="198"/>
      <c r="P1216" s="198"/>
      <c r="Q1216" s="198"/>
      <c r="R1216" s="198"/>
    </row>
    <row r="1217" spans="1:18" s="32" customFormat="1" hidden="1">
      <c r="A1217" s="82" t="s">
        <v>31</v>
      </c>
      <c r="B1217" s="84" t="s">
        <v>92</v>
      </c>
      <c r="C1217" s="84" t="s">
        <v>25</v>
      </c>
      <c r="D1217" s="84" t="s">
        <v>69</v>
      </c>
      <c r="E1217" s="84" t="s">
        <v>519</v>
      </c>
      <c r="F1217" s="84" t="s">
        <v>32</v>
      </c>
      <c r="G1217" s="87"/>
      <c r="H1217" s="87">
        <v>0</v>
      </c>
      <c r="I1217" s="87">
        <v>0</v>
      </c>
      <c r="J1217" s="173"/>
      <c r="K1217" s="200"/>
      <c r="L1217" s="198"/>
      <c r="M1217" s="198"/>
      <c r="N1217" s="198"/>
      <c r="O1217" s="198"/>
      <c r="P1217" s="198"/>
      <c r="Q1217" s="198"/>
      <c r="R1217" s="198"/>
    </row>
    <row r="1218" spans="1:18" s="161" customFormat="1" ht="30.75" hidden="1" customHeight="1">
      <c r="A1218" s="136" t="s">
        <v>267</v>
      </c>
      <c r="B1218" s="262">
        <v>774</v>
      </c>
      <c r="C1218" s="84" t="s">
        <v>25</v>
      </c>
      <c r="D1218" s="84" t="s">
        <v>69</v>
      </c>
      <c r="E1218" s="84" t="s">
        <v>543</v>
      </c>
      <c r="F1218" s="84"/>
      <c r="G1218" s="87">
        <f>G1219</f>
        <v>0</v>
      </c>
      <c r="H1218" s="263">
        <v>0</v>
      </c>
      <c r="I1218" s="263">
        <v>0</v>
      </c>
      <c r="J1218" s="188"/>
      <c r="K1218" s="201"/>
      <c r="L1218" s="201"/>
      <c r="M1218" s="201"/>
      <c r="N1218" s="201"/>
      <c r="O1218" s="201"/>
      <c r="P1218" s="201"/>
      <c r="Q1218" s="201"/>
      <c r="R1218" s="201"/>
    </row>
    <row r="1219" spans="1:18" ht="26.4" hidden="1">
      <c r="A1219" s="82" t="s">
        <v>29</v>
      </c>
      <c r="B1219" s="84" t="s">
        <v>92</v>
      </c>
      <c r="C1219" s="84" t="s">
        <v>25</v>
      </c>
      <c r="D1219" s="84" t="s">
        <v>69</v>
      </c>
      <c r="E1219" s="84" t="s">
        <v>544</v>
      </c>
      <c r="F1219" s="84" t="s">
        <v>30</v>
      </c>
      <c r="G1219" s="85">
        <f t="shared" ref="G1219:I1219" si="301">G1220</f>
        <v>0</v>
      </c>
      <c r="H1219" s="85">
        <f t="shared" si="301"/>
        <v>0</v>
      </c>
      <c r="I1219" s="85">
        <f t="shared" si="301"/>
        <v>0</v>
      </c>
      <c r="J1219" s="174"/>
    </row>
    <row r="1220" spans="1:18" hidden="1">
      <c r="A1220" s="82" t="s">
        <v>31</v>
      </c>
      <c r="B1220" s="84" t="s">
        <v>92</v>
      </c>
      <c r="C1220" s="84" t="s">
        <v>25</v>
      </c>
      <c r="D1220" s="84" t="s">
        <v>69</v>
      </c>
      <c r="E1220" s="84" t="s">
        <v>544</v>
      </c>
      <c r="F1220" s="84" t="s">
        <v>32</v>
      </c>
      <c r="G1220" s="85"/>
      <c r="H1220" s="85">
        <v>0</v>
      </c>
      <c r="I1220" s="85">
        <v>0</v>
      </c>
      <c r="J1220" s="174"/>
    </row>
    <row r="1221" spans="1:18" s="32" customFormat="1" ht="17.25" hidden="1" customHeight="1">
      <c r="A1221" s="266"/>
      <c r="B1221" s="84"/>
      <c r="C1221" s="152"/>
      <c r="D1221" s="152"/>
      <c r="E1221" s="152"/>
      <c r="F1221" s="152"/>
      <c r="G1221" s="153"/>
      <c r="H1221" s="153"/>
      <c r="I1221" s="153"/>
      <c r="J1221" s="191"/>
      <c r="K1221" s="198"/>
      <c r="L1221" s="198"/>
      <c r="M1221" s="198"/>
      <c r="N1221" s="198"/>
      <c r="O1221" s="198"/>
      <c r="P1221" s="198"/>
      <c r="Q1221" s="198"/>
      <c r="R1221" s="198"/>
    </row>
    <row r="1222" spans="1:18" s="32" customFormat="1" ht="17.25" hidden="1" customHeight="1">
      <c r="A1222" s="267" t="s">
        <v>468</v>
      </c>
      <c r="B1222" s="84" t="s">
        <v>92</v>
      </c>
      <c r="C1222" s="84" t="s">
        <v>71</v>
      </c>
      <c r="D1222" s="84" t="s">
        <v>18</v>
      </c>
      <c r="E1222" s="152"/>
      <c r="F1222" s="152"/>
      <c r="G1222" s="153">
        <f>G1223+G1233</f>
        <v>0</v>
      </c>
      <c r="H1222" s="153">
        <f>H1223+H1233</f>
        <v>0</v>
      </c>
      <c r="I1222" s="153">
        <f>I1223+I1233</f>
        <v>0</v>
      </c>
      <c r="J1222" s="191"/>
      <c r="K1222" s="198"/>
      <c r="L1222" s="198"/>
      <c r="M1222" s="198"/>
      <c r="N1222" s="198"/>
      <c r="O1222" s="198"/>
      <c r="P1222" s="198"/>
      <c r="Q1222" s="198"/>
      <c r="R1222" s="198"/>
    </row>
    <row r="1223" spans="1:18" ht="27.75" hidden="1" customHeight="1">
      <c r="A1223" s="136" t="s">
        <v>460</v>
      </c>
      <c r="B1223" s="84" t="s">
        <v>92</v>
      </c>
      <c r="C1223" s="84" t="s">
        <v>71</v>
      </c>
      <c r="D1223" s="84" t="s">
        <v>18</v>
      </c>
      <c r="E1223" s="84" t="s">
        <v>189</v>
      </c>
      <c r="F1223" s="84"/>
      <c r="G1223" s="87">
        <f>G1225+G1228+G1230</f>
        <v>0</v>
      </c>
      <c r="H1223" s="87">
        <f>H1225+H1228+H1230</f>
        <v>0</v>
      </c>
      <c r="I1223" s="87">
        <f>I1225+I1228+I1230</f>
        <v>0</v>
      </c>
      <c r="J1223" s="173"/>
    </row>
    <row r="1224" spans="1:18" ht="19.5" hidden="1" customHeight="1">
      <c r="A1224" s="82" t="s">
        <v>31</v>
      </c>
      <c r="B1224" s="84" t="s">
        <v>92</v>
      </c>
      <c r="C1224" s="84" t="s">
        <v>71</v>
      </c>
      <c r="D1224" s="84" t="s">
        <v>18</v>
      </c>
      <c r="E1224" s="84" t="s">
        <v>39</v>
      </c>
      <c r="F1224" s="84" t="s">
        <v>32</v>
      </c>
      <c r="G1224" s="87"/>
      <c r="H1224" s="87"/>
      <c r="I1224" s="87"/>
      <c r="J1224" s="173"/>
    </row>
    <row r="1225" spans="1:18" ht="39" hidden="1" customHeight="1">
      <c r="A1225" s="82" t="s">
        <v>109</v>
      </c>
      <c r="B1225" s="84" t="s">
        <v>92</v>
      </c>
      <c r="C1225" s="84" t="s">
        <v>71</v>
      </c>
      <c r="D1225" s="84" t="s">
        <v>18</v>
      </c>
      <c r="E1225" s="84" t="s">
        <v>190</v>
      </c>
      <c r="F1225" s="84"/>
      <c r="G1225" s="87">
        <f>G1226</f>
        <v>0</v>
      </c>
      <c r="H1225" s="87">
        <f t="shared" ref="H1225:I1225" si="302">H1226</f>
        <v>0</v>
      </c>
      <c r="I1225" s="87">
        <f t="shared" si="302"/>
        <v>0</v>
      </c>
      <c r="J1225" s="173"/>
    </row>
    <row r="1226" spans="1:18" ht="26.4" hidden="1">
      <c r="A1226" s="82" t="s">
        <v>29</v>
      </c>
      <c r="B1226" s="84" t="s">
        <v>92</v>
      </c>
      <c r="C1226" s="84" t="s">
        <v>71</v>
      </c>
      <c r="D1226" s="84" t="s">
        <v>18</v>
      </c>
      <c r="E1226" s="84" t="s">
        <v>190</v>
      </c>
      <c r="F1226" s="84" t="s">
        <v>30</v>
      </c>
      <c r="G1226" s="87">
        <f>G1227</f>
        <v>0</v>
      </c>
      <c r="H1226" s="87">
        <f>H1227</f>
        <v>0</v>
      </c>
      <c r="I1226" s="87">
        <f>I1227</f>
        <v>0</v>
      </c>
      <c r="J1226" s="173"/>
    </row>
    <row r="1227" spans="1:18" ht="19.5" hidden="1" customHeight="1">
      <c r="A1227" s="82" t="s">
        <v>31</v>
      </c>
      <c r="B1227" s="84" t="s">
        <v>92</v>
      </c>
      <c r="C1227" s="84" t="s">
        <v>71</v>
      </c>
      <c r="D1227" s="84" t="s">
        <v>18</v>
      </c>
      <c r="E1227" s="84" t="s">
        <v>190</v>
      </c>
      <c r="F1227" s="84" t="s">
        <v>32</v>
      </c>
      <c r="G1227" s="87"/>
      <c r="H1227" s="87"/>
      <c r="I1227" s="87"/>
      <c r="J1227" s="173"/>
    </row>
    <row r="1228" spans="1:18" s="32" customFormat="1" ht="25.5" hidden="1" customHeight="1">
      <c r="A1228" s="82" t="s">
        <v>29</v>
      </c>
      <c r="B1228" s="84" t="s">
        <v>92</v>
      </c>
      <c r="C1228" s="84" t="s">
        <v>71</v>
      </c>
      <c r="D1228" s="84" t="s">
        <v>18</v>
      </c>
      <c r="E1228" s="84" t="s">
        <v>519</v>
      </c>
      <c r="F1228" s="84" t="s">
        <v>30</v>
      </c>
      <c r="G1228" s="87">
        <f>G1229</f>
        <v>0</v>
      </c>
      <c r="H1228" s="87">
        <v>0</v>
      </c>
      <c r="I1228" s="87">
        <v>0</v>
      </c>
      <c r="J1228" s="173"/>
      <c r="K1228" s="198"/>
      <c r="L1228" s="198"/>
      <c r="M1228" s="198"/>
      <c r="N1228" s="198"/>
      <c r="O1228" s="198"/>
      <c r="P1228" s="198"/>
      <c r="Q1228" s="198"/>
      <c r="R1228" s="198"/>
    </row>
    <row r="1229" spans="1:18" s="32" customFormat="1" ht="17.25" hidden="1" customHeight="1">
      <c r="A1229" s="82" t="s">
        <v>31</v>
      </c>
      <c r="B1229" s="84" t="s">
        <v>92</v>
      </c>
      <c r="C1229" s="84" t="s">
        <v>71</v>
      </c>
      <c r="D1229" s="84" t="s">
        <v>18</v>
      </c>
      <c r="E1229" s="84" t="s">
        <v>519</v>
      </c>
      <c r="F1229" s="84" t="s">
        <v>32</v>
      </c>
      <c r="G1229" s="87"/>
      <c r="H1229" s="87">
        <v>0</v>
      </c>
      <c r="I1229" s="87">
        <v>0</v>
      </c>
      <c r="J1229" s="173"/>
      <c r="K1229" s="198"/>
      <c r="L1229" s="198"/>
      <c r="M1229" s="198"/>
      <c r="N1229" s="198"/>
      <c r="O1229" s="198"/>
      <c r="P1229" s="198"/>
      <c r="Q1229" s="198"/>
      <c r="R1229" s="198"/>
    </row>
    <row r="1230" spans="1:18" s="32" customFormat="1" ht="65.25" hidden="1" customHeight="1">
      <c r="A1230" s="82" t="s">
        <v>587</v>
      </c>
      <c r="B1230" s="84" t="s">
        <v>92</v>
      </c>
      <c r="C1230" s="84" t="s">
        <v>71</v>
      </c>
      <c r="D1230" s="84" t="s">
        <v>18</v>
      </c>
      <c r="E1230" s="84" t="s">
        <v>586</v>
      </c>
      <c r="F1230" s="84"/>
      <c r="G1230" s="87">
        <f>G1231</f>
        <v>0</v>
      </c>
      <c r="H1230" s="87">
        <f t="shared" ref="H1230:I1230" si="303">H1231</f>
        <v>0</v>
      </c>
      <c r="I1230" s="87">
        <f t="shared" si="303"/>
        <v>0</v>
      </c>
      <c r="J1230" s="173"/>
      <c r="K1230" s="198"/>
      <c r="L1230" s="198"/>
      <c r="M1230" s="198"/>
      <c r="N1230" s="198"/>
      <c r="O1230" s="198"/>
      <c r="P1230" s="198"/>
      <c r="Q1230" s="198"/>
      <c r="R1230" s="198"/>
    </row>
    <row r="1231" spans="1:18" s="32" customFormat="1" ht="25.5" hidden="1" customHeight="1">
      <c r="A1231" s="82" t="s">
        <v>29</v>
      </c>
      <c r="B1231" s="84" t="s">
        <v>92</v>
      </c>
      <c r="C1231" s="84" t="s">
        <v>71</v>
      </c>
      <c r="D1231" s="84" t="s">
        <v>18</v>
      </c>
      <c r="E1231" s="84" t="s">
        <v>586</v>
      </c>
      <c r="F1231" s="84" t="s">
        <v>30</v>
      </c>
      <c r="G1231" s="87">
        <f>G1232</f>
        <v>0</v>
      </c>
      <c r="H1231" s="87">
        <v>0</v>
      </c>
      <c r="I1231" s="87">
        <v>0</v>
      </c>
      <c r="J1231" s="173"/>
      <c r="K1231" s="198"/>
      <c r="L1231" s="198"/>
      <c r="M1231" s="198"/>
      <c r="N1231" s="198"/>
      <c r="O1231" s="198"/>
      <c r="P1231" s="198"/>
      <c r="Q1231" s="198"/>
      <c r="R1231" s="198"/>
    </row>
    <row r="1232" spans="1:18" s="32" customFormat="1" ht="17.25" hidden="1" customHeight="1">
      <c r="A1232" s="82" t="s">
        <v>31</v>
      </c>
      <c r="B1232" s="84" t="s">
        <v>92</v>
      </c>
      <c r="C1232" s="84" t="s">
        <v>71</v>
      </c>
      <c r="D1232" s="84" t="s">
        <v>18</v>
      </c>
      <c r="E1232" s="84" t="s">
        <v>586</v>
      </c>
      <c r="F1232" s="84" t="s">
        <v>32</v>
      </c>
      <c r="G1232" s="87"/>
      <c r="H1232" s="87">
        <v>0</v>
      </c>
      <c r="I1232" s="87">
        <v>0</v>
      </c>
      <c r="J1232" s="173"/>
      <c r="K1232" s="198"/>
      <c r="L1232" s="198"/>
      <c r="M1232" s="198"/>
      <c r="N1232" s="198"/>
      <c r="O1232" s="198"/>
      <c r="P1232" s="198"/>
      <c r="Q1232" s="198"/>
      <c r="R1232" s="198"/>
    </row>
    <row r="1233" spans="1:18" s="18" customFormat="1" ht="26.4" hidden="1">
      <c r="A1233" s="82" t="s">
        <v>454</v>
      </c>
      <c r="B1233" s="84" t="s">
        <v>92</v>
      </c>
      <c r="C1233" s="84" t="s">
        <v>71</v>
      </c>
      <c r="D1233" s="84" t="s">
        <v>18</v>
      </c>
      <c r="E1233" s="84" t="s">
        <v>257</v>
      </c>
      <c r="F1233" s="84"/>
      <c r="G1233" s="87">
        <f>G1234</f>
        <v>0</v>
      </c>
      <c r="H1233" s="87">
        <f t="shared" ref="H1233:I1235" si="304">H1234</f>
        <v>0</v>
      </c>
      <c r="I1233" s="87">
        <f t="shared" si="304"/>
        <v>0</v>
      </c>
      <c r="J1233" s="173"/>
      <c r="K1233" s="195"/>
      <c r="L1233" s="195"/>
      <c r="M1233" s="195"/>
      <c r="N1233" s="195"/>
      <c r="O1233" s="195"/>
      <c r="P1233" s="195"/>
      <c r="Q1233" s="195"/>
      <c r="R1233" s="195"/>
    </row>
    <row r="1234" spans="1:18" s="18" customFormat="1" ht="26.4" hidden="1">
      <c r="A1234" s="82" t="s">
        <v>453</v>
      </c>
      <c r="B1234" s="84" t="s">
        <v>92</v>
      </c>
      <c r="C1234" s="84" t="s">
        <v>71</v>
      </c>
      <c r="D1234" s="84" t="s">
        <v>18</v>
      </c>
      <c r="E1234" s="84" t="s">
        <v>428</v>
      </c>
      <c r="F1234" s="84"/>
      <c r="G1234" s="87">
        <f>G1235</f>
        <v>0</v>
      </c>
      <c r="H1234" s="87">
        <f t="shared" si="304"/>
        <v>0</v>
      </c>
      <c r="I1234" s="87">
        <f t="shared" si="304"/>
        <v>0</v>
      </c>
      <c r="J1234" s="173"/>
      <c r="K1234" s="195"/>
      <c r="L1234" s="195"/>
      <c r="M1234" s="195"/>
      <c r="N1234" s="195"/>
      <c r="O1234" s="195"/>
      <c r="P1234" s="195"/>
      <c r="Q1234" s="195"/>
      <c r="R1234" s="195"/>
    </row>
    <row r="1235" spans="1:18" s="18" customFormat="1" ht="26.4" hidden="1">
      <c r="A1235" s="82" t="s">
        <v>94</v>
      </c>
      <c r="B1235" s="84" t="s">
        <v>92</v>
      </c>
      <c r="C1235" s="84" t="s">
        <v>71</v>
      </c>
      <c r="D1235" s="84" t="s">
        <v>18</v>
      </c>
      <c r="E1235" s="84" t="s">
        <v>428</v>
      </c>
      <c r="F1235" s="84" t="s">
        <v>338</v>
      </c>
      <c r="G1235" s="87">
        <f>G1236</f>
        <v>0</v>
      </c>
      <c r="H1235" s="87">
        <f t="shared" si="304"/>
        <v>0</v>
      </c>
      <c r="I1235" s="87">
        <f t="shared" si="304"/>
        <v>0</v>
      </c>
      <c r="J1235" s="173"/>
      <c r="K1235" s="195"/>
      <c r="L1235" s="195"/>
      <c r="M1235" s="195"/>
      <c r="N1235" s="195"/>
      <c r="O1235" s="195"/>
      <c r="P1235" s="195"/>
      <c r="Q1235" s="195"/>
      <c r="R1235" s="195"/>
    </row>
    <row r="1236" spans="1:18" s="18" customFormat="1" ht="92.4" hidden="1">
      <c r="A1236" s="130" t="s">
        <v>407</v>
      </c>
      <c r="B1236" s="84" t="s">
        <v>92</v>
      </c>
      <c r="C1236" s="84" t="s">
        <v>71</v>
      </c>
      <c r="D1236" s="84" t="s">
        <v>18</v>
      </c>
      <c r="E1236" s="84" t="s">
        <v>428</v>
      </c>
      <c r="F1236" s="84" t="s">
        <v>406</v>
      </c>
      <c r="G1236" s="87">
        <f>50000-50000</f>
        <v>0</v>
      </c>
      <c r="H1236" s="87"/>
      <c r="I1236" s="87"/>
      <c r="J1236" s="173"/>
      <c r="K1236" s="195"/>
      <c r="L1236" s="195"/>
      <c r="M1236" s="195"/>
      <c r="N1236" s="195"/>
      <c r="O1236" s="195"/>
      <c r="P1236" s="195"/>
      <c r="Q1236" s="195"/>
      <c r="R1236" s="195"/>
    </row>
    <row r="1237" spans="1:18" s="33" customFormat="1" ht="15" hidden="1" customHeight="1">
      <c r="A1237" s="82"/>
      <c r="B1237" s="84"/>
      <c r="C1237" s="84"/>
      <c r="D1237" s="84"/>
      <c r="E1237" s="164"/>
      <c r="F1237" s="164"/>
      <c r="G1237" s="93"/>
      <c r="H1237" s="93"/>
      <c r="I1237" s="93"/>
      <c r="J1237" s="190"/>
      <c r="K1237" s="206"/>
      <c r="L1237" s="206"/>
      <c r="M1237" s="206"/>
      <c r="N1237" s="206"/>
      <c r="O1237" s="206"/>
      <c r="P1237" s="206"/>
      <c r="Q1237" s="206"/>
      <c r="R1237" s="206"/>
    </row>
    <row r="1238" spans="1:18" s="165" customFormat="1" ht="28.5" hidden="1" customHeight="1">
      <c r="A1238" s="136" t="s">
        <v>460</v>
      </c>
      <c r="B1238" s="84" t="s">
        <v>92</v>
      </c>
      <c r="C1238" s="84" t="s">
        <v>25</v>
      </c>
      <c r="D1238" s="84" t="s">
        <v>69</v>
      </c>
      <c r="E1238" s="84" t="s">
        <v>189</v>
      </c>
      <c r="F1238" s="84"/>
      <c r="G1238" s="87">
        <f>G1239+G1242+G1245</f>
        <v>0</v>
      </c>
      <c r="H1238" s="87">
        <f t="shared" ref="H1238:I1238" si="305">H1239+H1242+H1245</f>
        <v>0</v>
      </c>
      <c r="I1238" s="87">
        <f t="shared" si="305"/>
        <v>0</v>
      </c>
      <c r="J1238" s="173"/>
      <c r="K1238" s="199"/>
      <c r="L1238" s="199"/>
      <c r="M1238" s="199"/>
      <c r="N1238" s="199"/>
      <c r="O1238" s="199"/>
      <c r="P1238" s="199"/>
      <c r="Q1238" s="199"/>
      <c r="R1238" s="199"/>
    </row>
    <row r="1239" spans="1:18" s="165" customFormat="1" ht="27.75" hidden="1" customHeight="1">
      <c r="A1239" s="136" t="s">
        <v>72</v>
      </c>
      <c r="B1239" s="84" t="s">
        <v>92</v>
      </c>
      <c r="C1239" s="84" t="s">
        <v>25</v>
      </c>
      <c r="D1239" s="84" t="s">
        <v>69</v>
      </c>
      <c r="E1239" s="84" t="s">
        <v>200</v>
      </c>
      <c r="F1239" s="84"/>
      <c r="G1239" s="87">
        <f>G1240</f>
        <v>0</v>
      </c>
      <c r="H1239" s="87">
        <f t="shared" ref="H1239:I1239" si="306">H1240</f>
        <v>0</v>
      </c>
      <c r="I1239" s="87">
        <f t="shared" si="306"/>
        <v>0</v>
      </c>
      <c r="J1239" s="173"/>
      <c r="K1239" s="199"/>
      <c r="L1239" s="199"/>
      <c r="M1239" s="199"/>
      <c r="N1239" s="199"/>
      <c r="O1239" s="199"/>
      <c r="P1239" s="199"/>
      <c r="Q1239" s="199"/>
      <c r="R1239" s="199"/>
    </row>
    <row r="1240" spans="1:18" s="220" customFormat="1" ht="28.5" hidden="1" customHeight="1">
      <c r="A1240" s="82" t="s">
        <v>35</v>
      </c>
      <c r="B1240" s="84" t="s">
        <v>92</v>
      </c>
      <c r="C1240" s="84" t="s">
        <v>25</v>
      </c>
      <c r="D1240" s="84" t="s">
        <v>69</v>
      </c>
      <c r="E1240" s="84" t="s">
        <v>200</v>
      </c>
      <c r="F1240" s="84" t="s">
        <v>36</v>
      </c>
      <c r="G1240" s="87">
        <f>G1241</f>
        <v>0</v>
      </c>
      <c r="H1240" s="87">
        <f>H1241</f>
        <v>0</v>
      </c>
      <c r="I1240" s="87">
        <f>I1241</f>
        <v>0</v>
      </c>
      <c r="J1240" s="173"/>
      <c r="K1240" s="198"/>
      <c r="L1240" s="198"/>
      <c r="M1240" s="198"/>
      <c r="N1240" s="198"/>
      <c r="O1240" s="198"/>
      <c r="P1240" s="198"/>
      <c r="Q1240" s="198"/>
      <c r="R1240" s="198"/>
    </row>
    <row r="1241" spans="1:18" s="220" customFormat="1" hidden="1">
      <c r="A1241" s="82"/>
      <c r="B1241" s="84" t="s">
        <v>92</v>
      </c>
      <c r="C1241" s="84" t="s">
        <v>25</v>
      </c>
      <c r="D1241" s="84" t="s">
        <v>69</v>
      </c>
      <c r="E1241" s="84"/>
      <c r="F1241" s="84"/>
      <c r="G1241" s="87"/>
      <c r="H1241" s="87"/>
      <c r="I1241" s="87"/>
      <c r="J1241" s="173"/>
      <c r="K1241" s="200"/>
      <c r="L1241" s="198"/>
      <c r="M1241" s="198"/>
      <c r="N1241" s="198"/>
      <c r="O1241" s="198"/>
      <c r="P1241" s="198"/>
      <c r="Q1241" s="198"/>
      <c r="R1241" s="198"/>
    </row>
    <row r="1242" spans="1:18" s="165" customFormat="1" ht="56.25" hidden="1" customHeight="1">
      <c r="A1242" s="136" t="s">
        <v>808</v>
      </c>
      <c r="B1242" s="84" t="s">
        <v>92</v>
      </c>
      <c r="C1242" s="84" t="s">
        <v>25</v>
      </c>
      <c r="D1242" s="84" t="s">
        <v>69</v>
      </c>
      <c r="E1242" s="84" t="s">
        <v>807</v>
      </c>
      <c r="F1242" s="84"/>
      <c r="G1242" s="87">
        <f>G1243</f>
        <v>0</v>
      </c>
      <c r="H1242" s="87">
        <f t="shared" ref="H1242:I1242" si="307">H1243</f>
        <v>0</v>
      </c>
      <c r="I1242" s="87">
        <f t="shared" si="307"/>
        <v>0</v>
      </c>
      <c r="J1242" s="173"/>
      <c r="K1242" s="199"/>
      <c r="L1242" s="199"/>
      <c r="M1242" s="199"/>
      <c r="N1242" s="199"/>
      <c r="O1242" s="199"/>
      <c r="P1242" s="199"/>
      <c r="Q1242" s="199"/>
      <c r="R1242" s="199"/>
    </row>
    <row r="1243" spans="1:18" s="220" customFormat="1" ht="28.5" hidden="1" customHeight="1">
      <c r="A1243" s="82" t="s">
        <v>29</v>
      </c>
      <c r="B1243" s="84" t="s">
        <v>92</v>
      </c>
      <c r="C1243" s="84" t="s">
        <v>25</v>
      </c>
      <c r="D1243" s="84" t="s">
        <v>69</v>
      </c>
      <c r="E1243" s="84" t="s">
        <v>807</v>
      </c>
      <c r="F1243" s="84" t="s">
        <v>30</v>
      </c>
      <c r="G1243" s="87">
        <f>G1244</f>
        <v>0</v>
      </c>
      <c r="H1243" s="87">
        <f>H1244</f>
        <v>0</v>
      </c>
      <c r="I1243" s="87">
        <f>I1244</f>
        <v>0</v>
      </c>
      <c r="J1243" s="173"/>
      <c r="K1243" s="198"/>
      <c r="L1243" s="198"/>
      <c r="M1243" s="198"/>
      <c r="N1243" s="198"/>
      <c r="O1243" s="198"/>
      <c r="P1243" s="198"/>
      <c r="Q1243" s="198"/>
      <c r="R1243" s="198"/>
    </row>
    <row r="1244" spans="1:18" s="220" customFormat="1" hidden="1">
      <c r="A1244" s="82" t="s">
        <v>31</v>
      </c>
      <c r="B1244" s="84" t="s">
        <v>92</v>
      </c>
      <c r="C1244" s="84" t="s">
        <v>25</v>
      </c>
      <c r="D1244" s="84" t="s">
        <v>69</v>
      </c>
      <c r="E1244" s="84" t="s">
        <v>807</v>
      </c>
      <c r="F1244" s="84" t="s">
        <v>32</v>
      </c>
      <c r="G1244" s="87"/>
      <c r="H1244" s="87">
        <v>0</v>
      </c>
      <c r="I1244" s="87">
        <v>0</v>
      </c>
      <c r="J1244" s="173"/>
      <c r="K1244" s="200"/>
      <c r="L1244" s="198"/>
      <c r="M1244" s="198"/>
      <c r="N1244" s="198"/>
      <c r="O1244" s="198"/>
      <c r="P1244" s="198"/>
      <c r="Q1244" s="198"/>
      <c r="R1244" s="198"/>
    </row>
    <row r="1245" spans="1:18" s="28" customFormat="1" ht="35.25" hidden="1" customHeight="1">
      <c r="A1245" s="136" t="s">
        <v>590</v>
      </c>
      <c r="B1245" s="84" t="s">
        <v>92</v>
      </c>
      <c r="C1245" s="84" t="s">
        <v>25</v>
      </c>
      <c r="D1245" s="84" t="s">
        <v>69</v>
      </c>
      <c r="E1245" s="84" t="s">
        <v>519</v>
      </c>
      <c r="F1245" s="84"/>
      <c r="G1245" s="87">
        <f>G1246</f>
        <v>0</v>
      </c>
      <c r="H1245" s="87">
        <f t="shared" ref="H1245:I1245" si="308">H1246</f>
        <v>0</v>
      </c>
      <c r="I1245" s="87">
        <f t="shared" si="308"/>
        <v>0</v>
      </c>
      <c r="J1245" s="173"/>
      <c r="K1245" s="199"/>
      <c r="L1245" s="199"/>
      <c r="M1245" s="199"/>
      <c r="N1245" s="199"/>
      <c r="O1245" s="199"/>
      <c r="P1245" s="199"/>
      <c r="Q1245" s="199"/>
      <c r="R1245" s="199"/>
    </row>
    <row r="1246" spans="1:18" s="32" customFormat="1" ht="28.5" hidden="1" customHeight="1">
      <c r="A1246" s="82" t="s">
        <v>29</v>
      </c>
      <c r="B1246" s="84" t="s">
        <v>92</v>
      </c>
      <c r="C1246" s="84" t="s">
        <v>25</v>
      </c>
      <c r="D1246" s="84" t="s">
        <v>69</v>
      </c>
      <c r="E1246" s="84" t="s">
        <v>519</v>
      </c>
      <c r="F1246" s="84" t="s">
        <v>30</v>
      </c>
      <c r="G1246" s="87">
        <f>G1247</f>
        <v>0</v>
      </c>
      <c r="H1246" s="87">
        <f>H1247</f>
        <v>0</v>
      </c>
      <c r="I1246" s="87">
        <f>I1247</f>
        <v>0</v>
      </c>
      <c r="J1246" s="173"/>
      <c r="K1246" s="198"/>
      <c r="L1246" s="198"/>
      <c r="M1246" s="198"/>
      <c r="N1246" s="198"/>
      <c r="O1246" s="198"/>
      <c r="P1246" s="198"/>
      <c r="Q1246" s="198"/>
      <c r="R1246" s="198"/>
    </row>
    <row r="1247" spans="1:18" s="32" customFormat="1" hidden="1">
      <c r="A1247" s="82" t="s">
        <v>31</v>
      </c>
      <c r="B1247" s="84" t="s">
        <v>92</v>
      </c>
      <c r="C1247" s="84" t="s">
        <v>25</v>
      </c>
      <c r="D1247" s="84" t="s">
        <v>69</v>
      </c>
      <c r="E1247" s="84" t="s">
        <v>519</v>
      </c>
      <c r="F1247" s="84" t="s">
        <v>32</v>
      </c>
      <c r="G1247" s="87"/>
      <c r="H1247" s="87"/>
      <c r="I1247" s="87"/>
      <c r="J1247" s="173"/>
      <c r="K1247" s="200"/>
      <c r="L1247" s="198"/>
      <c r="M1247" s="198"/>
      <c r="N1247" s="198"/>
      <c r="O1247" s="198"/>
      <c r="P1247" s="198"/>
      <c r="Q1247" s="198"/>
      <c r="R1247" s="198"/>
    </row>
    <row r="1248" spans="1:18" s="32" customFormat="1" ht="39.6" hidden="1">
      <c r="A1248" s="82" t="s">
        <v>442</v>
      </c>
      <c r="B1248" s="145">
        <v>774</v>
      </c>
      <c r="C1248" s="84" t="s">
        <v>25</v>
      </c>
      <c r="D1248" s="84" t="s">
        <v>69</v>
      </c>
      <c r="E1248" s="84" t="s">
        <v>975</v>
      </c>
      <c r="F1248" s="84"/>
      <c r="G1248" s="87">
        <f>G1249</f>
        <v>0</v>
      </c>
      <c r="H1248" s="87"/>
      <c r="I1248" s="87"/>
      <c r="J1248" s="173"/>
      <c r="K1248" s="200"/>
      <c r="L1248" s="198"/>
      <c r="M1248" s="198"/>
      <c r="N1248" s="198"/>
      <c r="O1248" s="198"/>
      <c r="P1248" s="198"/>
      <c r="Q1248" s="198"/>
      <c r="R1248" s="198"/>
    </row>
    <row r="1249" spans="1:20" s="32" customFormat="1" ht="26.4" hidden="1">
      <c r="A1249" s="82" t="s">
        <v>440</v>
      </c>
      <c r="B1249" s="145">
        <v>774</v>
      </c>
      <c r="C1249" s="84" t="s">
        <v>25</v>
      </c>
      <c r="D1249" s="84" t="s">
        <v>69</v>
      </c>
      <c r="E1249" s="84" t="s">
        <v>975</v>
      </c>
      <c r="F1249" s="84"/>
      <c r="G1249" s="87">
        <f>G1250</f>
        <v>0</v>
      </c>
      <c r="H1249" s="87"/>
      <c r="I1249" s="87"/>
      <c r="J1249" s="173"/>
      <c r="K1249" s="200"/>
      <c r="L1249" s="198"/>
      <c r="M1249" s="198"/>
      <c r="N1249" s="198"/>
      <c r="O1249" s="198"/>
      <c r="P1249" s="198"/>
      <c r="Q1249" s="198"/>
      <c r="R1249" s="198"/>
    </row>
    <row r="1250" spans="1:20" s="32" customFormat="1" ht="26.4" hidden="1">
      <c r="A1250" s="82" t="s">
        <v>29</v>
      </c>
      <c r="B1250" s="145">
        <v>774</v>
      </c>
      <c r="C1250" s="84" t="s">
        <v>25</v>
      </c>
      <c r="D1250" s="84" t="s">
        <v>69</v>
      </c>
      <c r="E1250" s="84" t="s">
        <v>975</v>
      </c>
      <c r="F1250" s="84" t="s">
        <v>30</v>
      </c>
      <c r="G1250" s="87">
        <f>G1251</f>
        <v>0</v>
      </c>
      <c r="H1250" s="87"/>
      <c r="I1250" s="87"/>
      <c r="J1250" s="173"/>
      <c r="K1250" s="200"/>
      <c r="L1250" s="198"/>
      <c r="M1250" s="198"/>
      <c r="N1250" s="198"/>
      <c r="O1250" s="198"/>
      <c r="P1250" s="198"/>
      <c r="Q1250" s="198"/>
      <c r="R1250" s="198"/>
    </row>
    <row r="1251" spans="1:20" s="32" customFormat="1" ht="21" hidden="1" customHeight="1">
      <c r="A1251" s="82" t="s">
        <v>31</v>
      </c>
      <c r="B1251" s="145">
        <v>774</v>
      </c>
      <c r="C1251" s="84" t="s">
        <v>25</v>
      </c>
      <c r="D1251" s="84" t="s">
        <v>69</v>
      </c>
      <c r="E1251" s="84" t="s">
        <v>975</v>
      </c>
      <c r="F1251" s="84" t="s">
        <v>32</v>
      </c>
      <c r="G1251" s="87"/>
      <c r="H1251" s="87"/>
      <c r="I1251" s="87"/>
      <c r="J1251" s="173"/>
      <c r="K1251" s="200"/>
      <c r="L1251" s="198"/>
      <c r="M1251" s="198"/>
      <c r="N1251" s="198"/>
      <c r="O1251" s="198"/>
      <c r="P1251" s="198"/>
      <c r="Q1251" s="198"/>
      <c r="R1251" s="198"/>
    </row>
    <row r="1252" spans="1:20" s="157" customFormat="1" ht="34.5" hidden="1" customHeight="1">
      <c r="A1252" s="136" t="s">
        <v>163</v>
      </c>
      <c r="B1252" s="84" t="s">
        <v>92</v>
      </c>
      <c r="C1252" s="84" t="s">
        <v>25</v>
      </c>
      <c r="D1252" s="84" t="s">
        <v>69</v>
      </c>
      <c r="E1252" s="84" t="s">
        <v>228</v>
      </c>
      <c r="F1252" s="155"/>
      <c r="G1252" s="87">
        <f>G1253</f>
        <v>0</v>
      </c>
      <c r="H1252" s="87">
        <f t="shared" ref="H1252:I1253" si="309">H1253</f>
        <v>0</v>
      </c>
      <c r="I1252" s="87">
        <f t="shared" si="309"/>
        <v>0</v>
      </c>
      <c r="J1252" s="156"/>
      <c r="P1252" s="156"/>
      <c r="Q1252" s="156"/>
      <c r="R1252" s="156"/>
      <c r="S1252" s="156"/>
      <c r="T1252" s="156"/>
    </row>
    <row r="1253" spans="1:20" ht="18" hidden="1" customHeight="1">
      <c r="A1253" s="82" t="s">
        <v>29</v>
      </c>
      <c r="B1253" s="84" t="s">
        <v>92</v>
      </c>
      <c r="C1253" s="84" t="s">
        <v>25</v>
      </c>
      <c r="D1253" s="84" t="s">
        <v>69</v>
      </c>
      <c r="E1253" s="84" t="s">
        <v>270</v>
      </c>
      <c r="F1253" s="84" t="s">
        <v>30</v>
      </c>
      <c r="G1253" s="87">
        <f>G1254</f>
        <v>0</v>
      </c>
      <c r="H1253" s="87">
        <f t="shared" si="309"/>
        <v>0</v>
      </c>
      <c r="I1253" s="87">
        <f t="shared" si="309"/>
        <v>0</v>
      </c>
      <c r="J1253" s="90"/>
      <c r="K1253" s="1"/>
      <c r="L1253" s="1"/>
      <c r="M1253" s="1"/>
      <c r="N1253" s="1"/>
      <c r="O1253" s="1"/>
      <c r="P1253" s="2"/>
      <c r="Q1253" s="2"/>
      <c r="R1253" s="2"/>
      <c r="S1253" s="2"/>
      <c r="T1253" s="2"/>
    </row>
    <row r="1254" spans="1:20" ht="18" hidden="1" customHeight="1">
      <c r="A1254" s="82" t="s">
        <v>31</v>
      </c>
      <c r="B1254" s="84" t="s">
        <v>92</v>
      </c>
      <c r="C1254" s="84" t="s">
        <v>25</v>
      </c>
      <c r="D1254" s="84" t="s">
        <v>69</v>
      </c>
      <c r="E1254" s="84" t="s">
        <v>270</v>
      </c>
      <c r="F1254" s="84" t="s">
        <v>32</v>
      </c>
      <c r="G1254" s="87"/>
      <c r="H1254" s="87"/>
      <c r="I1254" s="87"/>
      <c r="J1254" s="90"/>
      <c r="K1254" s="1"/>
      <c r="L1254" s="1"/>
      <c r="M1254" s="1"/>
      <c r="N1254" s="1"/>
      <c r="O1254" s="1"/>
      <c r="P1254" s="2"/>
      <c r="Q1254" s="2"/>
      <c r="R1254" s="2"/>
      <c r="S1254" s="2"/>
      <c r="T1254" s="2"/>
    </row>
    <row r="1255" spans="1:20">
      <c r="A1255" s="82" t="s">
        <v>275</v>
      </c>
      <c r="B1255" s="84" t="s">
        <v>92</v>
      </c>
      <c r="C1255" s="84" t="s">
        <v>25</v>
      </c>
      <c r="D1255" s="84" t="s">
        <v>25</v>
      </c>
      <c r="E1255" s="84"/>
      <c r="F1255" s="84"/>
      <c r="G1255" s="87">
        <f>G1256+G1309</f>
        <v>6102744.6200000001</v>
      </c>
      <c r="H1255" s="87">
        <f>H1256+H1309</f>
        <v>5670475.4000000004</v>
      </c>
      <c r="I1255" s="87">
        <f>I1256+I1309</f>
        <v>5877303.2400000002</v>
      </c>
      <c r="J1255" s="173"/>
    </row>
    <row r="1256" spans="1:20" s="28" customFormat="1" ht="44.25" customHeight="1">
      <c r="A1256" s="16" t="s">
        <v>1133</v>
      </c>
      <c r="B1256" s="84" t="s">
        <v>92</v>
      </c>
      <c r="C1256" s="84" t="s">
        <v>25</v>
      </c>
      <c r="D1256" s="84" t="s">
        <v>25</v>
      </c>
      <c r="E1256" s="84" t="s">
        <v>183</v>
      </c>
      <c r="F1256" s="164"/>
      <c r="G1256" s="87">
        <f>G1257+G1275</f>
        <v>6102744.6200000001</v>
      </c>
      <c r="H1256" s="87">
        <f t="shared" ref="H1256:I1256" si="310">H1257</f>
        <v>5670475.4000000004</v>
      </c>
      <c r="I1256" s="87">
        <f t="shared" si="310"/>
        <v>5877303.2400000002</v>
      </c>
      <c r="J1256" s="173"/>
      <c r="K1256" s="199"/>
      <c r="L1256" s="199"/>
      <c r="M1256" s="199"/>
      <c r="N1256" s="199"/>
      <c r="O1256" s="199"/>
      <c r="P1256" s="199"/>
      <c r="Q1256" s="199"/>
      <c r="R1256" s="199"/>
    </row>
    <row r="1257" spans="1:20" s="18" customFormat="1" ht="21.75" customHeight="1">
      <c r="A1257" s="132" t="s">
        <v>116</v>
      </c>
      <c r="B1257" s="84" t="s">
        <v>92</v>
      </c>
      <c r="C1257" s="84" t="s">
        <v>25</v>
      </c>
      <c r="D1257" s="84" t="s">
        <v>25</v>
      </c>
      <c r="E1257" s="84" t="s">
        <v>184</v>
      </c>
      <c r="F1257" s="84"/>
      <c r="G1257" s="87">
        <f>G1258+G1266+G1276+G1269+G1272+G1282+G1290+G1295+G1287+G1306+G1279+G1303+G1300+G1265</f>
        <v>6102744.6200000001</v>
      </c>
      <c r="H1257" s="87">
        <f>H1258+H1266+H1276+H1269+H1272+H1282+H1290+H1295+H1287+H1306+H1279+H1303+H1300+H1265</f>
        <v>5670475.4000000004</v>
      </c>
      <c r="I1257" s="87">
        <f>I1258+I1266+I1276+I1269+I1272+I1282+I1290+I1295+I1287+I1306+I1279+I1303+I1300+I1265</f>
        <v>5877303.2400000002</v>
      </c>
      <c r="J1257" s="173"/>
      <c r="K1257" s="195"/>
      <c r="L1257" s="195"/>
      <c r="M1257" s="195"/>
      <c r="N1257" s="208"/>
      <c r="O1257" s="195"/>
      <c r="P1257" s="195"/>
      <c r="Q1257" s="195"/>
      <c r="R1257" s="195"/>
    </row>
    <row r="1258" spans="1:20" s="18" customFormat="1" ht="52.5" customHeight="1">
      <c r="A1258" s="104" t="s">
        <v>1047</v>
      </c>
      <c r="B1258" s="84" t="s">
        <v>92</v>
      </c>
      <c r="C1258" s="84" t="s">
        <v>25</v>
      </c>
      <c r="D1258" s="84" t="s">
        <v>25</v>
      </c>
      <c r="E1258" s="84" t="s">
        <v>185</v>
      </c>
      <c r="F1258" s="84"/>
      <c r="G1258" s="87">
        <f>G1259+G1261</f>
        <v>4971604.92</v>
      </c>
      <c r="H1258" s="87">
        <f>H1259+H1261</f>
        <v>5170475.4000000004</v>
      </c>
      <c r="I1258" s="87">
        <f>I1259+I1261</f>
        <v>5377303.2400000002</v>
      </c>
      <c r="J1258" s="173"/>
      <c r="K1258" s="195"/>
      <c r="L1258" s="195"/>
      <c r="M1258" s="195"/>
      <c r="N1258" s="195"/>
      <c r="O1258" s="195"/>
      <c r="P1258" s="195"/>
      <c r="Q1258" s="195"/>
      <c r="R1258" s="195"/>
    </row>
    <row r="1259" spans="1:20" s="18" customFormat="1" ht="26.4" hidden="1">
      <c r="A1259" s="82" t="s">
        <v>35</v>
      </c>
      <c r="B1259" s="84" t="s">
        <v>92</v>
      </c>
      <c r="C1259" s="84" t="s">
        <v>25</v>
      </c>
      <c r="D1259" s="84" t="s">
        <v>25</v>
      </c>
      <c r="E1259" s="84" t="s">
        <v>132</v>
      </c>
      <c r="F1259" s="84" t="s">
        <v>36</v>
      </c>
      <c r="G1259" s="87">
        <f>G1260</f>
        <v>0</v>
      </c>
      <c r="H1259" s="87">
        <f>H1260</f>
        <v>0</v>
      </c>
      <c r="I1259" s="87">
        <f>I1260</f>
        <v>0</v>
      </c>
      <c r="J1259" s="173"/>
      <c r="K1259" s="195"/>
      <c r="L1259" s="195"/>
      <c r="M1259" s="195"/>
      <c r="N1259" s="195"/>
      <c r="O1259" s="195"/>
      <c r="P1259" s="195"/>
      <c r="Q1259" s="195"/>
      <c r="R1259" s="195"/>
    </row>
    <row r="1260" spans="1:20" s="18" customFormat="1" ht="26.4" hidden="1">
      <c r="A1260" s="82" t="s">
        <v>37</v>
      </c>
      <c r="B1260" s="84" t="s">
        <v>92</v>
      </c>
      <c r="C1260" s="84" t="s">
        <v>25</v>
      </c>
      <c r="D1260" s="84" t="s">
        <v>25</v>
      </c>
      <c r="E1260" s="84" t="s">
        <v>132</v>
      </c>
      <c r="F1260" s="84" t="s">
        <v>38</v>
      </c>
      <c r="G1260" s="87"/>
      <c r="H1260" s="87"/>
      <c r="I1260" s="87"/>
      <c r="J1260" s="173"/>
      <c r="K1260" s="195"/>
      <c r="L1260" s="195"/>
      <c r="M1260" s="195"/>
      <c r="N1260" s="195"/>
      <c r="O1260" s="195"/>
      <c r="P1260" s="195"/>
      <c r="Q1260" s="195"/>
      <c r="R1260" s="195"/>
    </row>
    <row r="1261" spans="1:20" s="18" customFormat="1" ht="26.4">
      <c r="A1261" s="82" t="s">
        <v>29</v>
      </c>
      <c r="B1261" s="84" t="s">
        <v>92</v>
      </c>
      <c r="C1261" s="84" t="s">
        <v>25</v>
      </c>
      <c r="D1261" s="84" t="s">
        <v>25</v>
      </c>
      <c r="E1261" s="84" t="s">
        <v>185</v>
      </c>
      <c r="F1261" s="84" t="s">
        <v>30</v>
      </c>
      <c r="G1261" s="87">
        <f>G1262</f>
        <v>4971604.92</v>
      </c>
      <c r="H1261" s="87">
        <f>H1262</f>
        <v>5170475.4000000004</v>
      </c>
      <c r="I1261" s="87">
        <f>I1262</f>
        <v>5377303.2400000002</v>
      </c>
      <c r="J1261" s="173"/>
      <c r="K1261" s="195"/>
      <c r="L1261" s="195"/>
      <c r="M1261" s="195"/>
      <c r="N1261" s="195"/>
      <c r="O1261" s="195"/>
      <c r="P1261" s="195"/>
      <c r="Q1261" s="195"/>
      <c r="R1261" s="195"/>
    </row>
    <row r="1262" spans="1:20" s="18" customFormat="1" ht="13.5" customHeight="1">
      <c r="A1262" s="82" t="s">
        <v>31</v>
      </c>
      <c r="B1262" s="84" t="s">
        <v>92</v>
      </c>
      <c r="C1262" s="84" t="s">
        <v>25</v>
      </c>
      <c r="D1262" s="84" t="s">
        <v>25</v>
      </c>
      <c r="E1262" s="84" t="s">
        <v>185</v>
      </c>
      <c r="F1262" s="84" t="s">
        <v>32</v>
      </c>
      <c r="G1262" s="87">
        <v>4971604.92</v>
      </c>
      <c r="H1262" s="87">
        <v>5170475.4000000004</v>
      </c>
      <c r="I1262" s="87">
        <v>5377303.2400000002</v>
      </c>
      <c r="J1262" s="173"/>
      <c r="K1262" s="195"/>
      <c r="L1262" s="195"/>
      <c r="M1262" s="195"/>
      <c r="N1262" s="195"/>
      <c r="O1262" s="195"/>
      <c r="P1262" s="195"/>
      <c r="Q1262" s="195"/>
      <c r="R1262" s="195"/>
    </row>
    <row r="1263" spans="1:20" s="18" customFormat="1" ht="29.25" customHeight="1">
      <c r="A1263" s="13" t="s">
        <v>1388</v>
      </c>
      <c r="B1263" s="15" t="s">
        <v>92</v>
      </c>
      <c r="C1263" s="15" t="s">
        <v>25</v>
      </c>
      <c r="D1263" s="15" t="s">
        <v>25</v>
      </c>
      <c r="E1263" s="15" t="s">
        <v>1387</v>
      </c>
      <c r="F1263" s="15"/>
      <c r="G1263" s="70">
        <f>G1264</f>
        <v>25842.699999999997</v>
      </c>
      <c r="H1263" s="70">
        <f t="shared" ref="H1263:I1263" si="311">H1264</f>
        <v>0</v>
      </c>
      <c r="I1263" s="70">
        <f t="shared" si="311"/>
        <v>0</v>
      </c>
      <c r="J1263" s="173"/>
      <c r="K1263" s="195"/>
      <c r="L1263" s="195"/>
      <c r="M1263" s="195"/>
      <c r="N1263" s="195"/>
      <c r="O1263" s="195"/>
      <c r="P1263" s="195"/>
      <c r="Q1263" s="195"/>
      <c r="R1263" s="195"/>
    </row>
    <row r="1264" spans="1:20" s="18" customFormat="1" ht="26.4">
      <c r="A1264" s="16" t="s">
        <v>35</v>
      </c>
      <c r="B1264" s="15" t="s">
        <v>92</v>
      </c>
      <c r="C1264" s="15" t="s">
        <v>25</v>
      </c>
      <c r="D1264" s="15" t="s">
        <v>25</v>
      </c>
      <c r="E1264" s="15" t="s">
        <v>1387</v>
      </c>
      <c r="F1264" s="15" t="s">
        <v>36</v>
      </c>
      <c r="G1264" s="70">
        <f>G1265</f>
        <v>25842.699999999997</v>
      </c>
      <c r="H1264" s="70">
        <f>H1265</f>
        <v>0</v>
      </c>
      <c r="I1264" s="70">
        <f>I1265</f>
        <v>0</v>
      </c>
      <c r="J1264" s="173"/>
      <c r="K1264" s="195"/>
      <c r="L1264" s="195"/>
      <c r="M1264" s="195"/>
      <c r="N1264" s="195"/>
      <c r="O1264" s="195"/>
      <c r="P1264" s="195"/>
      <c r="Q1264" s="195"/>
      <c r="R1264" s="195"/>
    </row>
    <row r="1265" spans="1:18" s="18" customFormat="1" ht="26.4">
      <c r="A1265" s="16" t="s">
        <v>37</v>
      </c>
      <c r="B1265" s="15" t="s">
        <v>92</v>
      </c>
      <c r="C1265" s="15" t="s">
        <v>25</v>
      </c>
      <c r="D1265" s="15" t="s">
        <v>25</v>
      </c>
      <c r="E1265" s="15" t="s">
        <v>1387</v>
      </c>
      <c r="F1265" s="15" t="s">
        <v>38</v>
      </c>
      <c r="G1265" s="70">
        <f>65000-39157.3</f>
        <v>25842.699999999997</v>
      </c>
      <c r="H1265" s="70">
        <v>0</v>
      </c>
      <c r="I1265" s="70">
        <v>0</v>
      </c>
      <c r="J1265" s="173"/>
      <c r="K1265" s="195"/>
      <c r="L1265" s="195"/>
      <c r="M1265" s="195"/>
      <c r="N1265" s="195"/>
      <c r="O1265" s="195"/>
      <c r="P1265" s="195"/>
      <c r="Q1265" s="195"/>
      <c r="R1265" s="195"/>
    </row>
    <row r="1266" spans="1:18" s="18" customFormat="1" ht="61.5" customHeight="1">
      <c r="A1266" s="132" t="s">
        <v>341</v>
      </c>
      <c r="B1266" s="84" t="s">
        <v>92</v>
      </c>
      <c r="C1266" s="84" t="s">
        <v>25</v>
      </c>
      <c r="D1266" s="84" t="s">
        <v>25</v>
      </c>
      <c r="E1266" s="84" t="s">
        <v>186</v>
      </c>
      <c r="F1266" s="84"/>
      <c r="G1266" s="87">
        <f>G1267</f>
        <v>319852.03999999998</v>
      </c>
      <c r="H1266" s="87">
        <f t="shared" ref="H1266:I1266" si="312">H1267</f>
        <v>500000</v>
      </c>
      <c r="I1266" s="87">
        <f t="shared" si="312"/>
        <v>500000</v>
      </c>
      <c r="J1266" s="173"/>
      <c r="K1266" s="195"/>
      <c r="L1266" s="195"/>
      <c r="M1266" s="195"/>
      <c r="N1266" s="195"/>
      <c r="O1266" s="195"/>
      <c r="P1266" s="195"/>
      <c r="Q1266" s="195"/>
      <c r="R1266" s="195"/>
    </row>
    <row r="1267" spans="1:18" s="18" customFormat="1" ht="26.4">
      <c r="A1267" s="82" t="s">
        <v>29</v>
      </c>
      <c r="B1267" s="84" t="s">
        <v>92</v>
      </c>
      <c r="C1267" s="84" t="s">
        <v>25</v>
      </c>
      <c r="D1267" s="84" t="s">
        <v>25</v>
      </c>
      <c r="E1267" s="84" t="s">
        <v>186</v>
      </c>
      <c r="F1267" s="84" t="s">
        <v>30</v>
      </c>
      <c r="G1267" s="87">
        <f>G1268</f>
        <v>319852.03999999998</v>
      </c>
      <c r="H1267" s="87">
        <f>H1268</f>
        <v>500000</v>
      </c>
      <c r="I1267" s="87">
        <f>I1268</f>
        <v>500000</v>
      </c>
      <c r="J1267" s="173"/>
      <c r="K1267" s="195"/>
      <c r="L1267" s="195"/>
      <c r="M1267" s="195"/>
      <c r="N1267" s="195"/>
      <c r="O1267" s="195"/>
      <c r="P1267" s="195"/>
      <c r="Q1267" s="195"/>
      <c r="R1267" s="195"/>
    </row>
    <row r="1268" spans="1:18" s="18" customFormat="1">
      <c r="A1268" s="82" t="s">
        <v>31</v>
      </c>
      <c r="B1268" s="84" t="s">
        <v>92</v>
      </c>
      <c r="C1268" s="84" t="s">
        <v>25</v>
      </c>
      <c r="D1268" s="84" t="s">
        <v>25</v>
      </c>
      <c r="E1268" s="84" t="s">
        <v>186</v>
      </c>
      <c r="F1268" s="84" t="s">
        <v>32</v>
      </c>
      <c r="G1268" s="70">
        <v>319852.03999999998</v>
      </c>
      <c r="H1268" s="87">
        <v>500000</v>
      </c>
      <c r="I1268" s="87">
        <v>500000</v>
      </c>
      <c r="J1268" s="173"/>
      <c r="K1268" s="195"/>
      <c r="L1268" s="195"/>
      <c r="M1268" s="195"/>
      <c r="N1268" s="195"/>
      <c r="O1268" s="195"/>
      <c r="P1268" s="195"/>
      <c r="Q1268" s="195"/>
      <c r="R1268" s="195"/>
    </row>
    <row r="1269" spans="1:18" s="18" customFormat="1" ht="26.4" hidden="1">
      <c r="A1269" s="82" t="s">
        <v>624</v>
      </c>
      <c r="B1269" s="84" t="s">
        <v>92</v>
      </c>
      <c r="C1269" s="84" t="s">
        <v>25</v>
      </c>
      <c r="D1269" s="84" t="s">
        <v>25</v>
      </c>
      <c r="E1269" s="84" t="s">
        <v>623</v>
      </c>
      <c r="F1269" s="84"/>
      <c r="G1269" s="87">
        <f>G1270</f>
        <v>0</v>
      </c>
      <c r="H1269" s="87">
        <f>H1270</f>
        <v>0</v>
      </c>
      <c r="I1269" s="87">
        <f>I1270</f>
        <v>0</v>
      </c>
      <c r="J1269" s="173"/>
      <c r="K1269" s="195"/>
      <c r="L1269" s="195"/>
      <c r="M1269" s="195"/>
      <c r="N1269" s="195"/>
      <c r="O1269" s="195"/>
      <c r="P1269" s="195"/>
      <c r="Q1269" s="195"/>
      <c r="R1269" s="195"/>
    </row>
    <row r="1270" spans="1:18" s="18" customFormat="1" ht="26.4" hidden="1">
      <c r="A1270" s="82" t="s">
        <v>29</v>
      </c>
      <c r="B1270" s="84" t="s">
        <v>92</v>
      </c>
      <c r="C1270" s="84" t="s">
        <v>25</v>
      </c>
      <c r="D1270" s="84" t="s">
        <v>25</v>
      </c>
      <c r="E1270" s="84" t="s">
        <v>623</v>
      </c>
      <c r="F1270" s="84" t="s">
        <v>30</v>
      </c>
      <c r="G1270" s="87">
        <f>G1271</f>
        <v>0</v>
      </c>
      <c r="H1270" s="87"/>
      <c r="I1270" s="87"/>
      <c r="J1270" s="173"/>
      <c r="K1270" s="195"/>
      <c r="L1270" s="195"/>
      <c r="M1270" s="195"/>
      <c r="N1270" s="195"/>
      <c r="O1270" s="195"/>
      <c r="P1270" s="195"/>
      <c r="Q1270" s="195"/>
      <c r="R1270" s="195"/>
    </row>
    <row r="1271" spans="1:18" s="18" customFormat="1" hidden="1">
      <c r="A1271" s="82" t="s">
        <v>31</v>
      </c>
      <c r="B1271" s="84" t="s">
        <v>92</v>
      </c>
      <c r="C1271" s="84" t="s">
        <v>25</v>
      </c>
      <c r="D1271" s="84" t="s">
        <v>25</v>
      </c>
      <c r="E1271" s="84" t="s">
        <v>623</v>
      </c>
      <c r="F1271" s="84" t="s">
        <v>32</v>
      </c>
      <c r="G1271" s="87"/>
      <c r="H1271" s="87">
        <f>H1272</f>
        <v>0</v>
      </c>
      <c r="I1271" s="87">
        <f>I1272</f>
        <v>0</v>
      </c>
      <c r="J1271" s="173"/>
      <c r="K1271" s="195"/>
      <c r="L1271" s="195"/>
      <c r="M1271" s="195"/>
      <c r="N1271" s="195"/>
      <c r="O1271" s="195"/>
      <c r="P1271" s="195"/>
      <c r="Q1271" s="195"/>
      <c r="R1271" s="195"/>
    </row>
    <row r="1272" spans="1:18" s="18" customFormat="1" ht="52.8">
      <c r="A1272" s="82" t="s">
        <v>412</v>
      </c>
      <c r="B1272" s="84" t="s">
        <v>92</v>
      </c>
      <c r="C1272" s="84" t="s">
        <v>25</v>
      </c>
      <c r="D1272" s="84" t="s">
        <v>25</v>
      </c>
      <c r="E1272" s="84" t="s">
        <v>411</v>
      </c>
      <c r="F1272" s="84"/>
      <c r="G1272" s="87">
        <f>G1273</f>
        <v>785444.96</v>
      </c>
      <c r="H1272" s="87">
        <f t="shared" ref="H1272:I1272" si="313">H1273</f>
        <v>0</v>
      </c>
      <c r="I1272" s="87">
        <f t="shared" si="313"/>
        <v>0</v>
      </c>
      <c r="J1272" s="173"/>
      <c r="K1272" s="195"/>
      <c r="L1272" s="195"/>
      <c r="M1272" s="195"/>
      <c r="N1272" s="195"/>
      <c r="O1272" s="195"/>
      <c r="P1272" s="195"/>
      <c r="Q1272" s="195"/>
      <c r="R1272" s="195"/>
    </row>
    <row r="1273" spans="1:18" s="18" customFormat="1" ht="26.4">
      <c r="A1273" s="82" t="s">
        <v>29</v>
      </c>
      <c r="B1273" s="84" t="s">
        <v>92</v>
      </c>
      <c r="C1273" s="84" t="s">
        <v>25</v>
      </c>
      <c r="D1273" s="84" t="s">
        <v>25</v>
      </c>
      <c r="E1273" s="84" t="s">
        <v>411</v>
      </c>
      <c r="F1273" s="84" t="s">
        <v>30</v>
      </c>
      <c r="G1273" s="87">
        <f>G1274</f>
        <v>785444.96</v>
      </c>
      <c r="H1273" s="87">
        <f>H1274</f>
        <v>0</v>
      </c>
      <c r="I1273" s="87">
        <f>I1274</f>
        <v>0</v>
      </c>
      <c r="J1273" s="173"/>
      <c r="K1273" s="195"/>
      <c r="L1273" s="195"/>
      <c r="M1273" s="195"/>
      <c r="N1273" s="195"/>
      <c r="O1273" s="195"/>
      <c r="P1273" s="195"/>
      <c r="Q1273" s="195"/>
      <c r="R1273" s="195"/>
    </row>
    <row r="1274" spans="1:18" s="18" customFormat="1">
      <c r="A1274" s="82" t="s">
        <v>31</v>
      </c>
      <c r="B1274" s="84" t="s">
        <v>92</v>
      </c>
      <c r="C1274" s="84" t="s">
        <v>25</v>
      </c>
      <c r="D1274" s="84" t="s">
        <v>25</v>
      </c>
      <c r="E1274" s="84" t="s">
        <v>411</v>
      </c>
      <c r="F1274" s="84" t="s">
        <v>32</v>
      </c>
      <c r="G1274" s="87">
        <v>785444.96</v>
      </c>
      <c r="H1274" s="87"/>
      <c r="I1274" s="87"/>
      <c r="J1274" s="173"/>
      <c r="K1274" s="195"/>
      <c r="L1274" s="195"/>
      <c r="M1274" s="195"/>
      <c r="N1274" s="195"/>
      <c r="O1274" s="195"/>
      <c r="P1274" s="195"/>
      <c r="Q1274" s="195"/>
      <c r="R1274" s="195"/>
    </row>
    <row r="1275" spans="1:18" s="3" customFormat="1" ht="26.4" hidden="1">
      <c r="A1275" s="82" t="s">
        <v>0</v>
      </c>
      <c r="B1275" s="145">
        <v>774</v>
      </c>
      <c r="C1275" s="84" t="s">
        <v>25</v>
      </c>
      <c r="D1275" s="84" t="s">
        <v>25</v>
      </c>
      <c r="E1275" s="84" t="s">
        <v>212</v>
      </c>
      <c r="F1275" s="84"/>
      <c r="G1275" s="87"/>
      <c r="H1275" s="87"/>
      <c r="I1275" s="87"/>
      <c r="J1275" s="173"/>
      <c r="K1275" s="194"/>
      <c r="L1275" s="194"/>
      <c r="M1275" s="194"/>
      <c r="N1275" s="194"/>
      <c r="O1275" s="194"/>
      <c r="P1275" s="194"/>
      <c r="Q1275" s="194"/>
      <c r="R1275" s="194"/>
    </row>
    <row r="1276" spans="1:18" s="3" customFormat="1" ht="39.6" hidden="1">
      <c r="A1276" s="82" t="s">
        <v>504</v>
      </c>
      <c r="B1276" s="145">
        <v>774</v>
      </c>
      <c r="C1276" s="84" t="s">
        <v>25</v>
      </c>
      <c r="D1276" s="84" t="s">
        <v>25</v>
      </c>
      <c r="E1276" s="84" t="s">
        <v>537</v>
      </c>
      <c r="F1276" s="84"/>
      <c r="G1276" s="87">
        <f t="shared" ref="G1276:I1280" si="314">G1277</f>
        <v>0</v>
      </c>
      <c r="H1276" s="87">
        <f t="shared" si="314"/>
        <v>0</v>
      </c>
      <c r="I1276" s="87">
        <f t="shared" si="314"/>
        <v>0</v>
      </c>
      <c r="J1276" s="173"/>
      <c r="K1276" s="194"/>
      <c r="L1276" s="194"/>
      <c r="M1276" s="194"/>
      <c r="N1276" s="194"/>
      <c r="O1276" s="194"/>
      <c r="P1276" s="194"/>
      <c r="Q1276" s="194"/>
      <c r="R1276" s="194"/>
    </row>
    <row r="1277" spans="1:18" s="3" customFormat="1" ht="26.4" hidden="1">
      <c r="A1277" s="82" t="s">
        <v>29</v>
      </c>
      <c r="B1277" s="145">
        <v>774</v>
      </c>
      <c r="C1277" s="84" t="s">
        <v>25</v>
      </c>
      <c r="D1277" s="84" t="s">
        <v>25</v>
      </c>
      <c r="E1277" s="84" t="s">
        <v>537</v>
      </c>
      <c r="F1277" s="84" t="s">
        <v>30</v>
      </c>
      <c r="G1277" s="87">
        <f t="shared" si="314"/>
        <v>0</v>
      </c>
      <c r="H1277" s="87">
        <f t="shared" si="314"/>
        <v>0</v>
      </c>
      <c r="I1277" s="87">
        <f t="shared" si="314"/>
        <v>0</v>
      </c>
      <c r="J1277" s="173"/>
      <c r="K1277" s="194"/>
      <c r="L1277" s="194"/>
      <c r="M1277" s="194"/>
      <c r="N1277" s="194"/>
      <c r="O1277" s="194"/>
      <c r="P1277" s="194"/>
      <c r="Q1277" s="194"/>
      <c r="R1277" s="194"/>
    </row>
    <row r="1278" spans="1:18" s="3" customFormat="1" ht="15" hidden="1" customHeight="1">
      <c r="A1278" s="82" t="s">
        <v>31</v>
      </c>
      <c r="B1278" s="145">
        <v>774</v>
      </c>
      <c r="C1278" s="84" t="s">
        <v>25</v>
      </c>
      <c r="D1278" s="84" t="s">
        <v>25</v>
      </c>
      <c r="E1278" s="84" t="s">
        <v>537</v>
      </c>
      <c r="F1278" s="84" t="s">
        <v>32</v>
      </c>
      <c r="G1278" s="87"/>
      <c r="H1278" s="87"/>
      <c r="I1278" s="87"/>
      <c r="J1278" s="173"/>
      <c r="K1278" s="194"/>
      <c r="L1278" s="194"/>
      <c r="M1278" s="194"/>
      <c r="N1278" s="194"/>
      <c r="O1278" s="194"/>
      <c r="P1278" s="194"/>
      <c r="Q1278" s="194"/>
      <c r="R1278" s="194"/>
    </row>
    <row r="1279" spans="1:18" s="3" customFormat="1" ht="26.4" hidden="1">
      <c r="A1279" s="82" t="s">
        <v>292</v>
      </c>
      <c r="B1279" s="145">
        <v>774</v>
      </c>
      <c r="C1279" s="84" t="s">
        <v>25</v>
      </c>
      <c r="D1279" s="84" t="s">
        <v>25</v>
      </c>
      <c r="E1279" s="84" t="s">
        <v>558</v>
      </c>
      <c r="F1279" s="84"/>
      <c r="G1279" s="87">
        <f t="shared" si="314"/>
        <v>0</v>
      </c>
      <c r="H1279" s="87">
        <f t="shared" si="314"/>
        <v>0</v>
      </c>
      <c r="I1279" s="87">
        <f t="shared" si="314"/>
        <v>0</v>
      </c>
      <c r="J1279" s="173"/>
      <c r="K1279" s="194"/>
      <c r="L1279" s="194"/>
      <c r="M1279" s="194"/>
      <c r="N1279" s="194"/>
      <c r="O1279" s="194"/>
      <c r="P1279" s="194"/>
      <c r="Q1279" s="194"/>
      <c r="R1279" s="194"/>
    </row>
    <row r="1280" spans="1:18" s="3" customFormat="1" ht="26.4" hidden="1">
      <c r="A1280" s="82" t="s">
        <v>29</v>
      </c>
      <c r="B1280" s="145">
        <v>774</v>
      </c>
      <c r="C1280" s="84" t="s">
        <v>25</v>
      </c>
      <c r="D1280" s="84" t="s">
        <v>25</v>
      </c>
      <c r="E1280" s="84" t="s">
        <v>558</v>
      </c>
      <c r="F1280" s="84" t="s">
        <v>30</v>
      </c>
      <c r="G1280" s="87">
        <f t="shared" si="314"/>
        <v>0</v>
      </c>
      <c r="H1280" s="87">
        <f t="shared" si="314"/>
        <v>0</v>
      </c>
      <c r="I1280" s="87">
        <f t="shared" si="314"/>
        <v>0</v>
      </c>
      <c r="J1280" s="173"/>
      <c r="K1280" s="194"/>
      <c r="L1280" s="194"/>
      <c r="M1280" s="194"/>
      <c r="N1280" s="194"/>
      <c r="O1280" s="194"/>
      <c r="P1280" s="194"/>
      <c r="Q1280" s="194"/>
      <c r="R1280" s="194"/>
    </row>
    <row r="1281" spans="1:18" s="3" customFormat="1" hidden="1">
      <c r="A1281" s="82" t="s">
        <v>31</v>
      </c>
      <c r="B1281" s="145">
        <v>774</v>
      </c>
      <c r="C1281" s="84" t="s">
        <v>25</v>
      </c>
      <c r="D1281" s="84" t="s">
        <v>25</v>
      </c>
      <c r="E1281" s="84" t="s">
        <v>558</v>
      </c>
      <c r="F1281" s="84" t="s">
        <v>32</v>
      </c>
      <c r="G1281" s="87"/>
      <c r="H1281" s="87">
        <v>0</v>
      </c>
      <c r="I1281" s="87">
        <v>0</v>
      </c>
      <c r="J1281" s="173"/>
      <c r="K1281" s="194"/>
      <c r="L1281" s="194"/>
      <c r="M1281" s="194"/>
      <c r="N1281" s="194"/>
      <c r="O1281" s="194"/>
      <c r="P1281" s="194"/>
      <c r="Q1281" s="194"/>
      <c r="R1281" s="194"/>
    </row>
    <row r="1282" spans="1:18" s="18" customFormat="1" ht="52.5" hidden="1" customHeight="1">
      <c r="A1282" s="132" t="s">
        <v>729</v>
      </c>
      <c r="B1282" s="84" t="s">
        <v>92</v>
      </c>
      <c r="C1282" s="84" t="s">
        <v>25</v>
      </c>
      <c r="D1282" s="84" t="s">
        <v>25</v>
      </c>
      <c r="E1282" s="84" t="s">
        <v>728</v>
      </c>
      <c r="F1282" s="84"/>
      <c r="G1282" s="87">
        <f>G1283+G1285</f>
        <v>0</v>
      </c>
      <c r="H1282" s="87">
        <f>H1283+H1285</f>
        <v>0</v>
      </c>
      <c r="I1282" s="87">
        <f>I1283+I1285</f>
        <v>0</v>
      </c>
      <c r="J1282" s="173"/>
      <c r="K1282" s="195"/>
      <c r="L1282" s="195"/>
      <c r="M1282" s="195"/>
      <c r="N1282" s="195"/>
      <c r="O1282" s="195"/>
      <c r="P1282" s="195"/>
      <c r="Q1282" s="195"/>
      <c r="R1282" s="195"/>
    </row>
    <row r="1283" spans="1:18" s="18" customFormat="1" ht="26.4" hidden="1">
      <c r="A1283" s="82" t="s">
        <v>35</v>
      </c>
      <c r="B1283" s="84" t="s">
        <v>92</v>
      </c>
      <c r="C1283" s="84" t="s">
        <v>25</v>
      </c>
      <c r="D1283" s="84" t="s">
        <v>25</v>
      </c>
      <c r="E1283" s="84" t="s">
        <v>132</v>
      </c>
      <c r="F1283" s="84" t="s">
        <v>36</v>
      </c>
      <c r="G1283" s="87">
        <f>G1284</f>
        <v>0</v>
      </c>
      <c r="H1283" s="87">
        <f>H1284</f>
        <v>0</v>
      </c>
      <c r="I1283" s="87">
        <f>I1284</f>
        <v>0</v>
      </c>
      <c r="J1283" s="173"/>
      <c r="K1283" s="195"/>
      <c r="L1283" s="195"/>
      <c r="M1283" s="195"/>
      <c r="N1283" s="195"/>
      <c r="O1283" s="195"/>
      <c r="P1283" s="195"/>
      <c r="Q1283" s="195"/>
      <c r="R1283" s="195"/>
    </row>
    <row r="1284" spans="1:18" s="18" customFormat="1" ht="26.4" hidden="1">
      <c r="A1284" s="82" t="s">
        <v>37</v>
      </c>
      <c r="B1284" s="84" t="s">
        <v>92</v>
      </c>
      <c r="C1284" s="84" t="s">
        <v>25</v>
      </c>
      <c r="D1284" s="84" t="s">
        <v>25</v>
      </c>
      <c r="E1284" s="84" t="s">
        <v>132</v>
      </c>
      <c r="F1284" s="84" t="s">
        <v>38</v>
      </c>
      <c r="G1284" s="87"/>
      <c r="H1284" s="87"/>
      <c r="I1284" s="87"/>
      <c r="J1284" s="173"/>
      <c r="K1284" s="195"/>
      <c r="L1284" s="195"/>
      <c r="M1284" s="195"/>
      <c r="N1284" s="195"/>
      <c r="O1284" s="195"/>
      <c r="P1284" s="195"/>
      <c r="Q1284" s="195"/>
      <c r="R1284" s="195"/>
    </row>
    <row r="1285" spans="1:18" s="18" customFormat="1" hidden="1">
      <c r="A1285" s="82" t="s">
        <v>62</v>
      </c>
      <c r="B1285" s="84" t="s">
        <v>92</v>
      </c>
      <c r="C1285" s="84" t="s">
        <v>25</v>
      </c>
      <c r="D1285" s="84" t="s">
        <v>25</v>
      </c>
      <c r="E1285" s="84" t="s">
        <v>728</v>
      </c>
      <c r="F1285" s="84" t="s">
        <v>63</v>
      </c>
      <c r="G1285" s="87">
        <f>G1286</f>
        <v>0</v>
      </c>
      <c r="H1285" s="87">
        <f>H1286</f>
        <v>0</v>
      </c>
      <c r="I1285" s="87">
        <f>I1286</f>
        <v>0</v>
      </c>
      <c r="J1285" s="173"/>
      <c r="K1285" s="195"/>
      <c r="L1285" s="195"/>
      <c r="M1285" s="195"/>
      <c r="N1285" s="195"/>
      <c r="O1285" s="195"/>
      <c r="P1285" s="195"/>
      <c r="Q1285" s="195"/>
      <c r="R1285" s="195"/>
    </row>
    <row r="1286" spans="1:18" s="18" customFormat="1" ht="13.5" hidden="1" customHeight="1">
      <c r="A1286" s="82" t="s">
        <v>174</v>
      </c>
      <c r="B1286" s="84" t="s">
        <v>92</v>
      </c>
      <c r="C1286" s="84" t="s">
        <v>25</v>
      </c>
      <c r="D1286" s="84" t="s">
        <v>25</v>
      </c>
      <c r="E1286" s="84" t="s">
        <v>728</v>
      </c>
      <c r="F1286" s="84" t="s">
        <v>175</v>
      </c>
      <c r="G1286" s="87">
        <f>1308000-1308000</f>
        <v>0</v>
      </c>
      <c r="H1286" s="87"/>
      <c r="I1286" s="87"/>
      <c r="J1286" s="173"/>
      <c r="K1286" s="195"/>
      <c r="L1286" s="195"/>
      <c r="M1286" s="195"/>
      <c r="N1286" s="195"/>
      <c r="O1286" s="195"/>
      <c r="P1286" s="195"/>
      <c r="Q1286" s="195"/>
      <c r="R1286" s="195"/>
    </row>
    <row r="1287" spans="1:18" s="18" customFormat="1" ht="61.5" hidden="1" customHeight="1">
      <c r="A1287" s="132" t="s">
        <v>412</v>
      </c>
      <c r="B1287" s="84" t="s">
        <v>92</v>
      </c>
      <c r="C1287" s="84" t="s">
        <v>25</v>
      </c>
      <c r="D1287" s="84" t="s">
        <v>25</v>
      </c>
      <c r="E1287" s="84" t="s">
        <v>411</v>
      </c>
      <c r="F1287" s="84"/>
      <c r="G1287" s="87">
        <f>G1288</f>
        <v>0</v>
      </c>
      <c r="H1287" s="87">
        <f t="shared" ref="H1287:I1287" si="315">H1288</f>
        <v>0</v>
      </c>
      <c r="I1287" s="87">
        <f t="shared" si="315"/>
        <v>0</v>
      </c>
      <c r="J1287" s="173"/>
      <c r="K1287" s="195"/>
      <c r="L1287" s="195"/>
      <c r="M1287" s="195"/>
      <c r="N1287" s="195"/>
      <c r="O1287" s="195"/>
      <c r="P1287" s="195"/>
      <c r="Q1287" s="195"/>
      <c r="R1287" s="195"/>
    </row>
    <row r="1288" spans="1:18" s="18" customFormat="1" ht="26.4" hidden="1">
      <c r="A1288" s="82" t="s">
        <v>29</v>
      </c>
      <c r="B1288" s="84" t="s">
        <v>92</v>
      </c>
      <c r="C1288" s="84" t="s">
        <v>25</v>
      </c>
      <c r="D1288" s="84" t="s">
        <v>25</v>
      </c>
      <c r="E1288" s="84" t="s">
        <v>411</v>
      </c>
      <c r="F1288" s="84" t="s">
        <v>30</v>
      </c>
      <c r="G1288" s="87">
        <f>G1289</f>
        <v>0</v>
      </c>
      <c r="H1288" s="87">
        <f>H1289</f>
        <v>0</v>
      </c>
      <c r="I1288" s="87">
        <f>I1289</f>
        <v>0</v>
      </c>
      <c r="J1288" s="173"/>
      <c r="K1288" s="195"/>
      <c r="L1288" s="195"/>
      <c r="M1288" s="195"/>
      <c r="N1288" s="195"/>
      <c r="O1288" s="195"/>
      <c r="P1288" s="195"/>
      <c r="Q1288" s="195"/>
      <c r="R1288" s="195"/>
    </row>
    <row r="1289" spans="1:18" s="18" customFormat="1" hidden="1">
      <c r="A1289" s="82" t="s">
        <v>31</v>
      </c>
      <c r="B1289" s="84" t="s">
        <v>92</v>
      </c>
      <c r="C1289" s="84" t="s">
        <v>25</v>
      </c>
      <c r="D1289" s="84" t="s">
        <v>25</v>
      </c>
      <c r="E1289" s="84" t="s">
        <v>411</v>
      </c>
      <c r="F1289" s="84" t="s">
        <v>32</v>
      </c>
      <c r="G1289" s="87"/>
      <c r="H1289" s="87"/>
      <c r="I1289" s="87"/>
      <c r="J1289" s="173"/>
      <c r="K1289" s="195"/>
      <c r="L1289" s="195"/>
      <c r="M1289" s="195"/>
      <c r="N1289" s="195"/>
      <c r="O1289" s="195"/>
      <c r="P1289" s="195"/>
      <c r="Q1289" s="195"/>
      <c r="R1289" s="195"/>
    </row>
    <row r="1290" spans="1:18" s="18" customFormat="1" ht="38.25" hidden="1" customHeight="1">
      <c r="A1290" s="132" t="s">
        <v>731</v>
      </c>
      <c r="B1290" s="84" t="s">
        <v>92</v>
      </c>
      <c r="C1290" s="84" t="s">
        <v>25</v>
      </c>
      <c r="D1290" s="84" t="s">
        <v>25</v>
      </c>
      <c r="E1290" s="84" t="s">
        <v>730</v>
      </c>
      <c r="F1290" s="84"/>
      <c r="G1290" s="87">
        <f>G1291+G1293</f>
        <v>0</v>
      </c>
      <c r="H1290" s="87">
        <f>H1291+H1293</f>
        <v>0</v>
      </c>
      <c r="I1290" s="87">
        <f>I1291+I1293</f>
        <v>0</v>
      </c>
      <c r="J1290" s="173"/>
      <c r="K1290" s="195"/>
      <c r="L1290" s="195"/>
      <c r="M1290" s="195"/>
      <c r="N1290" s="195"/>
      <c r="O1290" s="195"/>
      <c r="P1290" s="195"/>
      <c r="Q1290" s="195"/>
      <c r="R1290" s="195"/>
    </row>
    <row r="1291" spans="1:18" s="18" customFormat="1" ht="26.4" hidden="1">
      <c r="A1291" s="82" t="s">
        <v>35</v>
      </c>
      <c r="B1291" s="84" t="s">
        <v>92</v>
      </c>
      <c r="C1291" s="84" t="s">
        <v>25</v>
      </c>
      <c r="D1291" s="84" t="s">
        <v>25</v>
      </c>
      <c r="E1291" s="84" t="s">
        <v>132</v>
      </c>
      <c r="F1291" s="84" t="s">
        <v>36</v>
      </c>
      <c r="G1291" s="87">
        <f>G1292</f>
        <v>0</v>
      </c>
      <c r="H1291" s="87">
        <f>H1292</f>
        <v>0</v>
      </c>
      <c r="I1291" s="87">
        <f>I1292</f>
        <v>0</v>
      </c>
      <c r="J1291" s="173"/>
      <c r="K1291" s="195"/>
      <c r="L1291" s="195"/>
      <c r="M1291" s="195"/>
      <c r="N1291" s="195"/>
      <c r="O1291" s="195"/>
      <c r="P1291" s="195"/>
      <c r="Q1291" s="195"/>
      <c r="R1291" s="195"/>
    </row>
    <row r="1292" spans="1:18" s="18" customFormat="1" ht="26.4" hidden="1">
      <c r="A1292" s="82" t="s">
        <v>37</v>
      </c>
      <c r="B1292" s="84" t="s">
        <v>92</v>
      </c>
      <c r="C1292" s="84" t="s">
        <v>25</v>
      </c>
      <c r="D1292" s="84" t="s">
        <v>25</v>
      </c>
      <c r="E1292" s="84" t="s">
        <v>132</v>
      </c>
      <c r="F1292" s="84" t="s">
        <v>38</v>
      </c>
      <c r="G1292" s="87"/>
      <c r="H1292" s="87"/>
      <c r="I1292" s="87"/>
      <c r="J1292" s="173"/>
      <c r="K1292" s="195"/>
      <c r="L1292" s="195"/>
      <c r="M1292" s="195"/>
      <c r="N1292" s="195"/>
      <c r="O1292" s="195"/>
      <c r="P1292" s="195"/>
      <c r="Q1292" s="195"/>
      <c r="R1292" s="195"/>
    </row>
    <row r="1293" spans="1:18" s="18" customFormat="1" ht="26.4" hidden="1">
      <c r="A1293" s="82" t="s">
        <v>29</v>
      </c>
      <c r="B1293" s="84" t="s">
        <v>92</v>
      </c>
      <c r="C1293" s="84" t="s">
        <v>25</v>
      </c>
      <c r="D1293" s="84" t="s">
        <v>25</v>
      </c>
      <c r="E1293" s="84" t="s">
        <v>730</v>
      </c>
      <c r="F1293" s="84" t="s">
        <v>30</v>
      </c>
      <c r="G1293" s="87">
        <f>G1294</f>
        <v>0</v>
      </c>
      <c r="H1293" s="87">
        <f>H1294</f>
        <v>0</v>
      </c>
      <c r="I1293" s="87">
        <f>I1294</f>
        <v>0</v>
      </c>
      <c r="J1293" s="173"/>
      <c r="K1293" s="195"/>
      <c r="L1293" s="195"/>
      <c r="M1293" s="195"/>
      <c r="N1293" s="195"/>
      <c r="O1293" s="195"/>
      <c r="P1293" s="195"/>
      <c r="Q1293" s="195"/>
      <c r="R1293" s="195"/>
    </row>
    <row r="1294" spans="1:18" s="18" customFormat="1" ht="13.5" hidden="1" customHeight="1">
      <c r="A1294" s="82" t="s">
        <v>31</v>
      </c>
      <c r="B1294" s="84" t="s">
        <v>92</v>
      </c>
      <c r="C1294" s="84" t="s">
        <v>25</v>
      </c>
      <c r="D1294" s="84" t="s">
        <v>25</v>
      </c>
      <c r="E1294" s="84" t="s">
        <v>730</v>
      </c>
      <c r="F1294" s="84" t="s">
        <v>32</v>
      </c>
      <c r="G1294" s="87"/>
      <c r="H1294" s="87"/>
      <c r="I1294" s="87"/>
      <c r="J1294" s="173"/>
      <c r="K1294" s="195"/>
      <c r="L1294" s="195"/>
      <c r="M1294" s="195"/>
      <c r="N1294" s="195"/>
      <c r="O1294" s="195"/>
      <c r="P1294" s="195"/>
      <c r="Q1294" s="195"/>
      <c r="R1294" s="195"/>
    </row>
    <row r="1295" spans="1:18" s="18" customFormat="1" ht="56.25" hidden="1" customHeight="1">
      <c r="A1295" s="132" t="s">
        <v>733</v>
      </c>
      <c r="B1295" s="84" t="s">
        <v>92</v>
      </c>
      <c r="C1295" s="84" t="s">
        <v>25</v>
      </c>
      <c r="D1295" s="84" t="s">
        <v>25</v>
      </c>
      <c r="E1295" s="84" t="s">
        <v>732</v>
      </c>
      <c r="F1295" s="84"/>
      <c r="G1295" s="87">
        <f>G1296+G1298</f>
        <v>0</v>
      </c>
      <c r="H1295" s="87">
        <f>H1296+H1298</f>
        <v>0</v>
      </c>
      <c r="I1295" s="87">
        <f>I1296+I1298</f>
        <v>0</v>
      </c>
      <c r="J1295" s="173"/>
      <c r="K1295" s="195"/>
      <c r="L1295" s="195"/>
      <c r="M1295" s="195"/>
      <c r="N1295" s="195"/>
      <c r="O1295" s="195"/>
      <c r="P1295" s="195"/>
      <c r="Q1295" s="195"/>
      <c r="R1295" s="195"/>
    </row>
    <row r="1296" spans="1:18" s="18" customFormat="1" ht="26.4" hidden="1">
      <c r="A1296" s="82" t="s">
        <v>35</v>
      </c>
      <c r="B1296" s="84" t="s">
        <v>92</v>
      </c>
      <c r="C1296" s="84" t="s">
        <v>25</v>
      </c>
      <c r="D1296" s="84" t="s">
        <v>25</v>
      </c>
      <c r="E1296" s="84" t="s">
        <v>132</v>
      </c>
      <c r="F1296" s="84" t="s">
        <v>36</v>
      </c>
      <c r="G1296" s="87">
        <f>G1297</f>
        <v>0</v>
      </c>
      <c r="H1296" s="87">
        <f>H1297</f>
        <v>0</v>
      </c>
      <c r="I1296" s="87">
        <f>I1297</f>
        <v>0</v>
      </c>
      <c r="J1296" s="173"/>
      <c r="K1296" s="195"/>
      <c r="L1296" s="195"/>
      <c r="M1296" s="195"/>
      <c r="N1296" s="195"/>
      <c r="O1296" s="195"/>
      <c r="P1296" s="195"/>
      <c r="Q1296" s="195"/>
      <c r="R1296" s="195"/>
    </row>
    <row r="1297" spans="1:18" s="18" customFormat="1" ht="26.4" hidden="1">
      <c r="A1297" s="82" t="s">
        <v>37</v>
      </c>
      <c r="B1297" s="84" t="s">
        <v>92</v>
      </c>
      <c r="C1297" s="84" t="s">
        <v>25</v>
      </c>
      <c r="D1297" s="84" t="s">
        <v>25</v>
      </c>
      <c r="E1297" s="84" t="s">
        <v>132</v>
      </c>
      <c r="F1297" s="84" t="s">
        <v>38</v>
      </c>
      <c r="G1297" s="87"/>
      <c r="H1297" s="87"/>
      <c r="I1297" s="87"/>
      <c r="J1297" s="173"/>
      <c r="K1297" s="195"/>
      <c r="L1297" s="195"/>
      <c r="M1297" s="195"/>
      <c r="N1297" s="195"/>
      <c r="O1297" s="195"/>
      <c r="P1297" s="195"/>
      <c r="Q1297" s="195"/>
      <c r="R1297" s="195"/>
    </row>
    <row r="1298" spans="1:18" s="18" customFormat="1" hidden="1">
      <c r="A1298" s="82" t="s">
        <v>62</v>
      </c>
      <c r="B1298" s="84" t="s">
        <v>92</v>
      </c>
      <c r="C1298" s="84" t="s">
        <v>25</v>
      </c>
      <c r="D1298" s="84" t="s">
        <v>25</v>
      </c>
      <c r="E1298" s="84" t="s">
        <v>732</v>
      </c>
      <c r="F1298" s="84" t="s">
        <v>63</v>
      </c>
      <c r="G1298" s="87">
        <f>G1299</f>
        <v>0</v>
      </c>
      <c r="H1298" s="87">
        <f>H1299</f>
        <v>0</v>
      </c>
      <c r="I1298" s="87">
        <f>I1299</f>
        <v>0</v>
      </c>
      <c r="J1298" s="173"/>
      <c r="K1298" s="195"/>
      <c r="L1298" s="195"/>
      <c r="M1298" s="195"/>
      <c r="N1298" s="195"/>
      <c r="O1298" s="195"/>
      <c r="P1298" s="195"/>
      <c r="Q1298" s="195"/>
      <c r="R1298" s="195"/>
    </row>
    <row r="1299" spans="1:18" s="18" customFormat="1" ht="13.5" hidden="1" customHeight="1">
      <c r="A1299" s="82" t="s">
        <v>174</v>
      </c>
      <c r="B1299" s="84" t="s">
        <v>92</v>
      </c>
      <c r="C1299" s="84" t="s">
        <v>25</v>
      </c>
      <c r="D1299" s="84" t="s">
        <v>25</v>
      </c>
      <c r="E1299" s="84" t="s">
        <v>732</v>
      </c>
      <c r="F1299" s="84" t="s">
        <v>175</v>
      </c>
      <c r="G1299" s="87">
        <f>572400-572400</f>
        <v>0</v>
      </c>
      <c r="H1299" s="87"/>
      <c r="I1299" s="87"/>
      <c r="J1299" s="173"/>
      <c r="K1299" s="195"/>
      <c r="L1299" s="195"/>
      <c r="M1299" s="195"/>
      <c r="N1299" s="195"/>
      <c r="O1299" s="195"/>
      <c r="P1299" s="195"/>
      <c r="Q1299" s="195"/>
      <c r="R1299" s="195"/>
    </row>
    <row r="1300" spans="1:18" s="3" customFormat="1" ht="66" hidden="1">
      <c r="A1300" s="82" t="s">
        <v>1245</v>
      </c>
      <c r="B1300" s="145">
        <v>774</v>
      </c>
      <c r="C1300" s="84" t="s">
        <v>25</v>
      </c>
      <c r="D1300" s="84" t="s">
        <v>25</v>
      </c>
      <c r="E1300" s="84" t="s">
        <v>1247</v>
      </c>
      <c r="F1300" s="84"/>
      <c r="G1300" s="87">
        <f t="shared" ref="G1300:I1301" si="316">G1301</f>
        <v>0</v>
      </c>
      <c r="H1300" s="87">
        <f t="shared" si="316"/>
        <v>0</v>
      </c>
      <c r="I1300" s="87">
        <f t="shared" si="316"/>
        <v>0</v>
      </c>
      <c r="J1300" s="173"/>
      <c r="K1300" s="194"/>
      <c r="L1300" s="194"/>
      <c r="M1300" s="194"/>
      <c r="N1300" s="194"/>
      <c r="O1300" s="194"/>
      <c r="P1300" s="194"/>
      <c r="Q1300" s="194"/>
      <c r="R1300" s="194"/>
    </row>
    <row r="1301" spans="1:18" s="3" customFormat="1" ht="26.4" hidden="1">
      <c r="A1301" s="82" t="s">
        <v>29</v>
      </c>
      <c r="B1301" s="145">
        <v>774</v>
      </c>
      <c r="C1301" s="84" t="s">
        <v>25</v>
      </c>
      <c r="D1301" s="84" t="s">
        <v>25</v>
      </c>
      <c r="E1301" s="84" t="s">
        <v>1247</v>
      </c>
      <c r="F1301" s="84" t="s">
        <v>30</v>
      </c>
      <c r="G1301" s="87">
        <f t="shared" si="316"/>
        <v>0</v>
      </c>
      <c r="H1301" s="87">
        <f t="shared" si="316"/>
        <v>0</v>
      </c>
      <c r="I1301" s="87">
        <f t="shared" si="316"/>
        <v>0</v>
      </c>
      <c r="J1301" s="173"/>
      <c r="K1301" s="194"/>
      <c r="L1301" s="194"/>
      <c r="M1301" s="194"/>
      <c r="N1301" s="194"/>
      <c r="O1301" s="194"/>
      <c r="P1301" s="194"/>
      <c r="Q1301" s="194"/>
      <c r="R1301" s="194"/>
    </row>
    <row r="1302" spans="1:18" s="3" customFormat="1" hidden="1">
      <c r="A1302" s="82" t="s">
        <v>31</v>
      </c>
      <c r="B1302" s="145">
        <v>774</v>
      </c>
      <c r="C1302" s="84" t="s">
        <v>25</v>
      </c>
      <c r="D1302" s="84" t="s">
        <v>25</v>
      </c>
      <c r="E1302" s="84" t="s">
        <v>1247</v>
      </c>
      <c r="F1302" s="84" t="s">
        <v>32</v>
      </c>
      <c r="G1302" s="87">
        <f>1000000-1000000</f>
        <v>0</v>
      </c>
      <c r="H1302" s="87">
        <v>0</v>
      </c>
      <c r="I1302" s="87">
        <v>0</v>
      </c>
      <c r="J1302" s="173"/>
      <c r="K1302" s="194"/>
      <c r="L1302" s="194"/>
      <c r="M1302" s="194"/>
      <c r="N1302" s="194"/>
      <c r="O1302" s="194"/>
      <c r="P1302" s="194"/>
      <c r="Q1302" s="194"/>
      <c r="R1302" s="194"/>
    </row>
    <row r="1303" spans="1:18" s="3" customFormat="1" ht="52.8" hidden="1">
      <c r="A1303" s="82" t="s">
        <v>412</v>
      </c>
      <c r="B1303" s="145">
        <v>774</v>
      </c>
      <c r="C1303" s="84" t="s">
        <v>25</v>
      </c>
      <c r="D1303" s="84" t="s">
        <v>25</v>
      </c>
      <c r="E1303" s="84" t="s">
        <v>411</v>
      </c>
      <c r="F1303" s="84"/>
      <c r="G1303" s="87">
        <f t="shared" ref="G1303:I1304" si="317">G1304</f>
        <v>0</v>
      </c>
      <c r="H1303" s="87">
        <f t="shared" si="317"/>
        <v>0</v>
      </c>
      <c r="I1303" s="87">
        <f t="shared" si="317"/>
        <v>0</v>
      </c>
      <c r="J1303" s="173"/>
      <c r="K1303" s="194"/>
      <c r="L1303" s="194"/>
      <c r="M1303" s="194"/>
      <c r="N1303" s="194"/>
      <c r="O1303" s="194"/>
      <c r="P1303" s="194"/>
      <c r="Q1303" s="194"/>
      <c r="R1303" s="194"/>
    </row>
    <row r="1304" spans="1:18" s="3" customFormat="1" ht="26.4" hidden="1">
      <c r="A1304" s="82" t="s">
        <v>29</v>
      </c>
      <c r="B1304" s="145">
        <v>774</v>
      </c>
      <c r="C1304" s="84" t="s">
        <v>25</v>
      </c>
      <c r="D1304" s="84" t="s">
        <v>25</v>
      </c>
      <c r="E1304" s="84" t="s">
        <v>411</v>
      </c>
      <c r="F1304" s="84" t="s">
        <v>30</v>
      </c>
      <c r="G1304" s="87">
        <f t="shared" si="317"/>
        <v>0</v>
      </c>
      <c r="H1304" s="87">
        <f t="shared" si="317"/>
        <v>0</v>
      </c>
      <c r="I1304" s="87">
        <f t="shared" si="317"/>
        <v>0</v>
      </c>
      <c r="J1304" s="173"/>
      <c r="K1304" s="194"/>
      <c r="L1304" s="194"/>
      <c r="M1304" s="194"/>
      <c r="N1304" s="194"/>
      <c r="O1304" s="194"/>
      <c r="P1304" s="194"/>
      <c r="Q1304" s="194"/>
      <c r="R1304" s="194"/>
    </row>
    <row r="1305" spans="1:18" s="3" customFormat="1" hidden="1">
      <c r="A1305" s="82" t="s">
        <v>31</v>
      </c>
      <c r="B1305" s="145">
        <v>774</v>
      </c>
      <c r="C1305" s="84" t="s">
        <v>25</v>
      </c>
      <c r="D1305" s="84" t="s">
        <v>25</v>
      </c>
      <c r="E1305" s="84" t="s">
        <v>411</v>
      </c>
      <c r="F1305" s="84" t="s">
        <v>32</v>
      </c>
      <c r="G1305" s="87"/>
      <c r="H1305" s="87"/>
      <c r="I1305" s="87"/>
      <c r="J1305" s="173"/>
      <c r="K1305" s="194"/>
      <c r="L1305" s="194"/>
      <c r="M1305" s="194"/>
      <c r="N1305" s="194"/>
      <c r="O1305" s="194"/>
      <c r="P1305" s="194"/>
      <c r="Q1305" s="194"/>
      <c r="R1305" s="194"/>
    </row>
    <row r="1306" spans="1:18" s="18" customFormat="1" ht="61.5" hidden="1" customHeight="1">
      <c r="A1306" s="132" t="s">
        <v>874</v>
      </c>
      <c r="B1306" s="84" t="s">
        <v>92</v>
      </c>
      <c r="C1306" s="84" t="s">
        <v>25</v>
      </c>
      <c r="D1306" s="84" t="s">
        <v>25</v>
      </c>
      <c r="E1306" s="84" t="s">
        <v>873</v>
      </c>
      <c r="F1306" s="84"/>
      <c r="G1306" s="87">
        <f>G1307</f>
        <v>0</v>
      </c>
      <c r="H1306" s="87">
        <f t="shared" ref="H1306:I1306" si="318">H1307</f>
        <v>0</v>
      </c>
      <c r="I1306" s="87">
        <f t="shared" si="318"/>
        <v>0</v>
      </c>
      <c r="J1306" s="173"/>
      <c r="K1306" s="195"/>
      <c r="L1306" s="195"/>
      <c r="M1306" s="195"/>
      <c r="N1306" s="195"/>
      <c r="O1306" s="195"/>
      <c r="P1306" s="195"/>
      <c r="Q1306" s="195"/>
      <c r="R1306" s="195"/>
    </row>
    <row r="1307" spans="1:18" s="18" customFormat="1" hidden="1">
      <c r="A1307" s="82" t="s">
        <v>62</v>
      </c>
      <c r="B1307" s="84" t="s">
        <v>92</v>
      </c>
      <c r="C1307" s="84" t="s">
        <v>25</v>
      </c>
      <c r="D1307" s="84" t="s">
        <v>25</v>
      </c>
      <c r="E1307" s="84" t="s">
        <v>873</v>
      </c>
      <c r="F1307" s="84" t="s">
        <v>63</v>
      </c>
      <c r="G1307" s="87">
        <f>G1308</f>
        <v>0</v>
      </c>
      <c r="H1307" s="87">
        <f>H1308</f>
        <v>0</v>
      </c>
      <c r="I1307" s="87">
        <f>I1308</f>
        <v>0</v>
      </c>
      <c r="J1307" s="173"/>
      <c r="K1307" s="195"/>
      <c r="L1307" s="195"/>
      <c r="M1307" s="195"/>
      <c r="N1307" s="195"/>
      <c r="O1307" s="195"/>
      <c r="P1307" s="195"/>
      <c r="Q1307" s="195"/>
      <c r="R1307" s="195"/>
    </row>
    <row r="1308" spans="1:18" s="18" customFormat="1" hidden="1">
      <c r="A1308" s="82" t="s">
        <v>174</v>
      </c>
      <c r="B1308" s="84" t="s">
        <v>92</v>
      </c>
      <c r="C1308" s="84" t="s">
        <v>25</v>
      </c>
      <c r="D1308" s="84" t="s">
        <v>25</v>
      </c>
      <c r="E1308" s="84" t="s">
        <v>873</v>
      </c>
      <c r="F1308" s="84" t="s">
        <v>175</v>
      </c>
      <c r="G1308" s="87">
        <f>3000000-3000000</f>
        <v>0</v>
      </c>
      <c r="H1308" s="87">
        <v>0</v>
      </c>
      <c r="I1308" s="87">
        <v>0</v>
      </c>
      <c r="J1308" s="173"/>
      <c r="K1308" s="195"/>
      <c r="L1308" s="195"/>
      <c r="M1308" s="195"/>
      <c r="N1308" s="195"/>
      <c r="O1308" s="195"/>
      <c r="P1308" s="195"/>
      <c r="Q1308" s="195"/>
      <c r="R1308" s="195"/>
    </row>
    <row r="1309" spans="1:18" s="18" customFormat="1" ht="26.4" hidden="1">
      <c r="A1309" s="82" t="s">
        <v>458</v>
      </c>
      <c r="B1309" s="84" t="s">
        <v>92</v>
      </c>
      <c r="C1309" s="84" t="s">
        <v>25</v>
      </c>
      <c r="D1309" s="84" t="s">
        <v>25</v>
      </c>
      <c r="E1309" s="84" t="s">
        <v>191</v>
      </c>
      <c r="F1309" s="84"/>
      <c r="G1309" s="87">
        <f>G1310</f>
        <v>0</v>
      </c>
      <c r="H1309" s="87">
        <f>H1310</f>
        <v>0</v>
      </c>
      <c r="I1309" s="87">
        <f>I1310</f>
        <v>0</v>
      </c>
      <c r="J1309" s="173"/>
      <c r="K1309" s="195"/>
      <c r="L1309" s="195"/>
      <c r="M1309" s="195"/>
      <c r="N1309" s="195"/>
      <c r="O1309" s="195"/>
      <c r="P1309" s="195"/>
      <c r="Q1309" s="195"/>
      <c r="R1309" s="195"/>
    </row>
    <row r="1310" spans="1:18" s="18" customFormat="1" hidden="1">
      <c r="A1310" s="82" t="s">
        <v>331</v>
      </c>
      <c r="B1310" s="84" t="s">
        <v>92</v>
      </c>
      <c r="C1310" s="84" t="s">
        <v>25</v>
      </c>
      <c r="D1310" s="84" t="s">
        <v>25</v>
      </c>
      <c r="E1310" s="84" t="s">
        <v>192</v>
      </c>
      <c r="F1310" s="84"/>
      <c r="G1310" s="87">
        <f>G1311</f>
        <v>0</v>
      </c>
      <c r="H1310" s="87">
        <f t="shared" ref="H1310:I1311" si="319">H1311</f>
        <v>0</v>
      </c>
      <c r="I1310" s="87">
        <f t="shared" si="319"/>
        <v>0</v>
      </c>
      <c r="J1310" s="173"/>
      <c r="K1310" s="195"/>
      <c r="L1310" s="195"/>
      <c r="M1310" s="195"/>
      <c r="N1310" s="195"/>
      <c r="O1310" s="195"/>
      <c r="P1310" s="195"/>
      <c r="Q1310" s="195"/>
      <c r="R1310" s="195"/>
    </row>
    <row r="1311" spans="1:18" s="18" customFormat="1" ht="26.4" hidden="1">
      <c r="A1311" s="82" t="s">
        <v>29</v>
      </c>
      <c r="B1311" s="84" t="s">
        <v>92</v>
      </c>
      <c r="C1311" s="84" t="s">
        <v>25</v>
      </c>
      <c r="D1311" s="84" t="s">
        <v>25</v>
      </c>
      <c r="E1311" s="84" t="s">
        <v>192</v>
      </c>
      <c r="F1311" s="84" t="s">
        <v>30</v>
      </c>
      <c r="G1311" s="87">
        <f>G1312</f>
        <v>0</v>
      </c>
      <c r="H1311" s="87">
        <f t="shared" si="319"/>
        <v>0</v>
      </c>
      <c r="I1311" s="87">
        <f t="shared" si="319"/>
        <v>0</v>
      </c>
      <c r="J1311" s="173"/>
      <c r="K1311" s="195"/>
      <c r="L1311" s="195"/>
      <c r="M1311" s="195"/>
      <c r="N1311" s="195"/>
      <c r="O1311" s="195"/>
      <c r="P1311" s="195"/>
      <c r="Q1311" s="195"/>
      <c r="R1311" s="195"/>
    </row>
    <row r="1312" spans="1:18" s="18" customFormat="1" hidden="1">
      <c r="A1312" s="82" t="s">
        <v>31</v>
      </c>
      <c r="B1312" s="84" t="s">
        <v>92</v>
      </c>
      <c r="C1312" s="84" t="s">
        <v>25</v>
      </c>
      <c r="D1312" s="84" t="s">
        <v>25</v>
      </c>
      <c r="E1312" s="84" t="s">
        <v>192</v>
      </c>
      <c r="F1312" s="84" t="s">
        <v>32</v>
      </c>
      <c r="G1312" s="87">
        <f>50000-50000</f>
        <v>0</v>
      </c>
      <c r="H1312" s="87"/>
      <c r="I1312" s="87"/>
      <c r="J1312" s="173"/>
      <c r="K1312" s="195"/>
      <c r="L1312" s="195"/>
      <c r="M1312" s="195"/>
      <c r="N1312" s="195"/>
      <c r="O1312" s="195"/>
      <c r="P1312" s="195"/>
      <c r="Q1312" s="195"/>
      <c r="R1312" s="195"/>
    </row>
    <row r="1313" spans="1:18">
      <c r="A1313" s="82" t="s">
        <v>119</v>
      </c>
      <c r="B1313" s="84" t="s">
        <v>92</v>
      </c>
      <c r="C1313" s="84" t="s">
        <v>25</v>
      </c>
      <c r="D1313" s="84" t="s">
        <v>120</v>
      </c>
      <c r="E1313" s="84"/>
      <c r="F1313" s="84"/>
      <c r="G1313" s="87">
        <f>G1315</f>
        <v>19608707.310000006</v>
      </c>
      <c r="H1313" s="87">
        <f t="shared" ref="H1313:I1313" si="320">H1315</f>
        <v>19887534.759999998</v>
      </c>
      <c r="I1313" s="87">
        <f t="shared" si="320"/>
        <v>20649896.77</v>
      </c>
      <c r="J1313" s="173"/>
    </row>
    <row r="1314" spans="1:18" ht="52.8" hidden="1">
      <c r="A1314" s="132" t="s">
        <v>121</v>
      </c>
      <c r="B1314" s="84" t="s">
        <v>92</v>
      </c>
      <c r="C1314" s="84" t="s">
        <v>25</v>
      </c>
      <c r="D1314" s="84" t="s">
        <v>120</v>
      </c>
      <c r="E1314" s="84"/>
      <c r="F1314" s="84"/>
      <c r="G1314" s="87"/>
      <c r="H1314" s="87"/>
      <c r="I1314" s="87"/>
      <c r="J1314" s="173"/>
    </row>
    <row r="1315" spans="1:18" ht="33.75" customHeight="1">
      <c r="A1315" s="16" t="s">
        <v>1133</v>
      </c>
      <c r="B1315" s="84" t="s">
        <v>92</v>
      </c>
      <c r="C1315" s="84" t="s">
        <v>25</v>
      </c>
      <c r="D1315" s="84" t="s">
        <v>120</v>
      </c>
      <c r="E1315" s="84" t="s">
        <v>183</v>
      </c>
      <c r="F1315" s="84"/>
      <c r="G1315" s="87">
        <f>G1333+G1348+G1352+G1320</f>
        <v>19608707.310000006</v>
      </c>
      <c r="H1315" s="87">
        <f>H1333+H1348+H1352+H1320</f>
        <v>19887534.759999998</v>
      </c>
      <c r="I1315" s="87">
        <f>I1333+I1348+I1352+I1320</f>
        <v>20649896.77</v>
      </c>
      <c r="J1315" s="173"/>
    </row>
    <row r="1316" spans="1:18" ht="30.75" hidden="1" customHeight="1">
      <c r="A1316" s="82"/>
      <c r="B1316" s="84"/>
      <c r="C1316" s="84"/>
      <c r="D1316" s="84"/>
      <c r="E1316" s="84"/>
      <c r="F1316" s="84"/>
      <c r="G1316" s="87"/>
      <c r="H1316" s="87"/>
      <c r="I1316" s="87"/>
      <c r="J1316" s="173"/>
    </row>
    <row r="1317" spans="1:18" s="18" customFormat="1" hidden="1">
      <c r="A1317" s="139"/>
      <c r="B1317" s="84"/>
      <c r="C1317" s="84"/>
      <c r="D1317" s="84"/>
      <c r="E1317" s="84"/>
      <c r="F1317" s="84"/>
      <c r="G1317" s="87"/>
      <c r="H1317" s="87"/>
      <c r="I1317" s="87"/>
      <c r="J1317" s="173"/>
      <c r="K1317" s="195"/>
      <c r="L1317" s="195"/>
      <c r="M1317" s="195"/>
      <c r="N1317" s="195"/>
      <c r="O1317" s="195"/>
      <c r="P1317" s="195"/>
      <c r="Q1317" s="195"/>
      <c r="R1317" s="195"/>
    </row>
    <row r="1318" spans="1:18" s="18" customFormat="1" hidden="1">
      <c r="A1318" s="82"/>
      <c r="B1318" s="84"/>
      <c r="C1318" s="84"/>
      <c r="D1318" s="84"/>
      <c r="E1318" s="84"/>
      <c r="F1318" s="84"/>
      <c r="G1318" s="87"/>
      <c r="H1318" s="87"/>
      <c r="I1318" s="87"/>
      <c r="J1318" s="173"/>
      <c r="K1318" s="195"/>
      <c r="L1318" s="195"/>
      <c r="M1318" s="195"/>
      <c r="N1318" s="195"/>
      <c r="O1318" s="195"/>
      <c r="P1318" s="195"/>
      <c r="Q1318" s="195"/>
      <c r="R1318" s="195"/>
    </row>
    <row r="1319" spans="1:18" s="18" customFormat="1" hidden="1">
      <c r="A1319" s="82"/>
      <c r="B1319" s="84"/>
      <c r="C1319" s="84"/>
      <c r="D1319" s="84"/>
      <c r="E1319" s="84"/>
      <c r="F1319" s="84"/>
      <c r="G1319" s="87"/>
      <c r="H1319" s="87"/>
      <c r="I1319" s="87"/>
      <c r="J1319" s="173"/>
      <c r="K1319" s="195"/>
      <c r="L1319" s="195"/>
      <c r="M1319" s="195"/>
      <c r="N1319" s="195"/>
      <c r="O1319" s="195"/>
      <c r="P1319" s="195"/>
      <c r="Q1319" s="195"/>
      <c r="R1319" s="195"/>
    </row>
    <row r="1320" spans="1:18" s="18" customFormat="1" ht="45.75" customHeight="1">
      <c r="A1320" s="82" t="s">
        <v>1172</v>
      </c>
      <c r="B1320" s="84" t="s">
        <v>92</v>
      </c>
      <c r="C1320" s="84" t="s">
        <v>25</v>
      </c>
      <c r="D1320" s="84" t="s">
        <v>120</v>
      </c>
      <c r="E1320" s="84" t="s">
        <v>209</v>
      </c>
      <c r="F1320" s="84"/>
      <c r="G1320" s="87">
        <f>G1321+G1327+G1324+G1330</f>
        <v>249827.78</v>
      </c>
      <c r="H1320" s="87">
        <f>H1321+H1327</f>
        <v>153276</v>
      </c>
      <c r="I1320" s="87">
        <f>I1321+I1327</f>
        <v>153276</v>
      </c>
      <c r="J1320" s="173"/>
      <c r="K1320" s="195"/>
      <c r="L1320" s="195"/>
      <c r="M1320" s="195"/>
      <c r="N1320" s="195"/>
      <c r="O1320" s="195"/>
      <c r="P1320" s="195"/>
      <c r="Q1320" s="195"/>
      <c r="R1320" s="195"/>
    </row>
    <row r="1321" spans="1:18" ht="33" customHeight="1">
      <c r="A1321" s="82" t="s">
        <v>928</v>
      </c>
      <c r="B1321" s="84" t="s">
        <v>92</v>
      </c>
      <c r="C1321" s="84" t="s">
        <v>25</v>
      </c>
      <c r="D1321" s="84" t="s">
        <v>120</v>
      </c>
      <c r="E1321" s="84" t="s">
        <v>905</v>
      </c>
      <c r="F1321" s="84"/>
      <c r="G1321" s="87">
        <f>G1322</f>
        <v>105000</v>
      </c>
      <c r="H1321" s="87">
        <f t="shared" ref="H1321:I1322" si="321">H1322</f>
        <v>105000</v>
      </c>
      <c r="I1321" s="87">
        <f t="shared" si="321"/>
        <v>105000</v>
      </c>
      <c r="J1321" s="173"/>
    </row>
    <row r="1322" spans="1:18" ht="24.75" customHeight="1">
      <c r="A1322" s="82" t="s">
        <v>35</v>
      </c>
      <c r="B1322" s="84" t="s">
        <v>92</v>
      </c>
      <c r="C1322" s="84" t="s">
        <v>25</v>
      </c>
      <c r="D1322" s="84" t="s">
        <v>120</v>
      </c>
      <c r="E1322" s="84" t="s">
        <v>905</v>
      </c>
      <c r="F1322" s="84" t="s">
        <v>36</v>
      </c>
      <c r="G1322" s="87">
        <f>G1323</f>
        <v>105000</v>
      </c>
      <c r="H1322" s="87">
        <f t="shared" si="321"/>
        <v>105000</v>
      </c>
      <c r="I1322" s="87">
        <f t="shared" si="321"/>
        <v>105000</v>
      </c>
      <c r="J1322" s="173"/>
    </row>
    <row r="1323" spans="1:18" ht="36.75" customHeight="1">
      <c r="A1323" s="82" t="s">
        <v>37</v>
      </c>
      <c r="B1323" s="84" t="s">
        <v>92</v>
      </c>
      <c r="C1323" s="84" t="s">
        <v>25</v>
      </c>
      <c r="D1323" s="84" t="s">
        <v>120</v>
      </c>
      <c r="E1323" s="84" t="s">
        <v>905</v>
      </c>
      <c r="F1323" s="84" t="s">
        <v>38</v>
      </c>
      <c r="G1323" s="70">
        <v>105000</v>
      </c>
      <c r="H1323" s="87">
        <v>105000</v>
      </c>
      <c r="I1323" s="87">
        <v>105000</v>
      </c>
      <c r="J1323" s="173"/>
    </row>
    <row r="1324" spans="1:18" s="18" customFormat="1" ht="57.75" hidden="1" customHeight="1">
      <c r="A1324" s="272" t="s">
        <v>982</v>
      </c>
      <c r="B1324" s="84" t="s">
        <v>92</v>
      </c>
      <c r="C1324" s="84" t="s">
        <v>25</v>
      </c>
      <c r="D1324" s="84" t="s">
        <v>120</v>
      </c>
      <c r="E1324" s="84" t="s">
        <v>981</v>
      </c>
      <c r="F1324" s="84"/>
      <c r="G1324" s="70">
        <f t="shared" ref="G1324:I1325" si="322">G1325</f>
        <v>0</v>
      </c>
      <c r="H1324" s="87">
        <f t="shared" si="322"/>
        <v>0</v>
      </c>
      <c r="I1324" s="87">
        <f t="shared" si="322"/>
        <v>0</v>
      </c>
      <c r="J1324" s="173"/>
      <c r="K1324" s="195"/>
      <c r="L1324" s="195"/>
      <c r="M1324" s="195"/>
      <c r="N1324" s="195"/>
      <c r="O1324" s="195"/>
      <c r="P1324" s="195"/>
      <c r="Q1324" s="195"/>
      <c r="R1324" s="195"/>
    </row>
    <row r="1325" spans="1:18" s="18" customFormat="1" hidden="1">
      <c r="A1325" s="82" t="s">
        <v>144</v>
      </c>
      <c r="B1325" s="84" t="s">
        <v>92</v>
      </c>
      <c r="C1325" s="84" t="s">
        <v>25</v>
      </c>
      <c r="D1325" s="84" t="s">
        <v>120</v>
      </c>
      <c r="E1325" s="84" t="s">
        <v>981</v>
      </c>
      <c r="F1325" s="84" t="s">
        <v>145</v>
      </c>
      <c r="G1325" s="70">
        <f t="shared" si="322"/>
        <v>0</v>
      </c>
      <c r="H1325" s="87">
        <f t="shared" si="322"/>
        <v>0</v>
      </c>
      <c r="I1325" s="87">
        <f t="shared" si="322"/>
        <v>0</v>
      </c>
      <c r="J1325" s="173"/>
      <c r="K1325" s="195"/>
      <c r="L1325" s="195"/>
      <c r="M1325" s="195"/>
      <c r="N1325" s="195"/>
      <c r="O1325" s="195"/>
      <c r="P1325" s="195"/>
      <c r="Q1325" s="195"/>
      <c r="R1325" s="195"/>
    </row>
    <row r="1326" spans="1:18" s="18" customFormat="1" hidden="1">
      <c r="A1326" s="82" t="s">
        <v>875</v>
      </c>
      <c r="B1326" s="84" t="s">
        <v>92</v>
      </c>
      <c r="C1326" s="84" t="s">
        <v>25</v>
      </c>
      <c r="D1326" s="84" t="s">
        <v>120</v>
      </c>
      <c r="E1326" s="84" t="s">
        <v>981</v>
      </c>
      <c r="F1326" s="84" t="s">
        <v>872</v>
      </c>
      <c r="G1326" s="70"/>
      <c r="H1326" s="87"/>
      <c r="I1326" s="87"/>
      <c r="J1326" s="173"/>
      <c r="K1326" s="195"/>
      <c r="L1326" s="195"/>
      <c r="M1326" s="195"/>
      <c r="N1326" s="195"/>
      <c r="O1326" s="195"/>
      <c r="P1326" s="195"/>
      <c r="Q1326" s="195"/>
      <c r="R1326" s="195"/>
    </row>
    <row r="1327" spans="1:18" s="18" customFormat="1" ht="39.6">
      <c r="A1327" s="272" t="s">
        <v>839</v>
      </c>
      <c r="B1327" s="84" t="s">
        <v>92</v>
      </c>
      <c r="C1327" s="84" t="s">
        <v>25</v>
      </c>
      <c r="D1327" s="84" t="s">
        <v>120</v>
      </c>
      <c r="E1327" s="84" t="s">
        <v>838</v>
      </c>
      <c r="F1327" s="84"/>
      <c r="G1327" s="70">
        <f t="shared" ref="G1327:I1331" si="323">G1328</f>
        <v>137931.12</v>
      </c>
      <c r="H1327" s="87">
        <f t="shared" si="323"/>
        <v>48276</v>
      </c>
      <c r="I1327" s="87">
        <f t="shared" si="323"/>
        <v>48276</v>
      </c>
      <c r="J1327" s="173"/>
      <c r="K1327" s="195"/>
      <c r="L1327" s="195"/>
      <c r="M1327" s="195"/>
      <c r="N1327" s="195"/>
      <c r="O1327" s="195"/>
      <c r="P1327" s="195"/>
      <c r="Q1327" s="195"/>
      <c r="R1327" s="195"/>
    </row>
    <row r="1328" spans="1:18" s="18" customFormat="1">
      <c r="A1328" s="82" t="s">
        <v>144</v>
      </c>
      <c r="B1328" s="84" t="s">
        <v>92</v>
      </c>
      <c r="C1328" s="84" t="s">
        <v>25</v>
      </c>
      <c r="D1328" s="84" t="s">
        <v>120</v>
      </c>
      <c r="E1328" s="84" t="s">
        <v>838</v>
      </c>
      <c r="F1328" s="84" t="s">
        <v>145</v>
      </c>
      <c r="G1328" s="70">
        <f t="shared" si="323"/>
        <v>137931.12</v>
      </c>
      <c r="H1328" s="87">
        <f t="shared" si="323"/>
        <v>48276</v>
      </c>
      <c r="I1328" s="87">
        <f t="shared" si="323"/>
        <v>48276</v>
      </c>
      <c r="J1328" s="173"/>
      <c r="K1328" s="195"/>
      <c r="L1328" s="195"/>
      <c r="M1328" s="195"/>
      <c r="N1328" s="195"/>
      <c r="O1328" s="195"/>
      <c r="P1328" s="195"/>
      <c r="Q1328" s="195"/>
      <c r="R1328" s="195"/>
    </row>
    <row r="1329" spans="1:18" s="18" customFormat="1">
      <c r="A1329" s="82" t="s">
        <v>1063</v>
      </c>
      <c r="B1329" s="84" t="s">
        <v>92</v>
      </c>
      <c r="C1329" s="84" t="s">
        <v>25</v>
      </c>
      <c r="D1329" s="84" t="s">
        <v>120</v>
      </c>
      <c r="E1329" s="84" t="s">
        <v>838</v>
      </c>
      <c r="F1329" s="84" t="s">
        <v>1062</v>
      </c>
      <c r="G1329" s="70">
        <v>137931.12</v>
      </c>
      <c r="H1329" s="87">
        <v>48276</v>
      </c>
      <c r="I1329" s="87">
        <v>48276</v>
      </c>
      <c r="J1329" s="173"/>
      <c r="K1329" s="195"/>
      <c r="L1329" s="195"/>
      <c r="M1329" s="195"/>
      <c r="N1329" s="195"/>
      <c r="O1329" s="195"/>
      <c r="P1329" s="195"/>
      <c r="Q1329" s="195"/>
      <c r="R1329" s="195"/>
    </row>
    <row r="1330" spans="1:18" s="18" customFormat="1" ht="44.25" customHeight="1">
      <c r="A1330" s="272" t="s">
        <v>982</v>
      </c>
      <c r="B1330" s="84" t="s">
        <v>92</v>
      </c>
      <c r="C1330" s="84" t="s">
        <v>25</v>
      </c>
      <c r="D1330" s="84" t="s">
        <v>120</v>
      </c>
      <c r="E1330" s="84" t="s">
        <v>981</v>
      </c>
      <c r="F1330" s="84"/>
      <c r="G1330" s="70">
        <f t="shared" si="323"/>
        <v>6896.66</v>
      </c>
      <c r="H1330" s="87">
        <f t="shared" si="323"/>
        <v>0</v>
      </c>
      <c r="I1330" s="87">
        <f t="shared" si="323"/>
        <v>0</v>
      </c>
      <c r="J1330" s="173"/>
      <c r="K1330" s="195"/>
      <c r="L1330" s="195"/>
      <c r="M1330" s="195"/>
      <c r="N1330" s="195"/>
      <c r="O1330" s="195"/>
      <c r="P1330" s="195"/>
      <c r="Q1330" s="195"/>
      <c r="R1330" s="195"/>
    </row>
    <row r="1331" spans="1:18" s="18" customFormat="1">
      <c r="A1331" s="82" t="s">
        <v>144</v>
      </c>
      <c r="B1331" s="84" t="s">
        <v>92</v>
      </c>
      <c r="C1331" s="84" t="s">
        <v>25</v>
      </c>
      <c r="D1331" s="84" t="s">
        <v>120</v>
      </c>
      <c r="E1331" s="84" t="s">
        <v>981</v>
      </c>
      <c r="F1331" s="84" t="s">
        <v>145</v>
      </c>
      <c r="G1331" s="70">
        <f t="shared" si="323"/>
        <v>6896.66</v>
      </c>
      <c r="H1331" s="87">
        <f t="shared" si="323"/>
        <v>0</v>
      </c>
      <c r="I1331" s="87">
        <f t="shared" si="323"/>
        <v>0</v>
      </c>
      <c r="J1331" s="173"/>
      <c r="K1331" s="195"/>
      <c r="L1331" s="195"/>
      <c r="M1331" s="195"/>
      <c r="N1331" s="195"/>
      <c r="O1331" s="195"/>
      <c r="P1331" s="195"/>
      <c r="Q1331" s="195"/>
      <c r="R1331" s="195"/>
    </row>
    <row r="1332" spans="1:18" s="18" customFormat="1">
      <c r="A1332" s="82" t="s">
        <v>1063</v>
      </c>
      <c r="B1332" s="84" t="s">
        <v>92</v>
      </c>
      <c r="C1332" s="84" t="s">
        <v>25</v>
      </c>
      <c r="D1332" s="84" t="s">
        <v>120</v>
      </c>
      <c r="E1332" s="84" t="s">
        <v>981</v>
      </c>
      <c r="F1332" s="84" t="s">
        <v>1062</v>
      </c>
      <c r="G1332" s="70">
        <v>6896.66</v>
      </c>
      <c r="H1332" s="87">
        <v>0</v>
      </c>
      <c r="I1332" s="87">
        <v>0</v>
      </c>
      <c r="J1332" s="173"/>
      <c r="K1332" s="195"/>
      <c r="L1332" s="195"/>
      <c r="M1332" s="195"/>
      <c r="N1332" s="195"/>
      <c r="O1332" s="195"/>
      <c r="P1332" s="195"/>
      <c r="Q1332" s="195"/>
      <c r="R1332" s="195"/>
    </row>
    <row r="1333" spans="1:18" s="18" customFormat="1" ht="32.25" customHeight="1">
      <c r="A1333" s="82" t="s">
        <v>139</v>
      </c>
      <c r="B1333" s="84" t="s">
        <v>92</v>
      </c>
      <c r="C1333" s="84" t="s">
        <v>25</v>
      </c>
      <c r="D1333" s="84" t="s">
        <v>120</v>
      </c>
      <c r="E1333" s="84" t="s">
        <v>221</v>
      </c>
      <c r="F1333" s="84"/>
      <c r="G1333" s="70">
        <f>G1334+G1355</f>
        <v>19358879.530000005</v>
      </c>
      <c r="H1333" s="87">
        <f t="shared" ref="H1333:I1333" si="324">H1334</f>
        <v>19734258.759999998</v>
      </c>
      <c r="I1333" s="87">
        <f t="shared" si="324"/>
        <v>20496620.77</v>
      </c>
      <c r="J1333" s="173"/>
      <c r="K1333" s="195"/>
      <c r="L1333" s="195"/>
      <c r="M1333" s="195"/>
      <c r="N1333" s="195"/>
      <c r="O1333" s="195"/>
      <c r="P1333" s="195"/>
      <c r="Q1333" s="195"/>
      <c r="R1333" s="195"/>
    </row>
    <row r="1334" spans="1:18" s="18" customFormat="1" ht="26.4">
      <c r="A1334" s="82" t="s">
        <v>75</v>
      </c>
      <c r="B1334" s="84" t="s">
        <v>92</v>
      </c>
      <c r="C1334" s="84" t="s">
        <v>25</v>
      </c>
      <c r="D1334" s="84" t="s">
        <v>120</v>
      </c>
      <c r="E1334" s="84" t="s">
        <v>222</v>
      </c>
      <c r="F1334" s="84"/>
      <c r="G1334" s="87">
        <f>G1335+G1337+G1339</f>
        <v>19146143.710000005</v>
      </c>
      <c r="H1334" s="87">
        <f t="shared" ref="H1334:I1334" si="325">H1335+H1337+H1339</f>
        <v>19734258.759999998</v>
      </c>
      <c r="I1334" s="87">
        <f t="shared" si="325"/>
        <v>20496620.77</v>
      </c>
      <c r="J1334" s="173"/>
      <c r="K1334" s="195"/>
      <c r="L1334" s="195"/>
      <c r="M1334" s="195"/>
      <c r="N1334" s="195"/>
      <c r="O1334" s="195"/>
      <c r="P1334" s="195"/>
      <c r="Q1334" s="195"/>
      <c r="R1334" s="195"/>
    </row>
    <row r="1335" spans="1:18" ht="66">
      <c r="A1335" s="82" t="s">
        <v>54</v>
      </c>
      <c r="B1335" s="84" t="s">
        <v>92</v>
      </c>
      <c r="C1335" s="84" t="s">
        <v>25</v>
      </c>
      <c r="D1335" s="84" t="s">
        <v>120</v>
      </c>
      <c r="E1335" s="84" t="s">
        <v>222</v>
      </c>
      <c r="F1335" s="84" t="s">
        <v>57</v>
      </c>
      <c r="G1335" s="87">
        <f>G1336</f>
        <v>18651910.040000003</v>
      </c>
      <c r="H1335" s="87">
        <f>H1336</f>
        <v>19281180.399999999</v>
      </c>
      <c r="I1335" s="87">
        <f>I1336</f>
        <v>20043542.41</v>
      </c>
      <c r="J1335" s="173"/>
    </row>
    <row r="1336" spans="1:18" ht="26.4">
      <c r="A1336" s="82" t="s">
        <v>55</v>
      </c>
      <c r="B1336" s="84" t="s">
        <v>92</v>
      </c>
      <c r="C1336" s="84" t="s">
        <v>25</v>
      </c>
      <c r="D1336" s="84" t="s">
        <v>120</v>
      </c>
      <c r="E1336" s="84" t="s">
        <v>222</v>
      </c>
      <c r="F1336" s="84" t="s">
        <v>58</v>
      </c>
      <c r="G1336" s="70">
        <f>14075277+4250733+222130-42216-15074.65+160000+1060.69</f>
        <v>18651910.040000003</v>
      </c>
      <c r="H1336" s="87">
        <f>14638288.08+4420762.32+222130</f>
        <v>19281180.399999999</v>
      </c>
      <c r="I1336" s="87">
        <f>15223819.6+4597592.81+222130</f>
        <v>20043542.41</v>
      </c>
      <c r="J1336" s="173"/>
    </row>
    <row r="1337" spans="1:18" ht="26.4">
      <c r="A1337" s="82" t="s">
        <v>35</v>
      </c>
      <c r="B1337" s="84" t="s">
        <v>92</v>
      </c>
      <c r="C1337" s="84" t="s">
        <v>25</v>
      </c>
      <c r="D1337" s="84" t="s">
        <v>120</v>
      </c>
      <c r="E1337" s="84" t="s">
        <v>222</v>
      </c>
      <c r="F1337" s="84" t="s">
        <v>36</v>
      </c>
      <c r="G1337" s="70">
        <f>G1338</f>
        <v>494233.67</v>
      </c>
      <c r="H1337" s="87">
        <f>H1338</f>
        <v>453078.36</v>
      </c>
      <c r="I1337" s="87">
        <f>I1338</f>
        <v>453078.36</v>
      </c>
      <c r="J1337" s="173"/>
    </row>
    <row r="1338" spans="1:18" ht="26.4">
      <c r="A1338" s="82" t="s">
        <v>37</v>
      </c>
      <c r="B1338" s="84" t="s">
        <v>92</v>
      </c>
      <c r="C1338" s="84" t="s">
        <v>25</v>
      </c>
      <c r="D1338" s="84" t="s">
        <v>120</v>
      </c>
      <c r="E1338" s="84" t="s">
        <v>222</v>
      </c>
      <c r="F1338" s="84" t="s">
        <v>38</v>
      </c>
      <c r="G1338" s="70">
        <f>453078.36+42216-1060.69</f>
        <v>494233.67</v>
      </c>
      <c r="H1338" s="87">
        <v>453078.36</v>
      </c>
      <c r="I1338" s="87">
        <v>453078.36</v>
      </c>
      <c r="J1338" s="173"/>
    </row>
    <row r="1339" spans="1:18" hidden="1">
      <c r="A1339" s="82" t="s">
        <v>62</v>
      </c>
      <c r="B1339" s="84" t="s">
        <v>92</v>
      </c>
      <c r="C1339" s="84" t="s">
        <v>25</v>
      </c>
      <c r="D1339" s="84" t="s">
        <v>120</v>
      </c>
      <c r="E1339" s="84" t="s">
        <v>222</v>
      </c>
      <c r="F1339" s="84" t="s">
        <v>63</v>
      </c>
      <c r="G1339" s="27">
        <f>G1341+G1340</f>
        <v>0</v>
      </c>
      <c r="H1339" s="94">
        <f>H1341</f>
        <v>0</v>
      </c>
      <c r="I1339" s="94">
        <f>I1341</f>
        <v>0</v>
      </c>
      <c r="J1339" s="189"/>
    </row>
    <row r="1340" spans="1:18" hidden="1">
      <c r="A1340" s="82" t="s">
        <v>321</v>
      </c>
      <c r="B1340" s="84" t="s">
        <v>92</v>
      </c>
      <c r="C1340" s="84" t="s">
        <v>25</v>
      </c>
      <c r="D1340" s="84" t="s">
        <v>120</v>
      </c>
      <c r="E1340" s="84" t="s">
        <v>222</v>
      </c>
      <c r="F1340" s="84" t="s">
        <v>320</v>
      </c>
      <c r="G1340" s="27"/>
      <c r="H1340" s="94">
        <v>0</v>
      </c>
      <c r="I1340" s="94">
        <v>0</v>
      </c>
      <c r="J1340" s="189"/>
    </row>
    <row r="1341" spans="1:18" hidden="1">
      <c r="A1341" s="82" t="s">
        <v>65</v>
      </c>
      <c r="B1341" s="84" t="s">
        <v>92</v>
      </c>
      <c r="C1341" s="84" t="s">
        <v>25</v>
      </c>
      <c r="D1341" s="84" t="s">
        <v>120</v>
      </c>
      <c r="E1341" s="84" t="s">
        <v>222</v>
      </c>
      <c r="F1341" s="84" t="s">
        <v>66</v>
      </c>
      <c r="G1341" s="27"/>
      <c r="H1341" s="94">
        <v>0</v>
      </c>
      <c r="I1341" s="94">
        <v>0</v>
      </c>
      <c r="J1341" s="189"/>
    </row>
    <row r="1342" spans="1:18" ht="19.5" hidden="1" customHeight="1">
      <c r="A1342" s="82" t="s">
        <v>166</v>
      </c>
      <c r="B1342" s="84" t="s">
        <v>92</v>
      </c>
      <c r="C1342" s="84" t="s">
        <v>25</v>
      </c>
      <c r="D1342" s="84" t="s">
        <v>120</v>
      </c>
      <c r="E1342" s="84"/>
      <c r="F1342" s="84"/>
      <c r="G1342" s="70">
        <f>G1343</f>
        <v>0</v>
      </c>
      <c r="H1342" s="87">
        <f t="shared" ref="H1342:I1342" si="326">H1343</f>
        <v>0</v>
      </c>
      <c r="I1342" s="87">
        <f t="shared" si="326"/>
        <v>0</v>
      </c>
      <c r="J1342" s="173"/>
    </row>
    <row r="1343" spans="1:18" ht="47.25" hidden="1" customHeight="1">
      <c r="A1343" s="82" t="s">
        <v>442</v>
      </c>
      <c r="B1343" s="84" t="s">
        <v>92</v>
      </c>
      <c r="C1343" s="84" t="s">
        <v>25</v>
      </c>
      <c r="D1343" s="84" t="s">
        <v>120</v>
      </c>
      <c r="E1343" s="84" t="s">
        <v>441</v>
      </c>
      <c r="F1343" s="84"/>
      <c r="G1343" s="70">
        <f>G1344</f>
        <v>0</v>
      </c>
      <c r="H1343" s="87">
        <f t="shared" ref="H1343:I1345" si="327">H1344</f>
        <v>0</v>
      </c>
      <c r="I1343" s="87">
        <f t="shared" si="327"/>
        <v>0</v>
      </c>
      <c r="J1343" s="173"/>
    </row>
    <row r="1344" spans="1:18" ht="33.75" hidden="1" customHeight="1">
      <c r="A1344" s="82" t="s">
        <v>440</v>
      </c>
      <c r="B1344" s="84" t="s">
        <v>92</v>
      </c>
      <c r="C1344" s="84" t="s">
        <v>25</v>
      </c>
      <c r="D1344" s="84" t="s">
        <v>120</v>
      </c>
      <c r="E1344" s="84" t="s">
        <v>438</v>
      </c>
      <c r="F1344" s="84"/>
      <c r="G1344" s="70">
        <f>G1345</f>
        <v>0</v>
      </c>
      <c r="H1344" s="87">
        <f t="shared" si="327"/>
        <v>0</v>
      </c>
      <c r="I1344" s="87">
        <f t="shared" si="327"/>
        <v>0</v>
      </c>
      <c r="J1344" s="173"/>
    </row>
    <row r="1345" spans="1:18" ht="17.25" hidden="1" customHeight="1">
      <c r="A1345" s="82" t="s">
        <v>439</v>
      </c>
      <c r="B1345" s="84" t="s">
        <v>92</v>
      </c>
      <c r="C1345" s="84" t="s">
        <v>25</v>
      </c>
      <c r="D1345" s="84" t="s">
        <v>120</v>
      </c>
      <c r="E1345" s="84" t="s">
        <v>438</v>
      </c>
      <c r="F1345" s="84" t="s">
        <v>36</v>
      </c>
      <c r="G1345" s="70">
        <f>G1346</f>
        <v>0</v>
      </c>
      <c r="H1345" s="87">
        <f t="shared" si="327"/>
        <v>0</v>
      </c>
      <c r="I1345" s="87">
        <f t="shared" si="327"/>
        <v>0</v>
      </c>
      <c r="J1345" s="173"/>
    </row>
    <row r="1346" spans="1:18" ht="26.25" hidden="1" customHeight="1">
      <c r="A1346" s="82" t="s">
        <v>37</v>
      </c>
      <c r="B1346" s="84" t="s">
        <v>92</v>
      </c>
      <c r="C1346" s="84" t="s">
        <v>25</v>
      </c>
      <c r="D1346" s="84" t="s">
        <v>120</v>
      </c>
      <c r="E1346" s="84" t="s">
        <v>438</v>
      </c>
      <c r="F1346" s="84" t="s">
        <v>38</v>
      </c>
      <c r="G1346" s="70">
        <f>16000-16000</f>
        <v>0</v>
      </c>
      <c r="H1346" s="124"/>
      <c r="I1346" s="124"/>
      <c r="J1346" s="193"/>
    </row>
    <row r="1347" spans="1:18" ht="30.75" hidden="1" customHeight="1">
      <c r="A1347" s="82"/>
      <c r="B1347" s="84"/>
      <c r="C1347" s="84"/>
      <c r="D1347" s="84"/>
      <c r="E1347" s="84"/>
      <c r="F1347" s="84"/>
      <c r="G1347" s="70"/>
      <c r="H1347" s="87"/>
      <c r="I1347" s="87"/>
      <c r="J1347" s="173"/>
    </row>
    <row r="1348" spans="1:18" s="18" customFormat="1" ht="39.6" hidden="1">
      <c r="A1348" s="272" t="s">
        <v>839</v>
      </c>
      <c r="B1348" s="84" t="s">
        <v>92</v>
      </c>
      <c r="C1348" s="84" t="s">
        <v>25</v>
      </c>
      <c r="D1348" s="84" t="s">
        <v>120</v>
      </c>
      <c r="E1348" s="84" t="s">
        <v>871</v>
      </c>
      <c r="F1348" s="84"/>
      <c r="G1348" s="70">
        <f t="shared" ref="G1348:I1350" si="328">G1349</f>
        <v>0</v>
      </c>
      <c r="H1348" s="87">
        <f t="shared" si="328"/>
        <v>0</v>
      </c>
      <c r="I1348" s="87">
        <f t="shared" si="328"/>
        <v>0</v>
      </c>
      <c r="J1348" s="173"/>
      <c r="K1348" s="195"/>
      <c r="L1348" s="195"/>
      <c r="M1348" s="195"/>
      <c r="N1348" s="195"/>
      <c r="O1348" s="195"/>
      <c r="P1348" s="195"/>
      <c r="Q1348" s="195"/>
      <c r="R1348" s="195"/>
    </row>
    <row r="1349" spans="1:18" s="18" customFormat="1" ht="39.6" hidden="1">
      <c r="A1349" s="272" t="s">
        <v>839</v>
      </c>
      <c r="B1349" s="84" t="s">
        <v>92</v>
      </c>
      <c r="C1349" s="84" t="s">
        <v>25</v>
      </c>
      <c r="D1349" s="84" t="s">
        <v>120</v>
      </c>
      <c r="E1349" s="84" t="s">
        <v>870</v>
      </c>
      <c r="F1349" s="84"/>
      <c r="G1349" s="70">
        <f t="shared" si="328"/>
        <v>0</v>
      </c>
      <c r="H1349" s="87">
        <f t="shared" si="328"/>
        <v>0</v>
      </c>
      <c r="I1349" s="87">
        <f t="shared" si="328"/>
        <v>0</v>
      </c>
      <c r="J1349" s="173"/>
      <c r="K1349" s="195"/>
      <c r="L1349" s="195"/>
      <c r="M1349" s="195"/>
      <c r="N1349" s="195"/>
      <c r="O1349" s="195"/>
      <c r="P1349" s="195"/>
      <c r="Q1349" s="195"/>
      <c r="R1349" s="195"/>
    </row>
    <row r="1350" spans="1:18" s="18" customFormat="1" hidden="1">
      <c r="A1350" s="82" t="s">
        <v>144</v>
      </c>
      <c r="B1350" s="84" t="s">
        <v>92</v>
      </c>
      <c r="C1350" s="84" t="s">
        <v>25</v>
      </c>
      <c r="D1350" s="84" t="s">
        <v>120</v>
      </c>
      <c r="E1350" s="84" t="s">
        <v>870</v>
      </c>
      <c r="F1350" s="84" t="s">
        <v>145</v>
      </c>
      <c r="G1350" s="70">
        <f t="shared" si="328"/>
        <v>0</v>
      </c>
      <c r="H1350" s="87">
        <f t="shared" si="328"/>
        <v>0</v>
      </c>
      <c r="I1350" s="87">
        <f t="shared" si="328"/>
        <v>0</v>
      </c>
      <c r="J1350" s="173"/>
      <c r="K1350" s="195"/>
      <c r="L1350" s="195"/>
      <c r="M1350" s="195"/>
      <c r="N1350" s="195"/>
      <c r="O1350" s="195"/>
      <c r="P1350" s="195"/>
      <c r="Q1350" s="195"/>
      <c r="R1350" s="195"/>
    </row>
    <row r="1351" spans="1:18" s="18" customFormat="1" hidden="1">
      <c r="A1351" s="82" t="s">
        <v>875</v>
      </c>
      <c r="B1351" s="84" t="s">
        <v>92</v>
      </c>
      <c r="C1351" s="84" t="s">
        <v>25</v>
      </c>
      <c r="D1351" s="84" t="s">
        <v>120</v>
      </c>
      <c r="E1351" s="84" t="s">
        <v>870</v>
      </c>
      <c r="F1351" s="84" t="s">
        <v>872</v>
      </c>
      <c r="G1351" s="70">
        <f>52800+123200-176000</f>
        <v>0</v>
      </c>
      <c r="H1351" s="87">
        <f>52800+53402-106202</f>
        <v>0</v>
      </c>
      <c r="I1351" s="87">
        <f>53402+52800-106202</f>
        <v>0</v>
      </c>
      <c r="J1351" s="173"/>
      <c r="K1351" s="195"/>
      <c r="L1351" s="195"/>
      <c r="M1351" s="195"/>
      <c r="N1351" s="195"/>
      <c r="O1351" s="195"/>
      <c r="P1351" s="195"/>
      <c r="Q1351" s="195"/>
      <c r="R1351" s="195"/>
    </row>
    <row r="1352" spans="1:18" ht="33" hidden="1" customHeight="1">
      <c r="A1352" s="82" t="s">
        <v>928</v>
      </c>
      <c r="B1352" s="84" t="s">
        <v>92</v>
      </c>
      <c r="C1352" s="84" t="s">
        <v>25</v>
      </c>
      <c r="D1352" s="84" t="s">
        <v>120</v>
      </c>
      <c r="E1352" s="84" t="s">
        <v>912</v>
      </c>
      <c r="F1352" s="84"/>
      <c r="G1352" s="70">
        <f>G1353</f>
        <v>0</v>
      </c>
      <c r="H1352" s="87">
        <f t="shared" ref="H1352:I1352" si="329">H1353</f>
        <v>0</v>
      </c>
      <c r="I1352" s="87">
        <f t="shared" si="329"/>
        <v>0</v>
      </c>
      <c r="J1352" s="173"/>
    </row>
    <row r="1353" spans="1:18" ht="24.75" hidden="1" customHeight="1">
      <c r="A1353" s="82" t="s">
        <v>35</v>
      </c>
      <c r="B1353" s="84" t="s">
        <v>92</v>
      </c>
      <c r="C1353" s="84" t="s">
        <v>25</v>
      </c>
      <c r="D1353" s="84" t="s">
        <v>120</v>
      </c>
      <c r="E1353" s="84" t="s">
        <v>912</v>
      </c>
      <c r="F1353" s="84" t="s">
        <v>36</v>
      </c>
      <c r="G1353" s="70">
        <f>G1354</f>
        <v>0</v>
      </c>
      <c r="H1353" s="87">
        <f t="shared" ref="H1353:I1353" si="330">H1354</f>
        <v>0</v>
      </c>
      <c r="I1353" s="87">
        <f t="shared" si="330"/>
        <v>0</v>
      </c>
      <c r="J1353" s="173"/>
    </row>
    <row r="1354" spans="1:18" ht="25.95" hidden="1" customHeight="1">
      <c r="A1354" s="82" t="s">
        <v>37</v>
      </c>
      <c r="B1354" s="84" t="s">
        <v>92</v>
      </c>
      <c r="C1354" s="84" t="s">
        <v>25</v>
      </c>
      <c r="D1354" s="84" t="s">
        <v>120</v>
      </c>
      <c r="E1354" s="84" t="s">
        <v>912</v>
      </c>
      <c r="F1354" s="84" t="s">
        <v>38</v>
      </c>
      <c r="G1354" s="70">
        <f>100000-100000</f>
        <v>0</v>
      </c>
      <c r="H1354" s="87">
        <v>0</v>
      </c>
      <c r="I1354" s="87">
        <v>0</v>
      </c>
      <c r="J1354" s="173"/>
    </row>
    <row r="1355" spans="1:18" ht="84.75" customHeight="1">
      <c r="A1355" s="82" t="s">
        <v>1435</v>
      </c>
      <c r="B1355" s="84" t="s">
        <v>92</v>
      </c>
      <c r="C1355" s="84" t="s">
        <v>25</v>
      </c>
      <c r="D1355" s="84" t="s">
        <v>120</v>
      </c>
      <c r="E1355" s="84" t="s">
        <v>1531</v>
      </c>
      <c r="F1355" s="84"/>
      <c r="G1355" s="87">
        <f>G1356</f>
        <v>212735.82</v>
      </c>
      <c r="H1355" s="87">
        <f t="shared" ref="H1355:I1355" si="331">H1356</f>
        <v>0</v>
      </c>
      <c r="I1355" s="87">
        <f t="shared" si="331"/>
        <v>0</v>
      </c>
      <c r="J1355" s="173"/>
    </row>
    <row r="1356" spans="1:18" ht="29.25" customHeight="1">
      <c r="A1356" s="82" t="s">
        <v>54</v>
      </c>
      <c r="B1356" s="84" t="s">
        <v>92</v>
      </c>
      <c r="C1356" s="84" t="s">
        <v>25</v>
      </c>
      <c r="D1356" s="84" t="s">
        <v>120</v>
      </c>
      <c r="E1356" s="84" t="s">
        <v>1531</v>
      </c>
      <c r="F1356" s="84" t="s">
        <v>57</v>
      </c>
      <c r="G1356" s="87">
        <f>G1357</f>
        <v>212735.82</v>
      </c>
      <c r="H1356" s="87">
        <f>H1357</f>
        <v>0</v>
      </c>
      <c r="I1356" s="87">
        <f>I1357</f>
        <v>0</v>
      </c>
      <c r="J1356" s="173"/>
    </row>
    <row r="1357" spans="1:18" ht="36.75" customHeight="1">
      <c r="A1357" s="82" t="s">
        <v>55</v>
      </c>
      <c r="B1357" s="84" t="s">
        <v>92</v>
      </c>
      <c r="C1357" s="84" t="s">
        <v>25</v>
      </c>
      <c r="D1357" s="84" t="s">
        <v>120</v>
      </c>
      <c r="E1357" s="84" t="s">
        <v>1531</v>
      </c>
      <c r="F1357" s="84" t="s">
        <v>58</v>
      </c>
      <c r="G1357" s="70">
        <v>212735.82</v>
      </c>
      <c r="H1357" s="87">
        <v>0</v>
      </c>
      <c r="I1357" s="87">
        <v>0</v>
      </c>
      <c r="J1357" s="173"/>
    </row>
    <row r="1358" spans="1:18">
      <c r="A1358" s="259" t="s">
        <v>141</v>
      </c>
      <c r="B1358" s="158" t="s">
        <v>92</v>
      </c>
      <c r="C1358" s="261" t="s">
        <v>68</v>
      </c>
      <c r="D1358" s="261"/>
      <c r="E1358" s="261"/>
      <c r="F1358" s="261"/>
      <c r="G1358" s="38">
        <f>G1359+G1364</f>
        <v>30923797.550000001</v>
      </c>
      <c r="H1358" s="258">
        <f>H1359+H1364</f>
        <v>27865406.43</v>
      </c>
      <c r="I1358" s="258">
        <f>I1359+I1364</f>
        <v>28524136.170000002</v>
      </c>
      <c r="J1358" s="186"/>
    </row>
    <row r="1359" spans="1:18">
      <c r="A1359" s="82" t="s">
        <v>142</v>
      </c>
      <c r="B1359" s="84" t="s">
        <v>92</v>
      </c>
      <c r="C1359" s="84" t="s">
        <v>68</v>
      </c>
      <c r="D1359" s="84" t="s">
        <v>18</v>
      </c>
      <c r="E1359" s="84"/>
      <c r="F1359" s="84"/>
      <c r="G1359" s="70">
        <f>G1360</f>
        <v>113272.5</v>
      </c>
      <c r="H1359" s="87">
        <f>H1360</f>
        <v>61920</v>
      </c>
      <c r="I1359" s="87">
        <f>I1360</f>
        <v>61920</v>
      </c>
      <c r="J1359" s="173"/>
    </row>
    <row r="1360" spans="1:18" s="43" customFormat="1" ht="30.75" customHeight="1">
      <c r="A1360" s="16" t="s">
        <v>1145</v>
      </c>
      <c r="B1360" s="84" t="s">
        <v>92</v>
      </c>
      <c r="C1360" s="84" t="s">
        <v>68</v>
      </c>
      <c r="D1360" s="84" t="s">
        <v>18</v>
      </c>
      <c r="E1360" s="84" t="s">
        <v>280</v>
      </c>
      <c r="F1360" s="164"/>
      <c r="G1360" s="87">
        <f t="shared" ref="G1360:I1362" si="332">G1361</f>
        <v>113272.5</v>
      </c>
      <c r="H1360" s="87">
        <f t="shared" si="332"/>
        <v>61920</v>
      </c>
      <c r="I1360" s="87">
        <f t="shared" si="332"/>
        <v>61920</v>
      </c>
      <c r="J1360" s="173"/>
      <c r="K1360" s="211"/>
      <c r="L1360" s="211"/>
      <c r="M1360" s="211"/>
      <c r="N1360" s="211"/>
      <c r="O1360" s="211"/>
      <c r="P1360" s="211"/>
      <c r="Q1360" s="211"/>
      <c r="R1360" s="211"/>
    </row>
    <row r="1361" spans="1:18" s="43" customFormat="1" ht="52.8">
      <c r="A1361" s="82" t="s">
        <v>1386</v>
      </c>
      <c r="B1361" s="84" t="s">
        <v>92</v>
      </c>
      <c r="C1361" s="84" t="s">
        <v>68</v>
      </c>
      <c r="D1361" s="84" t="s">
        <v>18</v>
      </c>
      <c r="E1361" s="84" t="s">
        <v>284</v>
      </c>
      <c r="F1361" s="164"/>
      <c r="G1361" s="87">
        <f t="shared" si="332"/>
        <v>113272.5</v>
      </c>
      <c r="H1361" s="87">
        <f t="shared" si="332"/>
        <v>61920</v>
      </c>
      <c r="I1361" s="87">
        <f t="shared" si="332"/>
        <v>61920</v>
      </c>
      <c r="J1361" s="173"/>
      <c r="K1361" s="211"/>
      <c r="L1361" s="211"/>
      <c r="M1361" s="211"/>
      <c r="N1361" s="211"/>
      <c r="O1361" s="211"/>
      <c r="P1361" s="211"/>
      <c r="Q1361" s="211"/>
      <c r="R1361" s="211"/>
    </row>
    <row r="1362" spans="1:18" s="43" customFormat="1">
      <c r="A1362" s="16" t="s">
        <v>144</v>
      </c>
      <c r="B1362" s="84" t="s">
        <v>92</v>
      </c>
      <c r="C1362" s="84" t="s">
        <v>68</v>
      </c>
      <c r="D1362" s="84" t="s">
        <v>18</v>
      </c>
      <c r="E1362" s="84" t="s">
        <v>284</v>
      </c>
      <c r="F1362" s="84" t="s">
        <v>145</v>
      </c>
      <c r="G1362" s="87">
        <f t="shared" si="332"/>
        <v>113272.5</v>
      </c>
      <c r="H1362" s="87">
        <f t="shared" si="332"/>
        <v>61920</v>
      </c>
      <c r="I1362" s="87">
        <f t="shared" si="332"/>
        <v>61920</v>
      </c>
      <c r="J1362" s="173"/>
      <c r="K1362" s="211"/>
      <c r="L1362" s="211"/>
      <c r="M1362" s="211"/>
      <c r="N1362" s="211"/>
      <c r="O1362" s="211"/>
      <c r="P1362" s="211"/>
      <c r="Q1362" s="211"/>
      <c r="R1362" s="211"/>
    </row>
    <row r="1363" spans="1:18" s="44" customFormat="1" ht="26.4">
      <c r="A1363" s="16" t="s">
        <v>344</v>
      </c>
      <c r="B1363" s="84" t="s">
        <v>92</v>
      </c>
      <c r="C1363" s="84" t="s">
        <v>68</v>
      </c>
      <c r="D1363" s="84" t="s">
        <v>18</v>
      </c>
      <c r="E1363" s="84" t="s">
        <v>284</v>
      </c>
      <c r="F1363" s="84" t="s">
        <v>345</v>
      </c>
      <c r="G1363" s="87">
        <f>61920+22064.72+14213.13+15074.65</f>
        <v>113272.5</v>
      </c>
      <c r="H1363" s="87">
        <v>61920</v>
      </c>
      <c r="I1363" s="87">
        <v>61920</v>
      </c>
      <c r="J1363" s="173"/>
      <c r="K1363" s="212"/>
      <c r="L1363" s="212"/>
      <c r="M1363" s="212"/>
      <c r="N1363" s="212"/>
      <c r="O1363" s="212"/>
      <c r="P1363" s="212"/>
      <c r="Q1363" s="212"/>
      <c r="R1363" s="212"/>
    </row>
    <row r="1364" spans="1:18">
      <c r="A1364" s="13" t="s">
        <v>149</v>
      </c>
      <c r="B1364" s="84" t="s">
        <v>92</v>
      </c>
      <c r="C1364" s="84" t="s">
        <v>68</v>
      </c>
      <c r="D1364" s="84" t="s">
        <v>53</v>
      </c>
      <c r="E1364" s="84"/>
      <c r="F1364" s="84"/>
      <c r="G1364" s="87">
        <f>G1365</f>
        <v>30810525.050000001</v>
      </c>
      <c r="H1364" s="87">
        <f t="shared" ref="H1364:I1364" si="333">H1365</f>
        <v>27803486.43</v>
      </c>
      <c r="I1364" s="87">
        <f t="shared" si="333"/>
        <v>28462216.170000002</v>
      </c>
      <c r="J1364" s="173"/>
    </row>
    <row r="1365" spans="1:18" s="28" customFormat="1" ht="30.75" customHeight="1">
      <c r="A1365" s="16" t="s">
        <v>1133</v>
      </c>
      <c r="B1365" s="84" t="s">
        <v>92</v>
      </c>
      <c r="C1365" s="84" t="s">
        <v>68</v>
      </c>
      <c r="D1365" s="84" t="s">
        <v>53</v>
      </c>
      <c r="E1365" s="84" t="s">
        <v>183</v>
      </c>
      <c r="F1365" s="164"/>
      <c r="G1365" s="87">
        <f>G1366</f>
        <v>30810525.050000001</v>
      </c>
      <c r="H1365" s="87">
        <f t="shared" ref="H1365:I1365" si="334">H1366</f>
        <v>27803486.43</v>
      </c>
      <c r="I1365" s="87">
        <f t="shared" si="334"/>
        <v>28462216.170000002</v>
      </c>
      <c r="J1365" s="173"/>
      <c r="K1365" s="199"/>
      <c r="L1365" s="199"/>
      <c r="M1365" s="199"/>
      <c r="N1365" s="199"/>
      <c r="O1365" s="199"/>
      <c r="P1365" s="199"/>
      <c r="Q1365" s="199"/>
      <c r="R1365" s="199"/>
    </row>
    <row r="1366" spans="1:18" ht="47.25" customHeight="1">
      <c r="A1366" s="82" t="s">
        <v>1172</v>
      </c>
      <c r="B1366" s="84" t="s">
        <v>92</v>
      </c>
      <c r="C1366" s="84" t="s">
        <v>68</v>
      </c>
      <c r="D1366" s="84" t="s">
        <v>53</v>
      </c>
      <c r="E1366" s="84" t="s">
        <v>209</v>
      </c>
      <c r="F1366" s="84"/>
      <c r="G1366" s="87">
        <f>G1404+G1367+G1371+G1407+G1401+G1410</f>
        <v>30810525.050000001</v>
      </c>
      <c r="H1366" s="87">
        <f>H1404+H1367+H1371+H1407</f>
        <v>27803486.43</v>
      </c>
      <c r="I1366" s="87">
        <f>I1404+I1367+I1371+I1407</f>
        <v>28462216.170000002</v>
      </c>
      <c r="J1366" s="173"/>
    </row>
    <row r="1367" spans="1:18" s="28" customFormat="1" ht="42.75" customHeight="1">
      <c r="A1367" s="104" t="s">
        <v>150</v>
      </c>
      <c r="B1367" s="84" t="s">
        <v>92</v>
      </c>
      <c r="C1367" s="84" t="s">
        <v>68</v>
      </c>
      <c r="D1367" s="84" t="s">
        <v>53</v>
      </c>
      <c r="E1367" s="15" t="s">
        <v>423</v>
      </c>
      <c r="F1367" s="39"/>
      <c r="G1367" s="70">
        <f t="shared" ref="G1367:I1368" si="335">G1368</f>
        <v>10952195.040000001</v>
      </c>
      <c r="H1367" s="70">
        <f t="shared" si="335"/>
        <v>8653080</v>
      </c>
      <c r="I1367" s="70">
        <f t="shared" si="335"/>
        <v>9990560</v>
      </c>
      <c r="J1367" s="173"/>
      <c r="K1367" s="199"/>
      <c r="L1367" s="199"/>
      <c r="M1367" s="199"/>
      <c r="N1367" s="199"/>
      <c r="O1367" s="199"/>
      <c r="P1367" s="199"/>
      <c r="Q1367" s="199"/>
      <c r="R1367" s="199"/>
    </row>
    <row r="1368" spans="1:18" s="28" customFormat="1" ht="26.4">
      <c r="A1368" s="82" t="s">
        <v>29</v>
      </c>
      <c r="B1368" s="84" t="s">
        <v>92</v>
      </c>
      <c r="C1368" s="84" t="s">
        <v>68</v>
      </c>
      <c r="D1368" s="84" t="s">
        <v>53</v>
      </c>
      <c r="E1368" s="15" t="s">
        <v>423</v>
      </c>
      <c r="F1368" s="15" t="s">
        <v>30</v>
      </c>
      <c r="G1368" s="70">
        <f t="shared" si="335"/>
        <v>10952195.040000001</v>
      </c>
      <c r="H1368" s="70">
        <f t="shared" si="335"/>
        <v>8653080</v>
      </c>
      <c r="I1368" s="70">
        <f t="shared" si="335"/>
        <v>9990560</v>
      </c>
      <c r="J1368" s="173"/>
      <c r="K1368" s="199"/>
      <c r="L1368" s="199"/>
      <c r="M1368" s="199"/>
      <c r="N1368" s="199"/>
      <c r="O1368" s="199"/>
      <c r="P1368" s="199"/>
      <c r="Q1368" s="199"/>
      <c r="R1368" s="199"/>
    </row>
    <row r="1369" spans="1:18">
      <c r="A1369" s="82" t="s">
        <v>31</v>
      </c>
      <c r="B1369" s="84" t="s">
        <v>92</v>
      </c>
      <c r="C1369" s="84" t="s">
        <v>68</v>
      </c>
      <c r="D1369" s="84" t="s">
        <v>53</v>
      </c>
      <c r="E1369" s="15" t="s">
        <v>423</v>
      </c>
      <c r="F1369" s="15" t="s">
        <v>32</v>
      </c>
      <c r="G1369" s="70">
        <f>10605954.48+346240.56</f>
        <v>10952195.040000001</v>
      </c>
      <c r="H1369" s="70">
        <v>8653080</v>
      </c>
      <c r="I1369" s="70">
        <v>9990560</v>
      </c>
      <c r="J1369" s="173"/>
    </row>
    <row r="1370" spans="1:18" ht="14.25" hidden="1" customHeight="1">
      <c r="A1370" s="82" t="s">
        <v>34</v>
      </c>
      <c r="B1370" s="84" t="s">
        <v>92</v>
      </c>
      <c r="C1370" s="84" t="s">
        <v>68</v>
      </c>
      <c r="D1370" s="84" t="s">
        <v>53</v>
      </c>
      <c r="E1370" s="15" t="s">
        <v>223</v>
      </c>
      <c r="F1370" s="15" t="s">
        <v>51</v>
      </c>
      <c r="G1370" s="70"/>
      <c r="H1370" s="87"/>
      <c r="I1370" s="87"/>
      <c r="J1370" s="173"/>
    </row>
    <row r="1371" spans="1:18" s="28" customFormat="1" ht="27" hidden="1" customHeight="1">
      <c r="A1371" s="132" t="s">
        <v>893</v>
      </c>
      <c r="B1371" s="84" t="s">
        <v>92</v>
      </c>
      <c r="C1371" s="84" t="s">
        <v>68</v>
      </c>
      <c r="D1371" s="84" t="s">
        <v>53</v>
      </c>
      <c r="E1371" s="15" t="s">
        <v>892</v>
      </c>
      <c r="F1371" s="39"/>
      <c r="G1371" s="70">
        <f t="shared" ref="G1371:I1372" si="336">G1372</f>
        <v>0</v>
      </c>
      <c r="H1371" s="87">
        <f t="shared" si="336"/>
        <v>0</v>
      </c>
      <c r="I1371" s="87">
        <f t="shared" si="336"/>
        <v>0</v>
      </c>
      <c r="J1371" s="173"/>
      <c r="K1371" s="199"/>
      <c r="L1371" s="199"/>
      <c r="M1371" s="199"/>
      <c r="N1371" s="199"/>
      <c r="O1371" s="199"/>
      <c r="P1371" s="199"/>
      <c r="Q1371" s="199"/>
      <c r="R1371" s="199"/>
    </row>
    <row r="1372" spans="1:18" s="28" customFormat="1" ht="26.4" hidden="1">
      <c r="A1372" s="82" t="s">
        <v>29</v>
      </c>
      <c r="B1372" s="84" t="s">
        <v>92</v>
      </c>
      <c r="C1372" s="84" t="s">
        <v>68</v>
      </c>
      <c r="D1372" s="84" t="s">
        <v>53</v>
      </c>
      <c r="E1372" s="15" t="s">
        <v>892</v>
      </c>
      <c r="F1372" s="15" t="s">
        <v>30</v>
      </c>
      <c r="G1372" s="70">
        <f t="shared" si="336"/>
        <v>0</v>
      </c>
      <c r="H1372" s="87">
        <f t="shared" si="336"/>
        <v>0</v>
      </c>
      <c r="I1372" s="87">
        <f t="shared" si="336"/>
        <v>0</v>
      </c>
      <c r="J1372" s="173"/>
      <c r="K1372" s="199"/>
      <c r="L1372" s="199"/>
      <c r="M1372" s="199"/>
      <c r="N1372" s="199"/>
      <c r="O1372" s="199"/>
      <c r="P1372" s="199"/>
      <c r="Q1372" s="199"/>
      <c r="R1372" s="199"/>
    </row>
    <row r="1373" spans="1:18" hidden="1">
      <c r="A1373" s="82" t="s">
        <v>31</v>
      </c>
      <c r="B1373" s="84" t="s">
        <v>92</v>
      </c>
      <c r="C1373" s="84" t="s">
        <v>68</v>
      </c>
      <c r="D1373" s="84" t="s">
        <v>53</v>
      </c>
      <c r="E1373" s="15" t="s">
        <v>892</v>
      </c>
      <c r="F1373" s="15" t="s">
        <v>32</v>
      </c>
      <c r="G1373" s="70">
        <f>61920-61920</f>
        <v>0</v>
      </c>
      <c r="H1373" s="87">
        <v>0</v>
      </c>
      <c r="I1373" s="87">
        <v>0</v>
      </c>
      <c r="J1373" s="173"/>
    </row>
    <row r="1374" spans="1:18" s="32" customFormat="1" ht="17.25" hidden="1" customHeight="1">
      <c r="A1374" s="266" t="s">
        <v>350</v>
      </c>
      <c r="B1374" s="84" t="s">
        <v>92</v>
      </c>
      <c r="C1374" s="152" t="s">
        <v>71</v>
      </c>
      <c r="D1374" s="152"/>
      <c r="E1374" s="152"/>
      <c r="F1374" s="152"/>
      <c r="G1374" s="153">
        <f>G1390+G1375</f>
        <v>0</v>
      </c>
      <c r="H1374" s="153">
        <f>H1390+H1375</f>
        <v>0</v>
      </c>
      <c r="I1374" s="153">
        <f>I1390+I1375</f>
        <v>0</v>
      </c>
      <c r="J1374" s="191"/>
      <c r="K1374" s="198"/>
      <c r="L1374" s="198"/>
      <c r="M1374" s="198"/>
      <c r="N1374" s="198"/>
      <c r="O1374" s="198"/>
      <c r="P1374" s="198"/>
      <c r="Q1374" s="198"/>
      <c r="R1374" s="198"/>
    </row>
    <row r="1375" spans="1:18" s="32" customFormat="1" ht="17.25" hidden="1" customHeight="1">
      <c r="A1375" s="267" t="s">
        <v>468</v>
      </c>
      <c r="B1375" s="84" t="s">
        <v>92</v>
      </c>
      <c r="C1375" s="84" t="s">
        <v>71</v>
      </c>
      <c r="D1375" s="84" t="s">
        <v>18</v>
      </c>
      <c r="E1375" s="152"/>
      <c r="F1375" s="152"/>
      <c r="G1375" s="153">
        <f>G1376+G1386</f>
        <v>0</v>
      </c>
      <c r="H1375" s="153">
        <f>H1376+H1386</f>
        <v>0</v>
      </c>
      <c r="I1375" s="153">
        <f>I1376+I1386</f>
        <v>0</v>
      </c>
      <c r="J1375" s="191"/>
      <c r="K1375" s="198"/>
      <c r="L1375" s="198"/>
      <c r="M1375" s="198"/>
      <c r="N1375" s="198"/>
      <c r="O1375" s="198"/>
      <c r="P1375" s="198"/>
      <c r="Q1375" s="198"/>
      <c r="R1375" s="198"/>
    </row>
    <row r="1376" spans="1:18" ht="27.75" hidden="1" customHeight="1">
      <c r="A1376" s="136" t="s">
        <v>460</v>
      </c>
      <c r="B1376" s="84" t="s">
        <v>92</v>
      </c>
      <c r="C1376" s="84" t="s">
        <v>71</v>
      </c>
      <c r="D1376" s="84" t="s">
        <v>18</v>
      </c>
      <c r="E1376" s="84" t="s">
        <v>189</v>
      </c>
      <c r="F1376" s="84"/>
      <c r="G1376" s="87">
        <f>G1378+G1381+G1383</f>
        <v>0</v>
      </c>
      <c r="H1376" s="87">
        <f>H1378+H1381+H1383</f>
        <v>0</v>
      </c>
      <c r="I1376" s="87">
        <f>I1378+I1381+I1383</f>
        <v>0</v>
      </c>
      <c r="J1376" s="173"/>
    </row>
    <row r="1377" spans="1:18" ht="19.5" hidden="1" customHeight="1">
      <c r="A1377" s="82" t="s">
        <v>31</v>
      </c>
      <c r="B1377" s="84" t="s">
        <v>92</v>
      </c>
      <c r="C1377" s="84" t="s">
        <v>71</v>
      </c>
      <c r="D1377" s="84" t="s">
        <v>18</v>
      </c>
      <c r="E1377" s="84" t="s">
        <v>39</v>
      </c>
      <c r="F1377" s="84" t="s">
        <v>32</v>
      </c>
      <c r="G1377" s="87"/>
      <c r="H1377" s="87"/>
      <c r="I1377" s="87"/>
      <c r="J1377" s="173"/>
    </row>
    <row r="1378" spans="1:18" ht="39" hidden="1" customHeight="1">
      <c r="A1378" s="82" t="s">
        <v>109</v>
      </c>
      <c r="B1378" s="84" t="s">
        <v>92</v>
      </c>
      <c r="C1378" s="84" t="s">
        <v>71</v>
      </c>
      <c r="D1378" s="84" t="s">
        <v>18</v>
      </c>
      <c r="E1378" s="84" t="s">
        <v>190</v>
      </c>
      <c r="F1378" s="84"/>
      <c r="G1378" s="87">
        <f>G1379</f>
        <v>0</v>
      </c>
      <c r="H1378" s="87">
        <f t="shared" ref="H1378:I1378" si="337">H1379</f>
        <v>0</v>
      </c>
      <c r="I1378" s="87">
        <f t="shared" si="337"/>
        <v>0</v>
      </c>
      <c r="J1378" s="173"/>
    </row>
    <row r="1379" spans="1:18" ht="26.4" hidden="1">
      <c r="A1379" s="82" t="s">
        <v>29</v>
      </c>
      <c r="B1379" s="84" t="s">
        <v>92</v>
      </c>
      <c r="C1379" s="84" t="s">
        <v>71</v>
      </c>
      <c r="D1379" s="84" t="s">
        <v>18</v>
      </c>
      <c r="E1379" s="84" t="s">
        <v>190</v>
      </c>
      <c r="F1379" s="84" t="s">
        <v>30</v>
      </c>
      <c r="G1379" s="87">
        <f>G1380</f>
        <v>0</v>
      </c>
      <c r="H1379" s="87">
        <f>H1380</f>
        <v>0</v>
      </c>
      <c r="I1379" s="87">
        <f>I1380</f>
        <v>0</v>
      </c>
      <c r="J1379" s="173"/>
    </row>
    <row r="1380" spans="1:18" ht="19.5" hidden="1" customHeight="1">
      <c r="A1380" s="82" t="s">
        <v>31</v>
      </c>
      <c r="B1380" s="84" t="s">
        <v>92</v>
      </c>
      <c r="C1380" s="84" t="s">
        <v>71</v>
      </c>
      <c r="D1380" s="84" t="s">
        <v>18</v>
      </c>
      <c r="E1380" s="84" t="s">
        <v>190</v>
      </c>
      <c r="F1380" s="84" t="s">
        <v>32</v>
      </c>
      <c r="G1380" s="87"/>
      <c r="H1380" s="87"/>
      <c r="I1380" s="87"/>
      <c r="J1380" s="173"/>
    </row>
    <row r="1381" spans="1:18" s="32" customFormat="1" ht="25.5" hidden="1" customHeight="1">
      <c r="A1381" s="82" t="s">
        <v>29</v>
      </c>
      <c r="B1381" s="84" t="s">
        <v>92</v>
      </c>
      <c r="C1381" s="84" t="s">
        <v>71</v>
      </c>
      <c r="D1381" s="84" t="s">
        <v>18</v>
      </c>
      <c r="E1381" s="84" t="s">
        <v>519</v>
      </c>
      <c r="F1381" s="84" t="s">
        <v>30</v>
      </c>
      <c r="G1381" s="87">
        <f>G1382</f>
        <v>0</v>
      </c>
      <c r="H1381" s="87">
        <v>0</v>
      </c>
      <c r="I1381" s="87">
        <v>0</v>
      </c>
      <c r="J1381" s="173"/>
      <c r="K1381" s="198"/>
      <c r="L1381" s="198"/>
      <c r="M1381" s="198"/>
      <c r="N1381" s="198"/>
      <c r="O1381" s="198"/>
      <c r="P1381" s="198"/>
      <c r="Q1381" s="198"/>
      <c r="R1381" s="198"/>
    </row>
    <row r="1382" spans="1:18" s="32" customFormat="1" ht="17.25" hidden="1" customHeight="1">
      <c r="A1382" s="82" t="s">
        <v>31</v>
      </c>
      <c r="B1382" s="84" t="s">
        <v>92</v>
      </c>
      <c r="C1382" s="84" t="s">
        <v>71</v>
      </c>
      <c r="D1382" s="84" t="s">
        <v>18</v>
      </c>
      <c r="E1382" s="84" t="s">
        <v>519</v>
      </c>
      <c r="F1382" s="84" t="s">
        <v>32</v>
      </c>
      <c r="G1382" s="87"/>
      <c r="H1382" s="87">
        <v>0</v>
      </c>
      <c r="I1382" s="87">
        <v>0</v>
      </c>
      <c r="J1382" s="173"/>
      <c r="K1382" s="198"/>
      <c r="L1382" s="198"/>
      <c r="M1382" s="198"/>
      <c r="N1382" s="198"/>
      <c r="O1382" s="198"/>
      <c r="P1382" s="198"/>
      <c r="Q1382" s="198"/>
      <c r="R1382" s="198"/>
    </row>
    <row r="1383" spans="1:18" s="32" customFormat="1" ht="65.25" hidden="1" customHeight="1">
      <c r="A1383" s="82" t="s">
        <v>587</v>
      </c>
      <c r="B1383" s="84" t="s">
        <v>92</v>
      </c>
      <c r="C1383" s="84" t="s">
        <v>71</v>
      </c>
      <c r="D1383" s="84" t="s">
        <v>18</v>
      </c>
      <c r="E1383" s="84" t="s">
        <v>586</v>
      </c>
      <c r="F1383" s="84"/>
      <c r="G1383" s="87">
        <f>G1384</f>
        <v>0</v>
      </c>
      <c r="H1383" s="87">
        <f t="shared" ref="H1383:I1383" si="338">H1384</f>
        <v>0</v>
      </c>
      <c r="I1383" s="87">
        <f t="shared" si="338"/>
        <v>0</v>
      </c>
      <c r="J1383" s="173"/>
      <c r="K1383" s="198"/>
      <c r="L1383" s="198"/>
      <c r="M1383" s="198"/>
      <c r="N1383" s="198"/>
      <c r="O1383" s="198"/>
      <c r="P1383" s="198"/>
      <c r="Q1383" s="198"/>
      <c r="R1383" s="198"/>
    </row>
    <row r="1384" spans="1:18" s="32" customFormat="1" ht="25.5" hidden="1" customHeight="1">
      <c r="A1384" s="82" t="s">
        <v>29</v>
      </c>
      <c r="B1384" s="84" t="s">
        <v>92</v>
      </c>
      <c r="C1384" s="84" t="s">
        <v>71</v>
      </c>
      <c r="D1384" s="84" t="s">
        <v>18</v>
      </c>
      <c r="E1384" s="84" t="s">
        <v>586</v>
      </c>
      <c r="F1384" s="84" t="s">
        <v>30</v>
      </c>
      <c r="G1384" s="87">
        <f>G1385</f>
        <v>0</v>
      </c>
      <c r="H1384" s="87">
        <v>0</v>
      </c>
      <c r="I1384" s="87">
        <v>0</v>
      </c>
      <c r="J1384" s="173"/>
      <c r="K1384" s="198"/>
      <c r="L1384" s="198"/>
      <c r="M1384" s="198"/>
      <c r="N1384" s="198"/>
      <c r="O1384" s="198"/>
      <c r="P1384" s="198"/>
      <c r="Q1384" s="198"/>
      <c r="R1384" s="198"/>
    </row>
    <row r="1385" spans="1:18" s="32" customFormat="1" ht="17.25" hidden="1" customHeight="1">
      <c r="A1385" s="82" t="s">
        <v>31</v>
      </c>
      <c r="B1385" s="84" t="s">
        <v>92</v>
      </c>
      <c r="C1385" s="84" t="s">
        <v>71</v>
      </c>
      <c r="D1385" s="84" t="s">
        <v>18</v>
      </c>
      <c r="E1385" s="84" t="s">
        <v>586</v>
      </c>
      <c r="F1385" s="84" t="s">
        <v>32</v>
      </c>
      <c r="G1385" s="87"/>
      <c r="H1385" s="87">
        <v>0</v>
      </c>
      <c r="I1385" s="87">
        <v>0</v>
      </c>
      <c r="J1385" s="173"/>
      <c r="K1385" s="198"/>
      <c r="L1385" s="198"/>
      <c r="M1385" s="198"/>
      <c r="N1385" s="198"/>
      <c r="O1385" s="198"/>
      <c r="P1385" s="198"/>
      <c r="Q1385" s="198"/>
      <c r="R1385" s="198"/>
    </row>
    <row r="1386" spans="1:18" s="18" customFormat="1" ht="26.4" hidden="1">
      <c r="A1386" s="82" t="s">
        <v>454</v>
      </c>
      <c r="B1386" s="84" t="s">
        <v>92</v>
      </c>
      <c r="C1386" s="84" t="s">
        <v>71</v>
      </c>
      <c r="D1386" s="84" t="s">
        <v>18</v>
      </c>
      <c r="E1386" s="84" t="s">
        <v>257</v>
      </c>
      <c r="F1386" s="84"/>
      <c r="G1386" s="87">
        <f>G1387</f>
        <v>0</v>
      </c>
      <c r="H1386" s="87">
        <f t="shared" ref="H1386:I1388" si="339">H1387</f>
        <v>0</v>
      </c>
      <c r="I1386" s="87">
        <f t="shared" si="339"/>
        <v>0</v>
      </c>
      <c r="J1386" s="173"/>
      <c r="K1386" s="195"/>
      <c r="L1386" s="195"/>
      <c r="M1386" s="195"/>
      <c r="N1386" s="195"/>
      <c r="O1386" s="195"/>
      <c r="P1386" s="195"/>
      <c r="Q1386" s="195"/>
      <c r="R1386" s="195"/>
    </row>
    <row r="1387" spans="1:18" s="18" customFormat="1" ht="26.4" hidden="1">
      <c r="A1387" s="82" t="s">
        <v>453</v>
      </c>
      <c r="B1387" s="84" t="s">
        <v>92</v>
      </c>
      <c r="C1387" s="84" t="s">
        <v>71</v>
      </c>
      <c r="D1387" s="84" t="s">
        <v>18</v>
      </c>
      <c r="E1387" s="84" t="s">
        <v>428</v>
      </c>
      <c r="F1387" s="84"/>
      <c r="G1387" s="87">
        <f>G1388</f>
        <v>0</v>
      </c>
      <c r="H1387" s="87">
        <f t="shared" si="339"/>
        <v>0</v>
      </c>
      <c r="I1387" s="87">
        <f t="shared" si="339"/>
        <v>0</v>
      </c>
      <c r="J1387" s="173"/>
      <c r="K1387" s="195"/>
      <c r="L1387" s="195"/>
      <c r="M1387" s="195"/>
      <c r="N1387" s="195"/>
      <c r="O1387" s="195"/>
      <c r="P1387" s="195"/>
      <c r="Q1387" s="195"/>
      <c r="R1387" s="195"/>
    </row>
    <row r="1388" spans="1:18" s="18" customFormat="1" ht="26.4" hidden="1">
      <c r="A1388" s="82" t="s">
        <v>94</v>
      </c>
      <c r="B1388" s="84" t="s">
        <v>92</v>
      </c>
      <c r="C1388" s="84" t="s">
        <v>71</v>
      </c>
      <c r="D1388" s="84" t="s">
        <v>18</v>
      </c>
      <c r="E1388" s="84" t="s">
        <v>428</v>
      </c>
      <c r="F1388" s="84" t="s">
        <v>338</v>
      </c>
      <c r="G1388" s="87">
        <f>G1389</f>
        <v>0</v>
      </c>
      <c r="H1388" s="87">
        <f t="shared" si="339"/>
        <v>0</v>
      </c>
      <c r="I1388" s="87">
        <f t="shared" si="339"/>
        <v>0</v>
      </c>
      <c r="J1388" s="173"/>
      <c r="K1388" s="195"/>
      <c r="L1388" s="195"/>
      <c r="M1388" s="195"/>
      <c r="N1388" s="195"/>
      <c r="O1388" s="195"/>
      <c r="P1388" s="195"/>
      <c r="Q1388" s="195"/>
      <c r="R1388" s="195"/>
    </row>
    <row r="1389" spans="1:18" s="18" customFormat="1" ht="92.4" hidden="1">
      <c r="A1389" s="130" t="s">
        <v>407</v>
      </c>
      <c r="B1389" s="84" t="s">
        <v>92</v>
      </c>
      <c r="C1389" s="84" t="s">
        <v>71</v>
      </c>
      <c r="D1389" s="84" t="s">
        <v>18</v>
      </c>
      <c r="E1389" s="84" t="s">
        <v>428</v>
      </c>
      <c r="F1389" s="84" t="s">
        <v>406</v>
      </c>
      <c r="G1389" s="87">
        <f>50000-50000</f>
        <v>0</v>
      </c>
      <c r="H1389" s="87"/>
      <c r="I1389" s="87"/>
      <c r="J1389" s="173"/>
      <c r="K1389" s="195"/>
      <c r="L1389" s="195"/>
      <c r="M1389" s="195"/>
      <c r="N1389" s="195"/>
      <c r="O1389" s="195"/>
      <c r="P1389" s="195"/>
      <c r="Q1389" s="195"/>
      <c r="R1389" s="195"/>
    </row>
    <row r="1390" spans="1:18" s="33" customFormat="1" ht="15" hidden="1" customHeight="1">
      <c r="A1390" s="82" t="s">
        <v>70</v>
      </c>
      <c r="B1390" s="84" t="s">
        <v>92</v>
      </c>
      <c r="C1390" s="84" t="s">
        <v>71</v>
      </c>
      <c r="D1390" s="84" t="s">
        <v>27</v>
      </c>
      <c r="E1390" s="164"/>
      <c r="F1390" s="164"/>
      <c r="G1390" s="93">
        <f>G1391</f>
        <v>0</v>
      </c>
      <c r="H1390" s="93">
        <f>H1391+H821</f>
        <v>0</v>
      </c>
      <c r="I1390" s="93">
        <f>I1391+I821</f>
        <v>0</v>
      </c>
      <c r="J1390" s="190"/>
      <c r="K1390" s="206"/>
      <c r="L1390" s="206"/>
      <c r="M1390" s="206"/>
      <c r="N1390" s="206"/>
      <c r="O1390" s="206"/>
      <c r="P1390" s="206"/>
      <c r="Q1390" s="206"/>
      <c r="R1390" s="206"/>
    </row>
    <row r="1391" spans="1:18" s="28" customFormat="1" ht="28.5" hidden="1" customHeight="1">
      <c r="A1391" s="136" t="s">
        <v>460</v>
      </c>
      <c r="B1391" s="84" t="s">
        <v>92</v>
      </c>
      <c r="C1391" s="84" t="s">
        <v>71</v>
      </c>
      <c r="D1391" s="84" t="s">
        <v>27</v>
      </c>
      <c r="E1391" s="84" t="s">
        <v>189</v>
      </c>
      <c r="F1391" s="84"/>
      <c r="G1391" s="87">
        <f>G1392+G1395+G1398</f>
        <v>0</v>
      </c>
      <c r="H1391" s="87">
        <f t="shared" ref="H1391:I1391" si="340">H1392+H1395+H1398</f>
        <v>0</v>
      </c>
      <c r="I1391" s="87">
        <f t="shared" si="340"/>
        <v>0</v>
      </c>
      <c r="J1391" s="173"/>
      <c r="K1391" s="199"/>
      <c r="L1391" s="199"/>
      <c r="M1391" s="199"/>
      <c r="N1391" s="199"/>
      <c r="O1391" s="199"/>
      <c r="P1391" s="199"/>
      <c r="Q1391" s="199"/>
      <c r="R1391" s="199"/>
    </row>
    <row r="1392" spans="1:18" s="28" customFormat="1" ht="27.75" hidden="1" customHeight="1">
      <c r="A1392" s="136" t="s">
        <v>72</v>
      </c>
      <c r="B1392" s="84" t="s">
        <v>92</v>
      </c>
      <c r="C1392" s="84" t="s">
        <v>71</v>
      </c>
      <c r="D1392" s="84" t="s">
        <v>27</v>
      </c>
      <c r="E1392" s="84" t="s">
        <v>200</v>
      </c>
      <c r="F1392" s="84"/>
      <c r="G1392" s="87">
        <f>G1393</f>
        <v>0</v>
      </c>
      <c r="H1392" s="87">
        <f t="shared" ref="H1392:I1392" si="341">H1393</f>
        <v>0</v>
      </c>
      <c r="I1392" s="87">
        <f t="shared" si="341"/>
        <v>0</v>
      </c>
      <c r="J1392" s="173"/>
      <c r="K1392" s="199"/>
      <c r="L1392" s="199"/>
      <c r="M1392" s="199"/>
      <c r="N1392" s="199"/>
      <c r="O1392" s="199"/>
      <c r="P1392" s="199"/>
      <c r="Q1392" s="199"/>
      <c r="R1392" s="199"/>
    </row>
    <row r="1393" spans="1:18" s="32" customFormat="1" ht="28.5" hidden="1" customHeight="1">
      <c r="A1393" s="82" t="s">
        <v>35</v>
      </c>
      <c r="B1393" s="84" t="s">
        <v>92</v>
      </c>
      <c r="C1393" s="84" t="s">
        <v>71</v>
      </c>
      <c r="D1393" s="84" t="s">
        <v>27</v>
      </c>
      <c r="E1393" s="84" t="s">
        <v>200</v>
      </c>
      <c r="F1393" s="84" t="s">
        <v>36</v>
      </c>
      <c r="G1393" s="87">
        <f>G1394</f>
        <v>0</v>
      </c>
      <c r="H1393" s="87">
        <f>H1394</f>
        <v>0</v>
      </c>
      <c r="I1393" s="87">
        <f>I1394</f>
        <v>0</v>
      </c>
      <c r="J1393" s="173"/>
      <c r="K1393" s="198"/>
      <c r="L1393" s="198"/>
      <c r="M1393" s="198"/>
      <c r="N1393" s="198"/>
      <c r="O1393" s="198"/>
      <c r="P1393" s="198"/>
      <c r="Q1393" s="198"/>
      <c r="R1393" s="198"/>
    </row>
    <row r="1394" spans="1:18" s="32" customFormat="1" hidden="1">
      <c r="A1394" s="82"/>
      <c r="B1394" s="84" t="s">
        <v>92</v>
      </c>
      <c r="C1394" s="84"/>
      <c r="D1394" s="84"/>
      <c r="E1394" s="84"/>
      <c r="F1394" s="84"/>
      <c r="G1394" s="87"/>
      <c r="H1394" s="87"/>
      <c r="I1394" s="87"/>
      <c r="J1394" s="173"/>
      <c r="K1394" s="200"/>
      <c r="L1394" s="198"/>
      <c r="M1394" s="198"/>
      <c r="N1394" s="198"/>
      <c r="O1394" s="198"/>
      <c r="P1394" s="198"/>
      <c r="Q1394" s="198"/>
      <c r="R1394" s="198"/>
    </row>
    <row r="1395" spans="1:18" s="28" customFormat="1" ht="51" hidden="1" customHeight="1">
      <c r="A1395" s="136" t="s">
        <v>808</v>
      </c>
      <c r="B1395" s="84" t="s">
        <v>92</v>
      </c>
      <c r="C1395" s="84" t="s">
        <v>71</v>
      </c>
      <c r="D1395" s="84" t="s">
        <v>27</v>
      </c>
      <c r="E1395" s="84" t="s">
        <v>807</v>
      </c>
      <c r="F1395" s="84"/>
      <c r="G1395" s="87">
        <f>G1396</f>
        <v>0</v>
      </c>
      <c r="H1395" s="87">
        <f t="shared" ref="H1395:I1395" si="342">H1396</f>
        <v>0</v>
      </c>
      <c r="I1395" s="87">
        <f t="shared" si="342"/>
        <v>0</v>
      </c>
      <c r="J1395" s="173"/>
      <c r="K1395" s="199"/>
      <c r="L1395" s="199"/>
      <c r="M1395" s="199"/>
      <c r="N1395" s="199"/>
      <c r="O1395" s="199"/>
      <c r="P1395" s="199"/>
      <c r="Q1395" s="199"/>
      <c r="R1395" s="199"/>
    </row>
    <row r="1396" spans="1:18" s="32" customFormat="1" ht="28.5" hidden="1" customHeight="1">
      <c r="A1396" s="82" t="s">
        <v>35</v>
      </c>
      <c r="B1396" s="84" t="s">
        <v>92</v>
      </c>
      <c r="C1396" s="84" t="s">
        <v>71</v>
      </c>
      <c r="D1396" s="84" t="s">
        <v>27</v>
      </c>
      <c r="E1396" s="84" t="s">
        <v>807</v>
      </c>
      <c r="F1396" s="84" t="s">
        <v>36</v>
      </c>
      <c r="G1396" s="87">
        <f>G1397</f>
        <v>0</v>
      </c>
      <c r="H1396" s="87">
        <f>H1397</f>
        <v>0</v>
      </c>
      <c r="I1396" s="87">
        <f>I1397</f>
        <v>0</v>
      </c>
      <c r="J1396" s="173"/>
      <c r="K1396" s="198"/>
      <c r="L1396" s="198"/>
      <c r="M1396" s="198"/>
      <c r="N1396" s="198"/>
      <c r="O1396" s="198"/>
      <c r="P1396" s="198"/>
      <c r="Q1396" s="198"/>
      <c r="R1396" s="198"/>
    </row>
    <row r="1397" spans="1:18" s="32" customFormat="1" ht="26.4" hidden="1">
      <c r="A1397" s="82" t="s">
        <v>37</v>
      </c>
      <c r="B1397" s="84" t="s">
        <v>92</v>
      </c>
      <c r="C1397" s="84" t="s">
        <v>71</v>
      </c>
      <c r="D1397" s="84" t="s">
        <v>27</v>
      </c>
      <c r="E1397" s="84" t="s">
        <v>807</v>
      </c>
      <c r="F1397" s="84" t="s">
        <v>38</v>
      </c>
      <c r="G1397" s="87"/>
      <c r="H1397" s="87">
        <v>0</v>
      </c>
      <c r="I1397" s="87">
        <v>0</v>
      </c>
      <c r="J1397" s="173"/>
      <c r="K1397" s="200"/>
      <c r="L1397" s="198"/>
      <c r="M1397" s="198"/>
      <c r="N1397" s="198"/>
      <c r="O1397" s="198"/>
      <c r="P1397" s="198"/>
      <c r="Q1397" s="198"/>
      <c r="R1397" s="198"/>
    </row>
    <row r="1398" spans="1:18" s="28" customFormat="1" ht="51" hidden="1" customHeight="1">
      <c r="A1398" s="136" t="s">
        <v>810</v>
      </c>
      <c r="B1398" s="84" t="s">
        <v>92</v>
      </c>
      <c r="C1398" s="84" t="s">
        <v>71</v>
      </c>
      <c r="D1398" s="84" t="s">
        <v>27</v>
      </c>
      <c r="E1398" s="84" t="s">
        <v>809</v>
      </c>
      <c r="F1398" s="84"/>
      <c r="G1398" s="87">
        <f>G1399</f>
        <v>0</v>
      </c>
      <c r="H1398" s="87">
        <f t="shared" ref="H1398:I1398" si="343">H1399</f>
        <v>0</v>
      </c>
      <c r="I1398" s="87">
        <f t="shared" si="343"/>
        <v>0</v>
      </c>
      <c r="J1398" s="173"/>
      <c r="K1398" s="199"/>
      <c r="L1398" s="199"/>
      <c r="M1398" s="199"/>
      <c r="N1398" s="199"/>
      <c r="O1398" s="199"/>
      <c r="P1398" s="199"/>
      <c r="Q1398" s="199"/>
      <c r="R1398" s="199"/>
    </row>
    <row r="1399" spans="1:18" s="32" customFormat="1" ht="28.5" hidden="1" customHeight="1">
      <c r="A1399" s="82" t="s">
        <v>35</v>
      </c>
      <c r="B1399" s="84" t="s">
        <v>92</v>
      </c>
      <c r="C1399" s="84" t="s">
        <v>71</v>
      </c>
      <c r="D1399" s="84" t="s">
        <v>27</v>
      </c>
      <c r="E1399" s="84" t="s">
        <v>809</v>
      </c>
      <c r="F1399" s="84" t="s">
        <v>36</v>
      </c>
      <c r="G1399" s="87">
        <f>G1400</f>
        <v>0</v>
      </c>
      <c r="H1399" s="87">
        <f>H1400</f>
        <v>0</v>
      </c>
      <c r="I1399" s="87">
        <f>I1400</f>
        <v>0</v>
      </c>
      <c r="J1399" s="173"/>
      <c r="K1399" s="198"/>
      <c r="L1399" s="198"/>
      <c r="M1399" s="198"/>
      <c r="N1399" s="198"/>
      <c r="O1399" s="198"/>
      <c r="P1399" s="198"/>
      <c r="Q1399" s="198"/>
      <c r="R1399" s="198"/>
    </row>
    <row r="1400" spans="1:18" s="32" customFormat="1" ht="26.4" hidden="1">
      <c r="A1400" s="82" t="s">
        <v>37</v>
      </c>
      <c r="B1400" s="84" t="s">
        <v>92</v>
      </c>
      <c r="C1400" s="84" t="s">
        <v>71</v>
      </c>
      <c r="D1400" s="84" t="s">
        <v>27</v>
      </c>
      <c r="E1400" s="84" t="s">
        <v>809</v>
      </c>
      <c r="F1400" s="84" t="s">
        <v>38</v>
      </c>
      <c r="G1400" s="87"/>
      <c r="H1400" s="87">
        <v>0</v>
      </c>
      <c r="I1400" s="87">
        <v>0</v>
      </c>
      <c r="J1400" s="173"/>
      <c r="K1400" s="200"/>
      <c r="L1400" s="198"/>
      <c r="M1400" s="198"/>
      <c r="N1400" s="198"/>
      <c r="O1400" s="198"/>
      <c r="P1400" s="198"/>
      <c r="Q1400" s="198"/>
      <c r="R1400" s="198"/>
    </row>
    <row r="1401" spans="1:18" s="28" customFormat="1" ht="296.25" customHeight="1">
      <c r="A1401" s="104" t="s">
        <v>1261</v>
      </c>
      <c r="B1401" s="84" t="s">
        <v>92</v>
      </c>
      <c r="C1401" s="84" t="s">
        <v>68</v>
      </c>
      <c r="D1401" s="84" t="s">
        <v>53</v>
      </c>
      <c r="E1401" s="15" t="s">
        <v>1260</v>
      </c>
      <c r="F1401" s="39"/>
      <c r="G1401" s="70">
        <f t="shared" ref="G1401:I1402" si="344">G1402</f>
        <v>797443</v>
      </c>
      <c r="H1401" s="87">
        <f t="shared" si="344"/>
        <v>0</v>
      </c>
      <c r="I1401" s="87">
        <f t="shared" si="344"/>
        <v>0</v>
      </c>
      <c r="J1401" s="173"/>
      <c r="K1401" s="199"/>
      <c r="L1401" s="199"/>
      <c r="M1401" s="199"/>
      <c r="N1401" s="199"/>
      <c r="O1401" s="199"/>
      <c r="P1401" s="199"/>
      <c r="Q1401" s="199"/>
      <c r="R1401" s="199"/>
    </row>
    <row r="1402" spans="1:18" s="28" customFormat="1" ht="26.4">
      <c r="A1402" s="82" t="s">
        <v>29</v>
      </c>
      <c r="B1402" s="84" t="s">
        <v>92</v>
      </c>
      <c r="C1402" s="84" t="s">
        <v>68</v>
      </c>
      <c r="D1402" s="84" t="s">
        <v>53</v>
      </c>
      <c r="E1402" s="15" t="s">
        <v>1260</v>
      </c>
      <c r="F1402" s="15" t="s">
        <v>30</v>
      </c>
      <c r="G1402" s="70">
        <f t="shared" si="344"/>
        <v>797443</v>
      </c>
      <c r="H1402" s="87">
        <f t="shared" si="344"/>
        <v>0</v>
      </c>
      <c r="I1402" s="87">
        <f t="shared" si="344"/>
        <v>0</v>
      </c>
      <c r="J1402" s="173"/>
      <c r="K1402" s="199"/>
      <c r="L1402" s="199"/>
      <c r="M1402" s="199"/>
      <c r="N1402" s="199"/>
      <c r="O1402" s="199"/>
      <c r="P1402" s="199"/>
      <c r="Q1402" s="199"/>
      <c r="R1402" s="199"/>
    </row>
    <row r="1403" spans="1:18">
      <c r="A1403" s="82" t="s">
        <v>31</v>
      </c>
      <c r="B1403" s="84" t="s">
        <v>92</v>
      </c>
      <c r="C1403" s="84" t="s">
        <v>68</v>
      </c>
      <c r="D1403" s="84" t="s">
        <v>53</v>
      </c>
      <c r="E1403" s="15" t="s">
        <v>1260</v>
      </c>
      <c r="F1403" s="15" t="s">
        <v>32</v>
      </c>
      <c r="G1403" s="70">
        <f>732373+65070</f>
        <v>797443</v>
      </c>
      <c r="H1403" s="87">
        <v>0</v>
      </c>
      <c r="I1403" s="87">
        <v>0</v>
      </c>
      <c r="J1403" s="173"/>
    </row>
    <row r="1404" spans="1:18" s="18" customFormat="1" ht="56.25" customHeight="1">
      <c r="A1404" s="104" t="s">
        <v>64</v>
      </c>
      <c r="B1404" s="84" t="s">
        <v>92</v>
      </c>
      <c r="C1404" s="84" t="s">
        <v>68</v>
      </c>
      <c r="D1404" s="84" t="s">
        <v>53</v>
      </c>
      <c r="E1404" s="84" t="s">
        <v>422</v>
      </c>
      <c r="F1404" s="84"/>
      <c r="G1404" s="87">
        <f t="shared" ref="G1404:I1405" si="345">G1405</f>
        <v>500887.41000000009</v>
      </c>
      <c r="H1404" s="87">
        <f t="shared" si="345"/>
        <v>638490</v>
      </c>
      <c r="I1404" s="87">
        <f t="shared" si="345"/>
        <v>623370</v>
      </c>
      <c r="J1404" s="173"/>
      <c r="K1404" s="195"/>
      <c r="L1404" s="195"/>
      <c r="M1404" s="195"/>
      <c r="N1404" s="195"/>
      <c r="O1404" s="195"/>
      <c r="P1404" s="195"/>
      <c r="Q1404" s="195"/>
      <c r="R1404" s="195"/>
    </row>
    <row r="1405" spans="1:18" s="18" customFormat="1" ht="26.4">
      <c r="A1405" s="82" t="s">
        <v>29</v>
      </c>
      <c r="B1405" s="84" t="s">
        <v>92</v>
      </c>
      <c r="C1405" s="84" t="s">
        <v>68</v>
      </c>
      <c r="D1405" s="84" t="s">
        <v>53</v>
      </c>
      <c r="E1405" s="84" t="s">
        <v>422</v>
      </c>
      <c r="F1405" s="84" t="s">
        <v>30</v>
      </c>
      <c r="G1405" s="87">
        <f t="shared" si="345"/>
        <v>500887.41000000009</v>
      </c>
      <c r="H1405" s="87">
        <f t="shared" si="345"/>
        <v>638490</v>
      </c>
      <c r="I1405" s="87">
        <f t="shared" si="345"/>
        <v>623370</v>
      </c>
      <c r="J1405" s="173"/>
      <c r="K1405" s="195"/>
      <c r="L1405" s="195"/>
      <c r="M1405" s="195"/>
      <c r="N1405" s="195"/>
      <c r="O1405" s="195"/>
      <c r="P1405" s="195"/>
      <c r="Q1405" s="195"/>
      <c r="R1405" s="195"/>
    </row>
    <row r="1406" spans="1:18" s="18" customFormat="1">
      <c r="A1406" s="82" t="s">
        <v>31</v>
      </c>
      <c r="B1406" s="84" t="s">
        <v>92</v>
      </c>
      <c r="C1406" s="84" t="s">
        <v>68</v>
      </c>
      <c r="D1406" s="84" t="s">
        <v>53</v>
      </c>
      <c r="E1406" s="15" t="s">
        <v>422</v>
      </c>
      <c r="F1406" s="15" t="s">
        <v>32</v>
      </c>
      <c r="G1406" s="70">
        <f>556416.81-24185.1-31344.3</f>
        <v>500887.41000000009</v>
      </c>
      <c r="H1406" s="70">
        <f>277290+361200</f>
        <v>638490</v>
      </c>
      <c r="I1406" s="70">
        <f>262170+361200</f>
        <v>623370</v>
      </c>
      <c r="J1406" s="173"/>
      <c r="K1406" s="195"/>
      <c r="L1406" s="195"/>
      <c r="M1406" s="195"/>
      <c r="N1406" s="195"/>
      <c r="O1406" s="195"/>
      <c r="P1406" s="195"/>
      <c r="Q1406" s="195"/>
      <c r="R1406" s="195"/>
    </row>
    <row r="1407" spans="1:18" s="28" customFormat="1" ht="69.599999999999994" customHeight="1">
      <c r="A1407" s="398" t="s">
        <v>661</v>
      </c>
      <c r="B1407" s="84" t="s">
        <v>92</v>
      </c>
      <c r="C1407" s="84" t="s">
        <v>68</v>
      </c>
      <c r="D1407" s="84" t="s">
        <v>53</v>
      </c>
      <c r="E1407" s="15" t="s">
        <v>660</v>
      </c>
      <c r="F1407" s="39"/>
      <c r="G1407" s="70">
        <f t="shared" ref="G1407:I1408" si="346">G1408</f>
        <v>18481532.109999999</v>
      </c>
      <c r="H1407" s="87">
        <f t="shared" si="346"/>
        <v>18511916.43</v>
      </c>
      <c r="I1407" s="87">
        <f t="shared" si="346"/>
        <v>17848286.170000002</v>
      </c>
      <c r="J1407" s="173"/>
      <c r="K1407" s="199"/>
      <c r="L1407" s="199"/>
      <c r="M1407" s="199"/>
      <c r="N1407" s="199"/>
      <c r="O1407" s="199"/>
      <c r="P1407" s="199"/>
      <c r="Q1407" s="199"/>
      <c r="R1407" s="199"/>
    </row>
    <row r="1408" spans="1:18" s="28" customFormat="1" ht="26.4">
      <c r="A1408" s="82" t="s">
        <v>29</v>
      </c>
      <c r="B1408" s="84" t="s">
        <v>92</v>
      </c>
      <c r="C1408" s="84" t="s">
        <v>68</v>
      </c>
      <c r="D1408" s="84" t="s">
        <v>53</v>
      </c>
      <c r="E1408" s="15" t="s">
        <v>660</v>
      </c>
      <c r="F1408" s="15" t="s">
        <v>30</v>
      </c>
      <c r="G1408" s="70">
        <f t="shared" si="346"/>
        <v>18481532.109999999</v>
      </c>
      <c r="H1408" s="87">
        <f t="shared" si="346"/>
        <v>18511916.43</v>
      </c>
      <c r="I1408" s="87">
        <f t="shared" si="346"/>
        <v>17848286.170000002</v>
      </c>
      <c r="J1408" s="173"/>
      <c r="K1408" s="199"/>
      <c r="L1408" s="199"/>
      <c r="M1408" s="199"/>
      <c r="N1408" s="199"/>
      <c r="O1408" s="199"/>
      <c r="P1408" s="199"/>
      <c r="Q1408" s="199"/>
      <c r="R1408" s="199"/>
    </row>
    <row r="1409" spans="1:18">
      <c r="A1409" s="82" t="s">
        <v>31</v>
      </c>
      <c r="B1409" s="84" t="s">
        <v>92</v>
      </c>
      <c r="C1409" s="84" t="s">
        <v>68</v>
      </c>
      <c r="D1409" s="84" t="s">
        <v>53</v>
      </c>
      <c r="E1409" s="15" t="s">
        <v>660</v>
      </c>
      <c r="F1409" s="15" t="s">
        <v>32</v>
      </c>
      <c r="G1409" s="70">
        <f>18618469.05-136.94-136800</f>
        <v>18481532.109999999</v>
      </c>
      <c r="H1409" s="87">
        <v>18511916.43</v>
      </c>
      <c r="I1409" s="87">
        <v>17848286.170000002</v>
      </c>
      <c r="J1409" s="173"/>
    </row>
    <row r="1410" spans="1:18" s="28" customFormat="1" ht="27" customHeight="1">
      <c r="A1410" s="398" t="s">
        <v>893</v>
      </c>
      <c r="B1410" s="84" t="s">
        <v>92</v>
      </c>
      <c r="C1410" s="84" t="s">
        <v>68</v>
      </c>
      <c r="D1410" s="84" t="s">
        <v>53</v>
      </c>
      <c r="E1410" s="15" t="s">
        <v>892</v>
      </c>
      <c r="F1410" s="39"/>
      <c r="G1410" s="70">
        <f>G1411</f>
        <v>78467.490000000005</v>
      </c>
      <c r="H1410" s="87">
        <f t="shared" ref="G1410:I1411" si="347">H1411</f>
        <v>0</v>
      </c>
      <c r="I1410" s="87">
        <f t="shared" si="347"/>
        <v>0</v>
      </c>
      <c r="J1410" s="173"/>
      <c r="K1410" s="199"/>
      <c r="L1410" s="199"/>
      <c r="M1410" s="199"/>
      <c r="N1410" s="199"/>
      <c r="O1410" s="199"/>
      <c r="P1410" s="199"/>
      <c r="Q1410" s="199"/>
      <c r="R1410" s="199"/>
    </row>
    <row r="1411" spans="1:18" s="28" customFormat="1" ht="27" customHeight="1">
      <c r="A1411" s="82" t="s">
        <v>29</v>
      </c>
      <c r="B1411" s="84" t="s">
        <v>92</v>
      </c>
      <c r="C1411" s="84" t="s">
        <v>68</v>
      </c>
      <c r="D1411" s="84" t="s">
        <v>53</v>
      </c>
      <c r="E1411" s="15" t="s">
        <v>892</v>
      </c>
      <c r="F1411" s="15" t="s">
        <v>30</v>
      </c>
      <c r="G1411" s="70">
        <f t="shared" si="347"/>
        <v>78467.490000000005</v>
      </c>
      <c r="H1411" s="87">
        <f t="shared" si="347"/>
        <v>0</v>
      </c>
      <c r="I1411" s="87">
        <f t="shared" si="347"/>
        <v>0</v>
      </c>
      <c r="J1411" s="173"/>
      <c r="K1411" s="199"/>
      <c r="L1411" s="199"/>
      <c r="M1411" s="199"/>
      <c r="N1411" s="199"/>
      <c r="O1411" s="199"/>
      <c r="P1411" s="199"/>
      <c r="Q1411" s="199"/>
      <c r="R1411" s="199"/>
    </row>
    <row r="1412" spans="1:18">
      <c r="A1412" s="82" t="s">
        <v>31</v>
      </c>
      <c r="B1412" s="84" t="s">
        <v>92</v>
      </c>
      <c r="C1412" s="84" t="s">
        <v>68</v>
      </c>
      <c r="D1412" s="84" t="s">
        <v>53</v>
      </c>
      <c r="E1412" s="15" t="s">
        <v>892</v>
      </c>
      <c r="F1412" s="15" t="s">
        <v>32</v>
      </c>
      <c r="G1412" s="70">
        <f>47123.19+31344.3</f>
        <v>78467.490000000005</v>
      </c>
      <c r="H1412" s="87"/>
      <c r="I1412" s="87"/>
      <c r="J1412" s="173"/>
    </row>
    <row r="1413" spans="1:18" s="122" customFormat="1">
      <c r="A1413" s="377" t="s">
        <v>73</v>
      </c>
      <c r="B1413" s="378"/>
      <c r="C1413" s="379"/>
      <c r="D1413" s="379"/>
      <c r="E1413" s="379"/>
      <c r="F1413" s="379"/>
      <c r="G1413" s="380">
        <f>G671+G1358+G658+G651+G666+G1374</f>
        <v>1256885702.45</v>
      </c>
      <c r="H1413" s="380">
        <f>H671+H1358+H658+H651+H666+H1374</f>
        <v>1160808064.2800002</v>
      </c>
      <c r="I1413" s="380">
        <f>I671+I1358+I658+I651+I666+I1374</f>
        <v>1170248488.1000001</v>
      </c>
      <c r="J1413" s="187"/>
      <c r="K1413" s="203"/>
      <c r="L1413" s="203"/>
      <c r="M1413" s="202"/>
      <c r="N1413" s="203">
        <v>1256885702.45</v>
      </c>
      <c r="O1413" s="203">
        <f>N1413-G1413</f>
        <v>0</v>
      </c>
      <c r="P1413" s="202"/>
      <c r="Q1413" s="202"/>
      <c r="R1413" s="202"/>
    </row>
    <row r="1414" spans="1:18" s="90" customFormat="1" ht="46.5" customHeight="1">
      <c r="A1414" s="390" t="s">
        <v>1212</v>
      </c>
      <c r="B1414" s="391">
        <v>792</v>
      </c>
      <c r="C1414" s="391"/>
      <c r="D1414" s="391"/>
      <c r="E1414" s="391"/>
      <c r="F1414" s="391"/>
      <c r="G1414" s="393"/>
      <c r="H1414" s="393"/>
      <c r="I1414" s="393"/>
      <c r="J1414" s="192"/>
      <c r="K1414" s="204"/>
      <c r="L1414" s="204"/>
      <c r="M1414" s="181"/>
      <c r="N1414" s="181"/>
      <c r="O1414" s="181"/>
      <c r="P1414" s="181"/>
      <c r="Q1414" s="181"/>
      <c r="R1414" s="181"/>
    </row>
    <row r="1415" spans="1:18">
      <c r="A1415" s="266" t="s">
        <v>17</v>
      </c>
      <c r="B1415" s="264">
        <v>792</v>
      </c>
      <c r="C1415" s="261" t="s">
        <v>18</v>
      </c>
      <c r="D1415" s="261"/>
      <c r="E1415" s="261"/>
      <c r="F1415" s="261"/>
      <c r="G1415" s="258">
        <f>G1416+G1423+G1436</f>
        <v>16334354.959999999</v>
      </c>
      <c r="H1415" s="258">
        <f>H1416+H1423+H1436</f>
        <v>15412113</v>
      </c>
      <c r="I1415" s="258">
        <f>I1416+I1423+I1436</f>
        <v>15550647</v>
      </c>
      <c r="J1415" s="186"/>
    </row>
    <row r="1416" spans="1:18" ht="52.8" hidden="1">
      <c r="A1416" s="82" t="s">
        <v>74</v>
      </c>
      <c r="B1416" s="145">
        <v>792</v>
      </c>
      <c r="C1416" s="84" t="s">
        <v>18</v>
      </c>
      <c r="D1416" s="84" t="s">
        <v>53</v>
      </c>
      <c r="E1416" s="84"/>
      <c r="F1416" s="84"/>
      <c r="G1416" s="87">
        <f>G1417</f>
        <v>0</v>
      </c>
      <c r="H1416" s="87">
        <f t="shared" ref="H1416:I1417" si="348">H1417</f>
        <v>0</v>
      </c>
      <c r="I1416" s="87">
        <f t="shared" si="348"/>
        <v>0</v>
      </c>
      <c r="J1416" s="173"/>
      <c r="K1416" s="204"/>
    </row>
    <row r="1417" spans="1:18" s="28" customFormat="1" ht="39.75" hidden="1" customHeight="1">
      <c r="A1417" s="82" t="s">
        <v>427</v>
      </c>
      <c r="B1417" s="145">
        <v>792</v>
      </c>
      <c r="C1417" s="84" t="s">
        <v>18</v>
      </c>
      <c r="D1417" s="84" t="s">
        <v>53</v>
      </c>
      <c r="E1417" s="84" t="s">
        <v>224</v>
      </c>
      <c r="F1417" s="164"/>
      <c r="G1417" s="87">
        <f>G1418</f>
        <v>0</v>
      </c>
      <c r="H1417" s="87">
        <f t="shared" si="348"/>
        <v>0</v>
      </c>
      <c r="I1417" s="87">
        <f t="shared" si="348"/>
        <v>0</v>
      </c>
      <c r="J1417" s="173"/>
      <c r="K1417" s="205"/>
      <c r="L1417" s="199"/>
      <c r="M1417" s="199"/>
      <c r="N1417" s="199"/>
      <c r="O1417" s="199"/>
      <c r="P1417" s="199"/>
      <c r="Q1417" s="199"/>
      <c r="R1417" s="199"/>
    </row>
    <row r="1418" spans="1:18" s="28" customFormat="1" ht="39.6" hidden="1">
      <c r="A1418" s="82" t="s">
        <v>151</v>
      </c>
      <c r="B1418" s="145">
        <v>792</v>
      </c>
      <c r="C1418" s="84" t="s">
        <v>18</v>
      </c>
      <c r="D1418" s="84" t="s">
        <v>53</v>
      </c>
      <c r="E1418" s="84" t="s">
        <v>651</v>
      </c>
      <c r="F1418" s="164"/>
      <c r="G1418" s="87">
        <f>G1420</f>
        <v>0</v>
      </c>
      <c r="H1418" s="87">
        <f t="shared" ref="H1418:I1418" si="349">H1420</f>
        <v>0</v>
      </c>
      <c r="I1418" s="87">
        <f t="shared" si="349"/>
        <v>0</v>
      </c>
      <c r="J1418" s="173"/>
      <c r="K1418" s="205"/>
      <c r="L1418" s="205"/>
      <c r="M1418" s="199"/>
      <c r="N1418" s="199"/>
      <c r="O1418" s="199"/>
      <c r="P1418" s="199"/>
      <c r="Q1418" s="199"/>
      <c r="R1418" s="199"/>
    </row>
    <row r="1419" spans="1:18" hidden="1">
      <c r="A1419" s="82"/>
      <c r="B1419" s="145"/>
      <c r="C1419" s="84"/>
      <c r="D1419" s="84"/>
      <c r="E1419" s="84"/>
      <c r="F1419" s="84"/>
      <c r="G1419" s="87"/>
      <c r="H1419" s="87"/>
      <c r="I1419" s="87"/>
      <c r="J1419" s="173"/>
    </row>
    <row r="1420" spans="1:18" s="3" customFormat="1" ht="73.5" hidden="1" customHeight="1">
      <c r="A1420" s="82" t="s">
        <v>652</v>
      </c>
      <c r="B1420" s="145">
        <v>792</v>
      </c>
      <c r="C1420" s="84" t="s">
        <v>18</v>
      </c>
      <c r="D1420" s="84" t="s">
        <v>53</v>
      </c>
      <c r="E1420" s="84" t="s">
        <v>651</v>
      </c>
      <c r="F1420" s="84"/>
      <c r="G1420" s="87">
        <f>G1422</f>
        <v>0</v>
      </c>
      <c r="H1420" s="87">
        <f t="shared" ref="H1420:I1420" si="350">H1422</f>
        <v>0</v>
      </c>
      <c r="I1420" s="87">
        <f t="shared" si="350"/>
        <v>0</v>
      </c>
      <c r="J1420" s="173"/>
      <c r="K1420" s="194"/>
      <c r="L1420" s="194"/>
      <c r="M1420" s="194"/>
      <c r="N1420" s="194"/>
      <c r="O1420" s="194"/>
      <c r="P1420" s="194"/>
      <c r="Q1420" s="194"/>
      <c r="R1420" s="194"/>
    </row>
    <row r="1421" spans="1:18" s="3" customFormat="1" hidden="1">
      <c r="A1421" s="82" t="s">
        <v>152</v>
      </c>
      <c r="B1421" s="145">
        <v>792</v>
      </c>
      <c r="C1421" s="84" t="s">
        <v>18</v>
      </c>
      <c r="D1421" s="84" t="s">
        <v>53</v>
      </c>
      <c r="E1421" s="84" t="s">
        <v>651</v>
      </c>
      <c r="F1421" s="84" t="s">
        <v>153</v>
      </c>
      <c r="G1421" s="87">
        <f t="shared" ref="G1421:I1421" si="351">G1422</f>
        <v>0</v>
      </c>
      <c r="H1421" s="87">
        <f t="shared" si="351"/>
        <v>0</v>
      </c>
      <c r="I1421" s="87">
        <f t="shared" si="351"/>
        <v>0</v>
      </c>
      <c r="J1421" s="173"/>
      <c r="K1421" s="213"/>
      <c r="L1421" s="194"/>
      <c r="M1421" s="194"/>
      <c r="N1421" s="194"/>
      <c r="O1421" s="194"/>
      <c r="P1421" s="194"/>
      <c r="Q1421" s="194"/>
      <c r="R1421" s="194"/>
    </row>
    <row r="1422" spans="1:18" hidden="1">
      <c r="A1422" s="82" t="s">
        <v>154</v>
      </c>
      <c r="B1422" s="145">
        <v>792</v>
      </c>
      <c r="C1422" s="84" t="s">
        <v>18</v>
      </c>
      <c r="D1422" s="84" t="s">
        <v>53</v>
      </c>
      <c r="E1422" s="84" t="s">
        <v>651</v>
      </c>
      <c r="F1422" s="84" t="s">
        <v>155</v>
      </c>
      <c r="G1422" s="87"/>
      <c r="H1422" s="87"/>
      <c r="I1422" s="87"/>
      <c r="J1422" s="173"/>
    </row>
    <row r="1423" spans="1:18" ht="39.6">
      <c r="A1423" s="82" t="s">
        <v>156</v>
      </c>
      <c r="B1423" s="145">
        <v>792</v>
      </c>
      <c r="C1423" s="84" t="s">
        <v>18</v>
      </c>
      <c r="D1423" s="84" t="s">
        <v>157</v>
      </c>
      <c r="E1423" s="84"/>
      <c r="F1423" s="84"/>
      <c r="G1423" s="87">
        <f t="shared" ref="G1423:I1425" si="352">G1424</f>
        <v>15398254.34</v>
      </c>
      <c r="H1423" s="87">
        <f t="shared" si="352"/>
        <v>15412113</v>
      </c>
      <c r="I1423" s="87">
        <f t="shared" si="352"/>
        <v>15550647</v>
      </c>
      <c r="J1423" s="173"/>
      <c r="K1423" s="204"/>
    </row>
    <row r="1424" spans="1:18" s="33" customFormat="1" ht="45.75" customHeight="1">
      <c r="A1424" s="16" t="s">
        <v>1142</v>
      </c>
      <c r="B1424" s="145">
        <v>792</v>
      </c>
      <c r="C1424" s="84" t="s">
        <v>18</v>
      </c>
      <c r="D1424" s="84" t="s">
        <v>157</v>
      </c>
      <c r="E1424" s="84" t="s">
        <v>224</v>
      </c>
      <c r="F1424" s="164"/>
      <c r="G1424" s="87">
        <f t="shared" si="352"/>
        <v>15398254.34</v>
      </c>
      <c r="H1424" s="87">
        <f t="shared" si="352"/>
        <v>15412113</v>
      </c>
      <c r="I1424" s="87">
        <f t="shared" si="352"/>
        <v>15550647</v>
      </c>
      <c r="J1424" s="173"/>
      <c r="K1424" s="214"/>
      <c r="L1424" s="206"/>
      <c r="M1424" s="206"/>
      <c r="N1424" s="206"/>
      <c r="O1424" s="206"/>
      <c r="P1424" s="206"/>
      <c r="Q1424" s="206"/>
      <c r="R1424" s="206"/>
    </row>
    <row r="1425" spans="1:18" s="46" customFormat="1" ht="41.25" customHeight="1">
      <c r="A1425" s="82" t="s">
        <v>1161</v>
      </c>
      <c r="B1425" s="145">
        <v>792</v>
      </c>
      <c r="C1425" s="84" t="s">
        <v>18</v>
      </c>
      <c r="D1425" s="84" t="s">
        <v>157</v>
      </c>
      <c r="E1425" s="84" t="s">
        <v>226</v>
      </c>
      <c r="F1425" s="84"/>
      <c r="G1425" s="87">
        <f>G1426+G1433</f>
        <v>15398254.34</v>
      </c>
      <c r="H1425" s="87">
        <f t="shared" si="352"/>
        <v>15412113</v>
      </c>
      <c r="I1425" s="87">
        <f t="shared" si="352"/>
        <v>15550647</v>
      </c>
      <c r="J1425" s="173"/>
      <c r="K1425" s="215"/>
      <c r="L1425" s="215"/>
      <c r="M1425" s="215"/>
      <c r="N1425" s="215"/>
      <c r="O1425" s="215"/>
      <c r="P1425" s="215"/>
      <c r="Q1425" s="215"/>
      <c r="R1425" s="215"/>
    </row>
    <row r="1426" spans="1:18" s="46" customFormat="1" ht="27.75" customHeight="1">
      <c r="A1426" s="82" t="s">
        <v>75</v>
      </c>
      <c r="B1426" s="145">
        <v>792</v>
      </c>
      <c r="C1426" s="84" t="s">
        <v>18</v>
      </c>
      <c r="D1426" s="84" t="s">
        <v>157</v>
      </c>
      <c r="E1426" s="84" t="s">
        <v>227</v>
      </c>
      <c r="F1426" s="84"/>
      <c r="G1426" s="87">
        <f>G1427+G1429+G1431</f>
        <v>15235574</v>
      </c>
      <c r="H1426" s="87">
        <f t="shared" ref="H1426:I1426" si="353">H1427+H1429+H1431</f>
        <v>15412113</v>
      </c>
      <c r="I1426" s="87">
        <f t="shared" si="353"/>
        <v>15550647</v>
      </c>
      <c r="J1426" s="173"/>
      <c r="K1426" s="215"/>
      <c r="L1426" s="215"/>
      <c r="M1426" s="215"/>
      <c r="N1426" s="215"/>
      <c r="O1426" s="215"/>
      <c r="P1426" s="215"/>
      <c r="Q1426" s="215"/>
      <c r="R1426" s="215"/>
    </row>
    <row r="1427" spans="1:18" s="46" customFormat="1" ht="51" customHeight="1">
      <c r="A1427" s="82" t="s">
        <v>54</v>
      </c>
      <c r="B1427" s="145">
        <v>792</v>
      </c>
      <c r="C1427" s="84" t="s">
        <v>18</v>
      </c>
      <c r="D1427" s="84" t="s">
        <v>157</v>
      </c>
      <c r="E1427" s="84" t="s">
        <v>227</v>
      </c>
      <c r="F1427" s="84" t="s">
        <v>57</v>
      </c>
      <c r="G1427" s="87">
        <f>G1428</f>
        <v>13890860</v>
      </c>
      <c r="H1427" s="87">
        <f>H1428</f>
        <v>14015452</v>
      </c>
      <c r="I1427" s="87">
        <f>I1428</f>
        <v>14153986</v>
      </c>
      <c r="J1427" s="173"/>
      <c r="K1427" s="215"/>
      <c r="L1427" s="215"/>
      <c r="M1427" s="215"/>
      <c r="N1427" s="215"/>
      <c r="O1427" s="215"/>
      <c r="P1427" s="215"/>
      <c r="Q1427" s="215"/>
      <c r="R1427" s="215"/>
    </row>
    <row r="1428" spans="1:18" s="46" customFormat="1" ht="26.4">
      <c r="A1428" s="82" t="s">
        <v>55</v>
      </c>
      <c r="B1428" s="145">
        <v>792</v>
      </c>
      <c r="C1428" s="84" t="s">
        <v>18</v>
      </c>
      <c r="D1428" s="84" t="s">
        <v>157</v>
      </c>
      <c r="E1428" s="84" t="s">
        <v>227</v>
      </c>
      <c r="F1428" s="84" t="s">
        <v>58</v>
      </c>
      <c r="G1428" s="87">
        <v>13890860</v>
      </c>
      <c r="H1428" s="87">
        <v>14015452</v>
      </c>
      <c r="I1428" s="87">
        <v>14153986</v>
      </c>
      <c r="J1428" s="173"/>
      <c r="K1428" s="215"/>
      <c r="L1428" s="215"/>
      <c r="M1428" s="215"/>
      <c r="N1428" s="215"/>
      <c r="O1428" s="215"/>
      <c r="P1428" s="215"/>
      <c r="Q1428" s="215"/>
      <c r="R1428" s="215"/>
    </row>
    <row r="1429" spans="1:18" s="46" customFormat="1" ht="26.4">
      <c r="A1429" s="82" t="s">
        <v>35</v>
      </c>
      <c r="B1429" s="145">
        <v>792</v>
      </c>
      <c r="C1429" s="84" t="s">
        <v>18</v>
      </c>
      <c r="D1429" s="84" t="s">
        <v>157</v>
      </c>
      <c r="E1429" s="84" t="s">
        <v>227</v>
      </c>
      <c r="F1429" s="84" t="s">
        <v>36</v>
      </c>
      <c r="G1429" s="87">
        <f>G1430</f>
        <v>1314713</v>
      </c>
      <c r="H1429" s="87">
        <f>H1430</f>
        <v>1369661</v>
      </c>
      <c r="I1429" s="87">
        <f>I1430</f>
        <v>1369661</v>
      </c>
      <c r="J1429" s="173"/>
      <c r="K1429" s="215"/>
      <c r="L1429" s="215"/>
      <c r="M1429" s="215"/>
      <c r="N1429" s="215"/>
      <c r="O1429" s="215"/>
      <c r="P1429" s="215"/>
      <c r="Q1429" s="215"/>
      <c r="R1429" s="215"/>
    </row>
    <row r="1430" spans="1:18" s="46" customFormat="1" ht="26.4">
      <c r="A1430" s="82" t="s">
        <v>37</v>
      </c>
      <c r="B1430" s="145">
        <v>792</v>
      </c>
      <c r="C1430" s="84" t="s">
        <v>18</v>
      </c>
      <c r="D1430" s="84" t="s">
        <v>157</v>
      </c>
      <c r="E1430" s="84" t="s">
        <v>227</v>
      </c>
      <c r="F1430" s="84" t="s">
        <v>38</v>
      </c>
      <c r="G1430" s="87">
        <f>1324363-9650</f>
        <v>1314713</v>
      </c>
      <c r="H1430" s="87">
        <v>1369661</v>
      </c>
      <c r="I1430" s="87">
        <v>1369661</v>
      </c>
      <c r="J1430" s="173"/>
      <c r="K1430" s="215"/>
      <c r="L1430" s="215"/>
      <c r="M1430" s="215"/>
      <c r="N1430" s="215"/>
      <c r="O1430" s="215"/>
      <c r="P1430" s="215"/>
      <c r="Q1430" s="215"/>
      <c r="R1430" s="215"/>
    </row>
    <row r="1431" spans="1:18" s="46" customFormat="1">
      <c r="A1431" s="133" t="s">
        <v>62</v>
      </c>
      <c r="B1431" s="145">
        <v>792</v>
      </c>
      <c r="C1431" s="84" t="s">
        <v>18</v>
      </c>
      <c r="D1431" s="84" t="s">
        <v>157</v>
      </c>
      <c r="E1431" s="84" t="s">
        <v>227</v>
      </c>
      <c r="F1431" s="84" t="s">
        <v>63</v>
      </c>
      <c r="G1431" s="87">
        <f>G1432</f>
        <v>30001</v>
      </c>
      <c r="H1431" s="87">
        <f>H1432</f>
        <v>27000</v>
      </c>
      <c r="I1431" s="87">
        <f>I1432</f>
        <v>27000</v>
      </c>
      <c r="J1431" s="173"/>
      <c r="K1431" s="215"/>
      <c r="L1431" s="215"/>
      <c r="M1431" s="215"/>
      <c r="N1431" s="215"/>
      <c r="O1431" s="215"/>
      <c r="P1431" s="215"/>
      <c r="Q1431" s="215"/>
      <c r="R1431" s="215"/>
    </row>
    <row r="1432" spans="1:18" s="46" customFormat="1">
      <c r="A1432" s="133" t="s">
        <v>140</v>
      </c>
      <c r="B1432" s="145">
        <v>792</v>
      </c>
      <c r="C1432" s="84" t="s">
        <v>18</v>
      </c>
      <c r="D1432" s="84" t="s">
        <v>157</v>
      </c>
      <c r="E1432" s="84" t="s">
        <v>227</v>
      </c>
      <c r="F1432" s="84" t="s">
        <v>66</v>
      </c>
      <c r="G1432" s="87">
        <v>30001</v>
      </c>
      <c r="H1432" s="87">
        <v>27000</v>
      </c>
      <c r="I1432" s="87">
        <v>27000</v>
      </c>
      <c r="J1432" s="173"/>
      <c r="K1432" s="215"/>
      <c r="L1432" s="215"/>
      <c r="M1432" s="215"/>
      <c r="N1432" s="215"/>
      <c r="O1432" s="215"/>
      <c r="P1432" s="215"/>
      <c r="Q1432" s="215"/>
      <c r="R1432" s="215"/>
    </row>
    <row r="1433" spans="1:18" ht="84.75" customHeight="1">
      <c r="A1433" s="82" t="s">
        <v>1435</v>
      </c>
      <c r="B1433" s="145">
        <v>792</v>
      </c>
      <c r="C1433" s="84" t="s">
        <v>18</v>
      </c>
      <c r="D1433" s="84" t="s">
        <v>157</v>
      </c>
      <c r="E1433" s="84" t="s">
        <v>1527</v>
      </c>
      <c r="F1433" s="84"/>
      <c r="G1433" s="87">
        <f>G1434</f>
        <v>162680.34</v>
      </c>
      <c r="H1433" s="87">
        <f t="shared" ref="H1433:I1433" si="354">H1434</f>
        <v>0</v>
      </c>
      <c r="I1433" s="87">
        <f t="shared" si="354"/>
        <v>0</v>
      </c>
      <c r="J1433" s="173"/>
    </row>
    <row r="1434" spans="1:18" ht="29.25" customHeight="1">
      <c r="A1434" s="82" t="s">
        <v>54</v>
      </c>
      <c r="B1434" s="145">
        <v>792</v>
      </c>
      <c r="C1434" s="84" t="s">
        <v>18</v>
      </c>
      <c r="D1434" s="84" t="s">
        <v>157</v>
      </c>
      <c r="E1434" s="84" t="s">
        <v>1527</v>
      </c>
      <c r="F1434" s="84" t="s">
        <v>57</v>
      </c>
      <c r="G1434" s="87">
        <f>G1435</f>
        <v>162680.34</v>
      </c>
      <c r="H1434" s="87">
        <f>H1435</f>
        <v>0</v>
      </c>
      <c r="I1434" s="87">
        <f>I1435</f>
        <v>0</v>
      </c>
      <c r="J1434" s="173"/>
    </row>
    <row r="1435" spans="1:18" ht="36.75" customHeight="1">
      <c r="A1435" s="82" t="s">
        <v>55</v>
      </c>
      <c r="B1435" s="145">
        <v>792</v>
      </c>
      <c r="C1435" s="84" t="s">
        <v>18</v>
      </c>
      <c r="D1435" s="84" t="s">
        <v>157</v>
      </c>
      <c r="E1435" s="84" t="s">
        <v>1527</v>
      </c>
      <c r="F1435" s="84" t="s">
        <v>58</v>
      </c>
      <c r="G1435" s="70">
        <v>162680.34</v>
      </c>
      <c r="H1435" s="87">
        <v>0</v>
      </c>
      <c r="I1435" s="87">
        <v>0</v>
      </c>
      <c r="J1435" s="173"/>
    </row>
    <row r="1436" spans="1:18">
      <c r="A1436" s="134" t="s">
        <v>21</v>
      </c>
      <c r="B1436" s="145">
        <v>792</v>
      </c>
      <c r="C1436" s="84" t="s">
        <v>18</v>
      </c>
      <c r="D1436" s="84" t="s">
        <v>22</v>
      </c>
      <c r="E1436" s="84"/>
      <c r="F1436" s="84"/>
      <c r="G1436" s="87">
        <f>G1437</f>
        <v>936100.61999999988</v>
      </c>
      <c r="H1436" s="87">
        <f t="shared" ref="H1436:I1436" si="355">H1437</f>
        <v>0</v>
      </c>
      <c r="I1436" s="87">
        <f t="shared" si="355"/>
        <v>0</v>
      </c>
      <c r="J1436" s="173"/>
    </row>
    <row r="1437" spans="1:18" s="33" customFormat="1" ht="31.5" customHeight="1">
      <c r="A1437" s="82" t="s">
        <v>95</v>
      </c>
      <c r="B1437" s="145">
        <v>792</v>
      </c>
      <c r="C1437" s="84" t="s">
        <v>18</v>
      </c>
      <c r="D1437" s="84" t="s">
        <v>22</v>
      </c>
      <c r="E1437" s="145" t="s">
        <v>204</v>
      </c>
      <c r="F1437" s="84"/>
      <c r="G1437" s="87">
        <f>G1441+G1438</f>
        <v>936100.61999999988</v>
      </c>
      <c r="H1437" s="87">
        <f t="shared" ref="H1437:I1437" si="356">H1441</f>
        <v>0</v>
      </c>
      <c r="I1437" s="87">
        <f t="shared" si="356"/>
        <v>0</v>
      </c>
      <c r="J1437" s="173"/>
      <c r="K1437" s="206"/>
      <c r="L1437" s="206"/>
      <c r="M1437" s="206"/>
      <c r="N1437" s="206"/>
      <c r="O1437" s="206"/>
      <c r="P1437" s="206"/>
      <c r="Q1437" s="206"/>
      <c r="R1437" s="206"/>
    </row>
    <row r="1438" spans="1:18" ht="84.75" hidden="1" customHeight="1">
      <c r="A1438" s="82" t="s">
        <v>1435</v>
      </c>
      <c r="B1438" s="145">
        <v>792</v>
      </c>
      <c r="C1438" s="84" t="s">
        <v>18</v>
      </c>
      <c r="D1438" s="84" t="s">
        <v>22</v>
      </c>
      <c r="E1438" s="84" t="s">
        <v>1434</v>
      </c>
      <c r="F1438" s="84"/>
      <c r="G1438" s="87">
        <f>G1439</f>
        <v>0</v>
      </c>
      <c r="H1438" s="87">
        <f t="shared" ref="H1438:I1438" si="357">H1439</f>
        <v>0</v>
      </c>
      <c r="I1438" s="87">
        <f t="shared" si="357"/>
        <v>0</v>
      </c>
      <c r="J1438" s="173"/>
    </row>
    <row r="1439" spans="1:18" ht="18.75" hidden="1" customHeight="1">
      <c r="A1439" s="82" t="s">
        <v>62</v>
      </c>
      <c r="B1439" s="145">
        <v>792</v>
      </c>
      <c r="C1439" s="84" t="s">
        <v>18</v>
      </c>
      <c r="D1439" s="84" t="s">
        <v>22</v>
      </c>
      <c r="E1439" s="84" t="s">
        <v>1434</v>
      </c>
      <c r="F1439" s="84" t="s">
        <v>63</v>
      </c>
      <c r="G1439" s="87">
        <f>G1440</f>
        <v>0</v>
      </c>
      <c r="H1439" s="87">
        <f>H1440</f>
        <v>0</v>
      </c>
      <c r="I1439" s="87">
        <f>I1440</f>
        <v>0</v>
      </c>
      <c r="J1439" s="173"/>
    </row>
    <row r="1440" spans="1:18" ht="18.75" hidden="1" customHeight="1">
      <c r="A1440" s="82" t="s">
        <v>174</v>
      </c>
      <c r="B1440" s="145">
        <v>792</v>
      </c>
      <c r="C1440" s="84" t="s">
        <v>18</v>
      </c>
      <c r="D1440" s="84" t="s">
        <v>22</v>
      </c>
      <c r="E1440" s="84" t="s">
        <v>1434</v>
      </c>
      <c r="F1440" s="84" t="s">
        <v>175</v>
      </c>
      <c r="G1440" s="70">
        <f>1553171.98-130323.01+5555-160476-189384+331833.43-140219.39-1270158.01</f>
        <v>0</v>
      </c>
      <c r="H1440" s="87">
        <f>2000000-2000000</f>
        <v>0</v>
      </c>
      <c r="I1440" s="87">
        <f>4000000-4000000</f>
        <v>0</v>
      </c>
      <c r="J1440" s="173"/>
    </row>
    <row r="1441" spans="1:18" ht="18.75" customHeight="1">
      <c r="A1441" s="82" t="s">
        <v>326</v>
      </c>
      <c r="B1441" s="145">
        <v>792</v>
      </c>
      <c r="C1441" s="84" t="s">
        <v>18</v>
      </c>
      <c r="D1441" s="84" t="s">
        <v>22</v>
      </c>
      <c r="E1441" s="84" t="s">
        <v>205</v>
      </c>
      <c r="F1441" s="84"/>
      <c r="G1441" s="87">
        <f>G1442</f>
        <v>936100.61999999988</v>
      </c>
      <c r="H1441" s="87">
        <f t="shared" ref="H1441:I1441" si="358">H1442</f>
        <v>0</v>
      </c>
      <c r="I1441" s="87">
        <f t="shared" si="358"/>
        <v>0</v>
      </c>
      <c r="J1441" s="173"/>
    </row>
    <row r="1442" spans="1:18" ht="18.75" customHeight="1">
      <c r="A1442" s="82" t="s">
        <v>62</v>
      </c>
      <c r="B1442" s="145">
        <v>792</v>
      </c>
      <c r="C1442" s="84" t="s">
        <v>18</v>
      </c>
      <c r="D1442" s="84" t="s">
        <v>22</v>
      </c>
      <c r="E1442" s="84" t="s">
        <v>205</v>
      </c>
      <c r="F1442" s="84" t="s">
        <v>63</v>
      </c>
      <c r="G1442" s="87">
        <f>G1443</f>
        <v>936100.61999999988</v>
      </c>
      <c r="H1442" s="87">
        <f>H1443</f>
        <v>0</v>
      </c>
      <c r="I1442" s="87">
        <f>I1443</f>
        <v>0</v>
      </c>
      <c r="J1442" s="173"/>
    </row>
    <row r="1443" spans="1:18" ht="18.75" customHeight="1">
      <c r="A1443" s="82" t="s">
        <v>321</v>
      </c>
      <c r="B1443" s="145">
        <v>792</v>
      </c>
      <c r="C1443" s="84" t="s">
        <v>18</v>
      </c>
      <c r="D1443" s="84" t="s">
        <v>22</v>
      </c>
      <c r="E1443" s="84" t="s">
        <v>205</v>
      </c>
      <c r="F1443" s="84" t="s">
        <v>320</v>
      </c>
      <c r="G1443" s="70">
        <f>1084268.38-148167.76</f>
        <v>936100.61999999988</v>
      </c>
      <c r="H1443" s="87">
        <f>2000000-2000000</f>
        <v>0</v>
      </c>
      <c r="I1443" s="87">
        <f>4000000-4000000</f>
        <v>0</v>
      </c>
      <c r="J1443" s="173"/>
    </row>
    <row r="1444" spans="1:18" hidden="1">
      <c r="A1444" s="135" t="s">
        <v>159</v>
      </c>
      <c r="B1444" s="264">
        <v>792</v>
      </c>
      <c r="C1444" s="158" t="s">
        <v>27</v>
      </c>
      <c r="D1444" s="158"/>
      <c r="E1444" s="158"/>
      <c r="F1444" s="158"/>
      <c r="G1444" s="96">
        <f t="shared" ref="G1444:I1445" si="359">G1445</f>
        <v>0</v>
      </c>
      <c r="H1444" s="96">
        <f t="shared" si="359"/>
        <v>0</v>
      </c>
      <c r="I1444" s="96">
        <f t="shared" si="359"/>
        <v>0</v>
      </c>
      <c r="J1444" s="187"/>
    </row>
    <row r="1445" spans="1:18" hidden="1">
      <c r="A1445" s="134" t="s">
        <v>160</v>
      </c>
      <c r="B1445" s="145">
        <v>792</v>
      </c>
      <c r="C1445" s="84" t="s">
        <v>27</v>
      </c>
      <c r="D1445" s="84" t="s">
        <v>69</v>
      </c>
      <c r="E1445" s="84"/>
      <c r="F1445" s="84"/>
      <c r="G1445" s="87">
        <f t="shared" si="359"/>
        <v>0</v>
      </c>
      <c r="H1445" s="87">
        <f t="shared" si="359"/>
        <v>0</v>
      </c>
      <c r="I1445" s="87">
        <f t="shared" si="359"/>
        <v>0</v>
      </c>
      <c r="J1445" s="173"/>
    </row>
    <row r="1446" spans="1:18" s="28" customFormat="1" ht="39.6" hidden="1">
      <c r="A1446" s="82" t="s">
        <v>427</v>
      </c>
      <c r="B1446" s="145">
        <v>792</v>
      </c>
      <c r="C1446" s="84" t="s">
        <v>27</v>
      </c>
      <c r="D1446" s="84" t="s">
        <v>69</v>
      </c>
      <c r="E1446" s="84" t="s">
        <v>224</v>
      </c>
      <c r="F1446" s="164"/>
      <c r="G1446" s="87">
        <f>G1448</f>
        <v>0</v>
      </c>
      <c r="H1446" s="87">
        <f>H1448</f>
        <v>0</v>
      </c>
      <c r="I1446" s="87">
        <f>I1448</f>
        <v>0</v>
      </c>
      <c r="J1446" s="173"/>
      <c r="K1446" s="199"/>
      <c r="L1446" s="199"/>
      <c r="M1446" s="199"/>
      <c r="N1446" s="199"/>
      <c r="O1446" s="199"/>
      <c r="P1446" s="199"/>
      <c r="Q1446" s="199"/>
      <c r="R1446" s="199"/>
    </row>
    <row r="1447" spans="1:18" s="46" customFormat="1" ht="41.25" hidden="1" customHeight="1">
      <c r="A1447" s="82" t="s">
        <v>151</v>
      </c>
      <c r="B1447" s="145">
        <v>792</v>
      </c>
      <c r="C1447" s="84" t="s">
        <v>27</v>
      </c>
      <c r="D1447" s="84" t="s">
        <v>69</v>
      </c>
      <c r="E1447" s="84" t="s">
        <v>225</v>
      </c>
      <c r="F1447" s="84"/>
      <c r="G1447" s="87">
        <f t="shared" ref="G1447" si="360">G1448</f>
        <v>0</v>
      </c>
      <c r="H1447" s="87">
        <f t="shared" ref="H1447" si="361">H1448</f>
        <v>0</v>
      </c>
      <c r="I1447" s="87">
        <f t="shared" ref="I1447" si="362">I1448</f>
        <v>0</v>
      </c>
      <c r="J1447" s="173"/>
      <c r="K1447" s="215"/>
      <c r="L1447" s="215"/>
      <c r="M1447" s="215"/>
      <c r="N1447" s="215"/>
      <c r="O1447" s="215"/>
      <c r="P1447" s="215"/>
      <c r="Q1447" s="215"/>
      <c r="R1447" s="215"/>
    </row>
    <row r="1448" spans="1:18" s="28" customFormat="1" ht="26.4" hidden="1">
      <c r="A1448" s="82" t="s">
        <v>161</v>
      </c>
      <c r="B1448" s="145">
        <v>792</v>
      </c>
      <c r="C1448" s="84" t="s">
        <v>27</v>
      </c>
      <c r="D1448" s="84" t="s">
        <v>69</v>
      </c>
      <c r="E1448" s="84" t="s">
        <v>372</v>
      </c>
      <c r="F1448" s="164"/>
      <c r="G1448" s="87">
        <f t="shared" ref="G1448:I1449" si="363">G1449</f>
        <v>0</v>
      </c>
      <c r="H1448" s="87">
        <f t="shared" si="363"/>
        <v>0</v>
      </c>
      <c r="I1448" s="87">
        <f t="shared" si="363"/>
        <v>0</v>
      </c>
      <c r="J1448" s="173"/>
      <c r="K1448" s="199"/>
      <c r="L1448" s="199"/>
      <c r="M1448" s="199"/>
      <c r="N1448" s="199"/>
      <c r="O1448" s="199"/>
      <c r="P1448" s="199"/>
      <c r="Q1448" s="199"/>
      <c r="R1448" s="199"/>
    </row>
    <row r="1449" spans="1:18" ht="22.5" hidden="1" customHeight="1">
      <c r="A1449" s="82" t="s">
        <v>152</v>
      </c>
      <c r="B1449" s="145">
        <v>792</v>
      </c>
      <c r="C1449" s="84" t="s">
        <v>27</v>
      </c>
      <c r="D1449" s="84" t="s">
        <v>69</v>
      </c>
      <c r="E1449" s="84" t="s">
        <v>372</v>
      </c>
      <c r="F1449" s="84" t="s">
        <v>153</v>
      </c>
      <c r="G1449" s="87">
        <f t="shared" si="363"/>
        <v>0</v>
      </c>
      <c r="H1449" s="87">
        <f t="shared" si="363"/>
        <v>0</v>
      </c>
      <c r="I1449" s="87">
        <f t="shared" si="363"/>
        <v>0</v>
      </c>
      <c r="J1449" s="173"/>
    </row>
    <row r="1450" spans="1:18" hidden="1">
      <c r="A1450" s="82" t="s">
        <v>154</v>
      </c>
      <c r="B1450" s="145">
        <v>792</v>
      </c>
      <c r="C1450" s="84" t="s">
        <v>27</v>
      </c>
      <c r="D1450" s="84" t="s">
        <v>69</v>
      </c>
      <c r="E1450" s="84" t="s">
        <v>372</v>
      </c>
      <c r="F1450" s="84" t="s">
        <v>155</v>
      </c>
      <c r="G1450" s="87"/>
      <c r="H1450" s="87"/>
      <c r="I1450" s="87"/>
      <c r="J1450" s="173"/>
    </row>
    <row r="1451" spans="1:18" hidden="1">
      <c r="A1451" s="132" t="s">
        <v>169</v>
      </c>
      <c r="B1451" s="145">
        <v>792</v>
      </c>
      <c r="C1451" s="84" t="s">
        <v>167</v>
      </c>
      <c r="D1451" s="84" t="s">
        <v>27</v>
      </c>
      <c r="E1451" s="84"/>
      <c r="F1451" s="84"/>
      <c r="G1451" s="87">
        <f>G1453</f>
        <v>0</v>
      </c>
      <c r="H1451" s="87">
        <f t="shared" ref="H1451:I1451" si="364">H1453</f>
        <v>0</v>
      </c>
      <c r="I1451" s="87">
        <f t="shared" si="364"/>
        <v>0</v>
      </c>
      <c r="J1451" s="173"/>
    </row>
    <row r="1452" spans="1:18" ht="68.25" hidden="1" customHeight="1">
      <c r="A1452" s="132" t="s">
        <v>767</v>
      </c>
      <c r="B1452" s="145">
        <v>792</v>
      </c>
      <c r="C1452" s="84" t="s">
        <v>167</v>
      </c>
      <c r="D1452" s="84" t="s">
        <v>27</v>
      </c>
      <c r="E1452" s="84" t="s">
        <v>664</v>
      </c>
      <c r="F1452" s="84"/>
      <c r="G1452" s="87">
        <f>G1453</f>
        <v>0</v>
      </c>
      <c r="H1452" s="87">
        <f t="shared" ref="H1452:I1452" si="365">H1453</f>
        <v>0</v>
      </c>
      <c r="I1452" s="87">
        <f t="shared" si="365"/>
        <v>0</v>
      </c>
      <c r="J1452" s="173"/>
      <c r="K1452" s="173"/>
      <c r="L1452" s="173"/>
      <c r="M1452" s="173"/>
      <c r="N1452" s="173"/>
      <c r="O1452" s="173"/>
    </row>
    <row r="1453" spans="1:18" hidden="1">
      <c r="A1453" s="82" t="s">
        <v>665</v>
      </c>
      <c r="B1453" s="145">
        <v>792</v>
      </c>
      <c r="C1453" s="84" t="s">
        <v>167</v>
      </c>
      <c r="D1453" s="84" t="s">
        <v>27</v>
      </c>
      <c r="E1453" s="84" t="s">
        <v>664</v>
      </c>
      <c r="F1453" s="84"/>
      <c r="G1453" s="87">
        <f t="shared" ref="G1453:I1454" si="366">G1454</f>
        <v>0</v>
      </c>
      <c r="H1453" s="87">
        <f t="shared" si="366"/>
        <v>0</v>
      </c>
      <c r="I1453" s="87">
        <f t="shared" si="366"/>
        <v>0</v>
      </c>
      <c r="J1453" s="173"/>
    </row>
    <row r="1454" spans="1:18" ht="26.4" hidden="1">
      <c r="A1454" s="82" t="s">
        <v>35</v>
      </c>
      <c r="B1454" s="145">
        <v>792</v>
      </c>
      <c r="C1454" s="84" t="s">
        <v>167</v>
      </c>
      <c r="D1454" s="84" t="s">
        <v>27</v>
      </c>
      <c r="E1454" s="84" t="s">
        <v>664</v>
      </c>
      <c r="F1454" s="84" t="s">
        <v>36</v>
      </c>
      <c r="G1454" s="87">
        <f t="shared" si="366"/>
        <v>0</v>
      </c>
      <c r="H1454" s="87">
        <f t="shared" si="366"/>
        <v>0</v>
      </c>
      <c r="I1454" s="87">
        <f t="shared" si="366"/>
        <v>0</v>
      </c>
      <c r="J1454" s="173"/>
    </row>
    <row r="1455" spans="1:18" ht="26.4" hidden="1">
      <c r="A1455" s="82" t="s">
        <v>37</v>
      </c>
      <c r="B1455" s="145">
        <v>792</v>
      </c>
      <c r="C1455" s="84" t="s">
        <v>167</v>
      </c>
      <c r="D1455" s="84" t="s">
        <v>27</v>
      </c>
      <c r="E1455" s="84" t="s">
        <v>664</v>
      </c>
      <c r="F1455" s="84" t="s">
        <v>38</v>
      </c>
      <c r="G1455" s="87"/>
      <c r="H1455" s="87"/>
      <c r="I1455" s="87"/>
      <c r="J1455" s="173"/>
    </row>
    <row r="1456" spans="1:18">
      <c r="A1456" s="259" t="s">
        <v>141</v>
      </c>
      <c r="B1456" s="158" t="s">
        <v>750</v>
      </c>
      <c r="C1456" s="261" t="s">
        <v>68</v>
      </c>
      <c r="D1456" s="261"/>
      <c r="E1456" s="261"/>
      <c r="F1456" s="261"/>
      <c r="G1456" s="258">
        <f>G1457</f>
        <v>191926.84</v>
      </c>
      <c r="H1456" s="258">
        <f t="shared" ref="H1456:I1456" si="367">H1457</f>
        <v>152550.84</v>
      </c>
      <c r="I1456" s="258">
        <f t="shared" si="367"/>
        <v>152550.84</v>
      </c>
      <c r="J1456" s="186"/>
    </row>
    <row r="1457" spans="1:18">
      <c r="A1457" s="82" t="s">
        <v>142</v>
      </c>
      <c r="B1457" s="145">
        <v>792</v>
      </c>
      <c r="C1457" s="84" t="s">
        <v>68</v>
      </c>
      <c r="D1457" s="84" t="s">
        <v>18</v>
      </c>
      <c r="E1457" s="84"/>
      <c r="F1457" s="84"/>
      <c r="G1457" s="87">
        <f>G1458</f>
        <v>191926.84</v>
      </c>
      <c r="H1457" s="87">
        <f>H1458</f>
        <v>152550.84</v>
      </c>
      <c r="I1457" s="87">
        <f>I1458</f>
        <v>152550.84</v>
      </c>
      <c r="J1457" s="173"/>
    </row>
    <row r="1458" spans="1:18" s="43" customFormat="1" ht="37.5" customHeight="1">
      <c r="A1458" s="16" t="s">
        <v>1145</v>
      </c>
      <c r="B1458" s="145">
        <v>792</v>
      </c>
      <c r="C1458" s="84" t="s">
        <v>68</v>
      </c>
      <c r="D1458" s="84" t="s">
        <v>18</v>
      </c>
      <c r="E1458" s="84" t="s">
        <v>280</v>
      </c>
      <c r="F1458" s="164"/>
      <c r="G1458" s="87">
        <f t="shared" ref="G1458:I1460" si="368">G1459</f>
        <v>191926.84</v>
      </c>
      <c r="H1458" s="87">
        <f t="shared" si="368"/>
        <v>152550.84</v>
      </c>
      <c r="I1458" s="87">
        <f t="shared" si="368"/>
        <v>152550.84</v>
      </c>
      <c r="J1458" s="173"/>
      <c r="K1458" s="211"/>
      <c r="L1458" s="211"/>
      <c r="M1458" s="211"/>
      <c r="N1458" s="211"/>
      <c r="O1458" s="211"/>
      <c r="P1458" s="211"/>
      <c r="Q1458" s="211"/>
      <c r="R1458" s="211"/>
    </row>
    <row r="1459" spans="1:18" s="43" customFormat="1" ht="52.8">
      <c r="A1459" s="82" t="s">
        <v>1386</v>
      </c>
      <c r="B1459" s="145">
        <v>792</v>
      </c>
      <c r="C1459" s="84" t="s">
        <v>68</v>
      </c>
      <c r="D1459" s="84" t="s">
        <v>18</v>
      </c>
      <c r="E1459" s="84" t="s">
        <v>284</v>
      </c>
      <c r="F1459" s="164"/>
      <c r="G1459" s="87">
        <f t="shared" si="368"/>
        <v>191926.84</v>
      </c>
      <c r="H1459" s="87">
        <f t="shared" si="368"/>
        <v>152550.84</v>
      </c>
      <c r="I1459" s="87">
        <f t="shared" si="368"/>
        <v>152550.84</v>
      </c>
      <c r="J1459" s="173"/>
      <c r="K1459" s="211"/>
      <c r="L1459" s="211"/>
      <c r="M1459" s="211"/>
      <c r="N1459" s="211"/>
      <c r="O1459" s="211"/>
      <c r="P1459" s="211"/>
      <c r="Q1459" s="211"/>
      <c r="R1459" s="211"/>
    </row>
    <row r="1460" spans="1:18" s="43" customFormat="1">
      <c r="A1460" s="82" t="s">
        <v>144</v>
      </c>
      <c r="B1460" s="145">
        <v>792</v>
      </c>
      <c r="C1460" s="84" t="s">
        <v>68</v>
      </c>
      <c r="D1460" s="84" t="s">
        <v>18</v>
      </c>
      <c r="E1460" s="84" t="s">
        <v>284</v>
      </c>
      <c r="F1460" s="84" t="s">
        <v>145</v>
      </c>
      <c r="G1460" s="87">
        <f t="shared" si="368"/>
        <v>191926.84</v>
      </c>
      <c r="H1460" s="87">
        <f t="shared" si="368"/>
        <v>152550.84</v>
      </c>
      <c r="I1460" s="87">
        <f t="shared" si="368"/>
        <v>152550.84</v>
      </c>
      <c r="J1460" s="173"/>
      <c r="K1460" s="211"/>
      <c r="L1460" s="211"/>
      <c r="M1460" s="211"/>
      <c r="N1460" s="211"/>
      <c r="O1460" s="211"/>
      <c r="P1460" s="211"/>
      <c r="Q1460" s="211"/>
      <c r="R1460" s="211"/>
    </row>
    <row r="1461" spans="1:18" s="44" customFormat="1" ht="26.4">
      <c r="A1461" s="82" t="s">
        <v>344</v>
      </c>
      <c r="B1461" s="145">
        <v>792</v>
      </c>
      <c r="C1461" s="84" t="s">
        <v>68</v>
      </c>
      <c r="D1461" s="84" t="s">
        <v>18</v>
      </c>
      <c r="E1461" s="84" t="s">
        <v>284</v>
      </c>
      <c r="F1461" s="84" t="s">
        <v>345</v>
      </c>
      <c r="G1461" s="87">
        <f>152550.84+16026+13700+9650</f>
        <v>191926.84</v>
      </c>
      <c r="H1461" s="87">
        <v>152550.84</v>
      </c>
      <c r="I1461" s="87">
        <v>152550.84</v>
      </c>
      <c r="J1461" s="173"/>
      <c r="K1461" s="212"/>
      <c r="L1461" s="212"/>
      <c r="M1461" s="212"/>
      <c r="N1461" s="212"/>
      <c r="O1461" s="212"/>
      <c r="P1461" s="212"/>
      <c r="Q1461" s="212"/>
      <c r="R1461" s="212"/>
    </row>
    <row r="1462" spans="1:18" ht="26.4">
      <c r="A1462" s="131" t="s">
        <v>294</v>
      </c>
      <c r="B1462" s="264">
        <v>792</v>
      </c>
      <c r="C1462" s="261" t="s">
        <v>22</v>
      </c>
      <c r="D1462" s="261"/>
      <c r="E1462" s="261"/>
      <c r="F1462" s="261"/>
      <c r="G1462" s="258">
        <f t="shared" ref="G1462:G1467" si="369">G1463</f>
        <v>86000</v>
      </c>
      <c r="H1462" s="258">
        <f t="shared" ref="H1462:I1467" si="370">H1463</f>
        <v>86000</v>
      </c>
      <c r="I1462" s="258">
        <f t="shared" si="370"/>
        <v>86000</v>
      </c>
      <c r="J1462" s="186"/>
    </row>
    <row r="1463" spans="1:18" ht="28.5" customHeight="1">
      <c r="A1463" s="132" t="s">
        <v>295</v>
      </c>
      <c r="B1463" s="145">
        <v>792</v>
      </c>
      <c r="C1463" s="84" t="s">
        <v>22</v>
      </c>
      <c r="D1463" s="84" t="s">
        <v>18</v>
      </c>
      <c r="E1463" s="152"/>
      <c r="F1463" s="152"/>
      <c r="G1463" s="87">
        <f t="shared" si="369"/>
        <v>86000</v>
      </c>
      <c r="H1463" s="87">
        <f t="shared" si="370"/>
        <v>86000</v>
      </c>
      <c r="I1463" s="87">
        <f t="shared" si="370"/>
        <v>86000</v>
      </c>
      <c r="J1463" s="173"/>
    </row>
    <row r="1464" spans="1:18" s="28" customFormat="1" ht="49.5" customHeight="1">
      <c r="A1464" s="16" t="s">
        <v>1142</v>
      </c>
      <c r="B1464" s="145">
        <v>792</v>
      </c>
      <c r="C1464" s="84" t="s">
        <v>22</v>
      </c>
      <c r="D1464" s="84" t="s">
        <v>18</v>
      </c>
      <c r="E1464" s="84" t="s">
        <v>224</v>
      </c>
      <c r="F1464" s="164"/>
      <c r="G1464" s="87">
        <f t="shared" si="369"/>
        <v>86000</v>
      </c>
      <c r="H1464" s="87">
        <f t="shared" si="370"/>
        <v>86000</v>
      </c>
      <c r="I1464" s="87">
        <f t="shared" si="370"/>
        <v>86000</v>
      </c>
      <c r="J1464" s="173"/>
      <c r="K1464" s="199"/>
      <c r="L1464" s="199"/>
      <c r="M1464" s="199"/>
      <c r="N1464" s="199"/>
      <c r="O1464" s="199"/>
      <c r="P1464" s="199"/>
      <c r="Q1464" s="199"/>
      <c r="R1464" s="199"/>
    </row>
    <row r="1465" spans="1:18" s="28" customFormat="1" ht="45" customHeight="1">
      <c r="A1465" s="82" t="s">
        <v>1160</v>
      </c>
      <c r="B1465" s="145">
        <v>792</v>
      </c>
      <c r="C1465" s="84" t="s">
        <v>22</v>
      </c>
      <c r="D1465" s="84" t="s">
        <v>18</v>
      </c>
      <c r="E1465" s="84" t="s">
        <v>230</v>
      </c>
      <c r="F1465" s="164"/>
      <c r="G1465" s="87">
        <f t="shared" si="369"/>
        <v>86000</v>
      </c>
      <c r="H1465" s="87">
        <f t="shared" si="370"/>
        <v>86000</v>
      </c>
      <c r="I1465" s="87">
        <f t="shared" si="370"/>
        <v>86000</v>
      </c>
      <c r="J1465" s="173"/>
      <c r="K1465" s="199"/>
      <c r="L1465" s="199"/>
      <c r="M1465" s="199"/>
      <c r="N1465" s="199"/>
      <c r="O1465" s="199"/>
      <c r="P1465" s="199"/>
      <c r="Q1465" s="199"/>
      <c r="R1465" s="199"/>
    </row>
    <row r="1466" spans="1:18">
      <c r="A1466" s="82" t="s">
        <v>297</v>
      </c>
      <c r="B1466" s="145">
        <v>792</v>
      </c>
      <c r="C1466" s="84" t="s">
        <v>22</v>
      </c>
      <c r="D1466" s="84" t="s">
        <v>18</v>
      </c>
      <c r="E1466" s="84" t="s">
        <v>231</v>
      </c>
      <c r="F1466" s="84"/>
      <c r="G1466" s="87">
        <f t="shared" si="369"/>
        <v>86000</v>
      </c>
      <c r="H1466" s="87">
        <f t="shared" si="370"/>
        <v>86000</v>
      </c>
      <c r="I1466" s="87">
        <f t="shared" si="370"/>
        <v>86000</v>
      </c>
      <c r="J1466" s="173"/>
    </row>
    <row r="1467" spans="1:18" ht="26.4">
      <c r="A1467" s="82" t="s">
        <v>298</v>
      </c>
      <c r="B1467" s="145">
        <v>792</v>
      </c>
      <c r="C1467" s="84" t="s">
        <v>22</v>
      </c>
      <c r="D1467" s="84" t="s">
        <v>18</v>
      </c>
      <c r="E1467" s="84" t="s">
        <v>231</v>
      </c>
      <c r="F1467" s="84" t="s">
        <v>299</v>
      </c>
      <c r="G1467" s="87">
        <f t="shared" si="369"/>
        <v>86000</v>
      </c>
      <c r="H1467" s="87">
        <f t="shared" si="370"/>
        <v>86000</v>
      </c>
      <c r="I1467" s="87">
        <f t="shared" si="370"/>
        <v>86000</v>
      </c>
      <c r="J1467" s="173"/>
    </row>
    <row r="1468" spans="1:18">
      <c r="A1468" s="82" t="s">
        <v>300</v>
      </c>
      <c r="B1468" s="145">
        <v>792</v>
      </c>
      <c r="C1468" s="84" t="s">
        <v>22</v>
      </c>
      <c r="D1468" s="84" t="s">
        <v>18</v>
      </c>
      <c r="E1468" s="84" t="s">
        <v>231</v>
      </c>
      <c r="F1468" s="84" t="s">
        <v>301</v>
      </c>
      <c r="G1468" s="87">
        <v>86000</v>
      </c>
      <c r="H1468" s="87">
        <v>86000</v>
      </c>
      <c r="I1468" s="87">
        <v>86000</v>
      </c>
      <c r="J1468" s="173"/>
    </row>
    <row r="1469" spans="1:18" s="46" customFormat="1" ht="39.6" hidden="1">
      <c r="A1469" s="129" t="s">
        <v>302</v>
      </c>
      <c r="B1469" s="83">
        <v>792</v>
      </c>
      <c r="C1469" s="149" t="s">
        <v>303</v>
      </c>
      <c r="D1469" s="149"/>
      <c r="E1469" s="149"/>
      <c r="F1469" s="149"/>
      <c r="G1469" s="94">
        <f>G1471+G1479</f>
        <v>0</v>
      </c>
      <c r="H1469" s="94">
        <f t="shared" ref="H1469:I1469" si="371">H1471+H1479</f>
        <v>0</v>
      </c>
      <c r="I1469" s="94">
        <f t="shared" si="371"/>
        <v>0</v>
      </c>
      <c r="J1469" s="189"/>
      <c r="K1469" s="215"/>
      <c r="L1469" s="215"/>
      <c r="M1469" s="215"/>
      <c r="N1469" s="215"/>
      <c r="O1469" s="215"/>
      <c r="P1469" s="215"/>
      <c r="Q1469" s="215"/>
      <c r="R1469" s="215"/>
    </row>
    <row r="1470" spans="1:18" s="28" customFormat="1" ht="35.25" hidden="1" customHeight="1">
      <c r="A1470" s="132" t="s">
        <v>304</v>
      </c>
      <c r="B1470" s="145">
        <v>792</v>
      </c>
      <c r="C1470" s="84" t="s">
        <v>303</v>
      </c>
      <c r="D1470" s="84" t="s">
        <v>18</v>
      </c>
      <c r="E1470" s="164"/>
      <c r="F1470" s="164"/>
      <c r="G1470" s="87">
        <f>G1471</f>
        <v>0</v>
      </c>
      <c r="H1470" s="87">
        <f>H1471</f>
        <v>0</v>
      </c>
      <c r="I1470" s="87">
        <f>I1471</f>
        <v>0</v>
      </c>
      <c r="J1470" s="173"/>
      <c r="K1470" s="199"/>
      <c r="L1470" s="199"/>
      <c r="M1470" s="199"/>
      <c r="N1470" s="199"/>
      <c r="O1470" s="199"/>
      <c r="P1470" s="199"/>
      <c r="Q1470" s="199"/>
      <c r="R1470" s="199"/>
    </row>
    <row r="1471" spans="1:18" s="18" customFormat="1" ht="39.6" hidden="1">
      <c r="A1471" s="82" t="s">
        <v>427</v>
      </c>
      <c r="B1471" s="145">
        <v>792</v>
      </c>
      <c r="C1471" s="84" t="s">
        <v>303</v>
      </c>
      <c r="D1471" s="84" t="s">
        <v>18</v>
      </c>
      <c r="E1471" s="84" t="s">
        <v>224</v>
      </c>
      <c r="F1471" s="84"/>
      <c r="G1471" s="87">
        <f>G1472</f>
        <v>0</v>
      </c>
      <c r="H1471" s="87">
        <f t="shared" ref="H1471:I1471" si="372">H1472</f>
        <v>0</v>
      </c>
      <c r="I1471" s="87">
        <f t="shared" si="372"/>
        <v>0</v>
      </c>
      <c r="J1471" s="173"/>
      <c r="K1471" s="195"/>
      <c r="L1471" s="195"/>
      <c r="M1471" s="195"/>
      <c r="N1471" s="195"/>
      <c r="O1471" s="195"/>
      <c r="P1471" s="195"/>
      <c r="Q1471" s="195"/>
      <c r="R1471" s="195"/>
    </row>
    <row r="1472" spans="1:18" s="18" customFormat="1" ht="39.6" hidden="1">
      <c r="A1472" s="82" t="s">
        <v>151</v>
      </c>
      <c r="B1472" s="145">
        <v>792</v>
      </c>
      <c r="C1472" s="84" t="s">
        <v>303</v>
      </c>
      <c r="D1472" s="84" t="s">
        <v>18</v>
      </c>
      <c r="E1472" s="84" t="s">
        <v>225</v>
      </c>
      <c r="F1472" s="84"/>
      <c r="G1472" s="87">
        <f>G1473+G1476</f>
        <v>0</v>
      </c>
      <c r="H1472" s="87">
        <f>H1473+H1476</f>
        <v>0</v>
      </c>
      <c r="I1472" s="87">
        <f>I1473+I1476</f>
        <v>0</v>
      </c>
      <c r="J1472" s="173"/>
      <c r="K1472" s="195"/>
      <c r="L1472" s="195"/>
      <c r="M1472" s="195"/>
      <c r="N1472" s="195"/>
      <c r="O1472" s="195"/>
      <c r="P1472" s="195"/>
      <c r="Q1472" s="195"/>
      <c r="R1472" s="195"/>
    </row>
    <row r="1473" spans="1:18" s="18" customFormat="1" ht="26.4" hidden="1">
      <c r="A1473" s="82" t="s">
        <v>305</v>
      </c>
      <c r="B1473" s="145">
        <v>792</v>
      </c>
      <c r="C1473" s="84" t="s">
        <v>303</v>
      </c>
      <c r="D1473" s="84" t="s">
        <v>18</v>
      </c>
      <c r="E1473" s="84" t="s">
        <v>277</v>
      </c>
      <c r="F1473" s="84"/>
      <c r="G1473" s="87">
        <f t="shared" ref="G1473:I1474" si="373">G1474</f>
        <v>0</v>
      </c>
      <c r="H1473" s="87">
        <f t="shared" si="373"/>
        <v>0</v>
      </c>
      <c r="I1473" s="87">
        <f t="shared" si="373"/>
        <v>0</v>
      </c>
      <c r="J1473" s="173"/>
      <c r="K1473" s="195"/>
      <c r="L1473" s="195"/>
      <c r="M1473" s="195"/>
      <c r="N1473" s="195"/>
      <c r="O1473" s="195"/>
      <c r="P1473" s="195"/>
      <c r="Q1473" s="195"/>
      <c r="R1473" s="195"/>
    </row>
    <row r="1474" spans="1:18" s="18" customFormat="1" hidden="1">
      <c r="A1474" s="82" t="s">
        <v>152</v>
      </c>
      <c r="B1474" s="145">
        <v>792</v>
      </c>
      <c r="C1474" s="84" t="s">
        <v>303</v>
      </c>
      <c r="D1474" s="84" t="s">
        <v>18</v>
      </c>
      <c r="E1474" s="84" t="s">
        <v>277</v>
      </c>
      <c r="F1474" s="84" t="s">
        <v>153</v>
      </c>
      <c r="G1474" s="87">
        <f t="shared" si="373"/>
        <v>0</v>
      </c>
      <c r="H1474" s="87">
        <f t="shared" si="373"/>
        <v>0</v>
      </c>
      <c r="I1474" s="87">
        <f t="shared" si="373"/>
        <v>0</v>
      </c>
      <c r="J1474" s="173"/>
      <c r="K1474" s="195"/>
      <c r="L1474" s="195"/>
      <c r="M1474" s="195"/>
      <c r="N1474" s="195"/>
      <c r="O1474" s="195"/>
      <c r="P1474" s="195"/>
      <c r="Q1474" s="195"/>
      <c r="R1474" s="195"/>
    </row>
    <row r="1475" spans="1:18" s="18" customFormat="1" hidden="1">
      <c r="A1475" s="82" t="s">
        <v>306</v>
      </c>
      <c r="B1475" s="145">
        <v>792</v>
      </c>
      <c r="C1475" s="84" t="s">
        <v>303</v>
      </c>
      <c r="D1475" s="84" t="s">
        <v>18</v>
      </c>
      <c r="E1475" s="84" t="s">
        <v>277</v>
      </c>
      <c r="F1475" s="84" t="s">
        <v>307</v>
      </c>
      <c r="G1475" s="87"/>
      <c r="H1475" s="87"/>
      <c r="I1475" s="87"/>
      <c r="J1475" s="173"/>
      <c r="K1475" s="195"/>
      <c r="L1475" s="195"/>
      <c r="M1475" s="195"/>
      <c r="N1475" s="195"/>
      <c r="O1475" s="195"/>
      <c r="P1475" s="195"/>
      <c r="Q1475" s="195"/>
      <c r="R1475" s="195"/>
    </row>
    <row r="1476" spans="1:18" s="28" customFormat="1" ht="23.25" hidden="1" customHeight="1">
      <c r="A1476" s="82" t="s">
        <v>308</v>
      </c>
      <c r="B1476" s="145">
        <v>792</v>
      </c>
      <c r="C1476" s="84" t="s">
        <v>303</v>
      </c>
      <c r="D1476" s="84" t="s">
        <v>18</v>
      </c>
      <c r="E1476" s="84" t="s">
        <v>232</v>
      </c>
      <c r="F1476" s="84"/>
      <c r="G1476" s="87">
        <f t="shared" ref="G1476:I1477" si="374">G1477</f>
        <v>0</v>
      </c>
      <c r="H1476" s="87">
        <f t="shared" si="374"/>
        <v>0</v>
      </c>
      <c r="I1476" s="87">
        <f t="shared" si="374"/>
        <v>0</v>
      </c>
      <c r="J1476" s="173"/>
      <c r="K1476" s="199"/>
      <c r="L1476" s="199"/>
      <c r="M1476" s="199"/>
      <c r="N1476" s="199"/>
      <c r="O1476" s="199"/>
      <c r="P1476" s="199"/>
      <c r="Q1476" s="199"/>
      <c r="R1476" s="199"/>
    </row>
    <row r="1477" spans="1:18" s="28" customFormat="1" hidden="1">
      <c r="A1477" s="82" t="s">
        <v>152</v>
      </c>
      <c r="B1477" s="145">
        <v>792</v>
      </c>
      <c r="C1477" s="84" t="s">
        <v>303</v>
      </c>
      <c r="D1477" s="84" t="s">
        <v>18</v>
      </c>
      <c r="E1477" s="84" t="s">
        <v>232</v>
      </c>
      <c r="F1477" s="84" t="s">
        <v>153</v>
      </c>
      <c r="G1477" s="87">
        <f t="shared" si="374"/>
        <v>0</v>
      </c>
      <c r="H1477" s="87">
        <f t="shared" si="374"/>
        <v>0</v>
      </c>
      <c r="I1477" s="87">
        <f t="shared" si="374"/>
        <v>0</v>
      </c>
      <c r="J1477" s="173"/>
      <c r="K1477" s="199"/>
      <c r="L1477" s="199"/>
      <c r="M1477" s="199"/>
      <c r="N1477" s="199"/>
      <c r="O1477" s="199"/>
      <c r="P1477" s="199"/>
      <c r="Q1477" s="199"/>
      <c r="R1477" s="199"/>
    </row>
    <row r="1478" spans="1:18" s="3" customFormat="1" hidden="1">
      <c r="A1478" s="82" t="s">
        <v>306</v>
      </c>
      <c r="B1478" s="145">
        <v>792</v>
      </c>
      <c r="C1478" s="84" t="s">
        <v>303</v>
      </c>
      <c r="D1478" s="84" t="s">
        <v>18</v>
      </c>
      <c r="E1478" s="84" t="s">
        <v>232</v>
      </c>
      <c r="F1478" s="84" t="s">
        <v>307</v>
      </c>
      <c r="G1478" s="87"/>
      <c r="H1478" s="87"/>
      <c r="I1478" s="87"/>
      <c r="J1478" s="173"/>
      <c r="K1478" s="194"/>
      <c r="L1478" s="194"/>
      <c r="M1478" s="194"/>
      <c r="N1478" s="194"/>
      <c r="O1478" s="194"/>
      <c r="P1478" s="194"/>
      <c r="Q1478" s="194"/>
      <c r="R1478" s="194"/>
    </row>
    <row r="1479" spans="1:18" ht="18.75" hidden="1" customHeight="1">
      <c r="A1479" s="132" t="s">
        <v>309</v>
      </c>
      <c r="B1479" s="145">
        <v>792</v>
      </c>
      <c r="C1479" s="84" t="s">
        <v>303</v>
      </c>
      <c r="D1479" s="84" t="s">
        <v>69</v>
      </c>
      <c r="E1479" s="84"/>
      <c r="F1479" s="84"/>
      <c r="G1479" s="87">
        <f>G1480</f>
        <v>0</v>
      </c>
      <c r="H1479" s="87">
        <f>H1480</f>
        <v>0</v>
      </c>
      <c r="I1479" s="87">
        <f>I1480</f>
        <v>0</v>
      </c>
      <c r="J1479" s="173"/>
    </row>
    <row r="1480" spans="1:18" s="28" customFormat="1" ht="27.75" hidden="1" customHeight="1">
      <c r="A1480" s="82" t="s">
        <v>427</v>
      </c>
      <c r="B1480" s="145">
        <v>792</v>
      </c>
      <c r="C1480" s="84" t="s">
        <v>303</v>
      </c>
      <c r="D1480" s="84" t="s">
        <v>69</v>
      </c>
      <c r="E1480" s="84" t="s">
        <v>224</v>
      </c>
      <c r="F1480" s="84"/>
      <c r="G1480" s="87">
        <f>G1481</f>
        <v>0</v>
      </c>
      <c r="H1480" s="87">
        <f t="shared" ref="H1480:I1481" si="375">H1481</f>
        <v>0</v>
      </c>
      <c r="I1480" s="87">
        <f t="shared" si="375"/>
        <v>0</v>
      </c>
      <c r="J1480" s="173"/>
      <c r="K1480" s="199"/>
      <c r="L1480" s="199"/>
      <c r="M1480" s="199"/>
      <c r="N1480" s="199"/>
      <c r="O1480" s="199"/>
      <c r="P1480" s="199"/>
      <c r="Q1480" s="199"/>
      <c r="R1480" s="199"/>
    </row>
    <row r="1481" spans="1:18" s="3" customFormat="1" ht="39.6" hidden="1">
      <c r="A1481" s="82" t="s">
        <v>151</v>
      </c>
      <c r="B1481" s="145">
        <v>792</v>
      </c>
      <c r="C1481" s="84" t="s">
        <v>303</v>
      </c>
      <c r="D1481" s="84" t="s">
        <v>69</v>
      </c>
      <c r="E1481" s="84" t="s">
        <v>225</v>
      </c>
      <c r="F1481" s="84"/>
      <c r="G1481" s="87">
        <f>G1482</f>
        <v>0</v>
      </c>
      <c r="H1481" s="87">
        <f t="shared" si="375"/>
        <v>0</v>
      </c>
      <c r="I1481" s="87">
        <f t="shared" si="375"/>
        <v>0</v>
      </c>
      <c r="J1481" s="173"/>
      <c r="K1481" s="194"/>
      <c r="L1481" s="194"/>
      <c r="M1481" s="194"/>
      <c r="N1481" s="194"/>
      <c r="O1481" s="194"/>
      <c r="P1481" s="194"/>
      <c r="Q1481" s="194"/>
      <c r="R1481" s="194"/>
    </row>
    <row r="1482" spans="1:18" s="3" customFormat="1" ht="26.4" hidden="1">
      <c r="A1482" s="82" t="s">
        <v>455</v>
      </c>
      <c r="B1482" s="145">
        <v>792</v>
      </c>
      <c r="C1482" s="84" t="s">
        <v>303</v>
      </c>
      <c r="D1482" s="84" t="s">
        <v>69</v>
      </c>
      <c r="E1482" s="84" t="s">
        <v>233</v>
      </c>
      <c r="F1482" s="84"/>
      <c r="G1482" s="87">
        <f t="shared" ref="G1482:I1483" si="376">G1483</f>
        <v>0</v>
      </c>
      <c r="H1482" s="87">
        <f t="shared" si="376"/>
        <v>0</v>
      </c>
      <c r="I1482" s="87">
        <f t="shared" si="376"/>
        <v>0</v>
      </c>
      <c r="J1482" s="173"/>
      <c r="K1482" s="194"/>
      <c r="L1482" s="194"/>
      <c r="M1482" s="194"/>
      <c r="N1482" s="194"/>
      <c r="O1482" s="194"/>
      <c r="P1482" s="194"/>
      <c r="Q1482" s="194"/>
      <c r="R1482" s="194"/>
    </row>
    <row r="1483" spans="1:18" s="3" customFormat="1" hidden="1">
      <c r="A1483" s="82" t="s">
        <v>152</v>
      </c>
      <c r="B1483" s="145">
        <v>792</v>
      </c>
      <c r="C1483" s="84" t="s">
        <v>303</v>
      </c>
      <c r="D1483" s="84" t="s">
        <v>69</v>
      </c>
      <c r="E1483" s="84" t="s">
        <v>233</v>
      </c>
      <c r="F1483" s="84" t="s">
        <v>153</v>
      </c>
      <c r="G1483" s="87">
        <f t="shared" si="376"/>
        <v>0</v>
      </c>
      <c r="H1483" s="87">
        <f t="shared" si="376"/>
        <v>0</v>
      </c>
      <c r="I1483" s="87">
        <f t="shared" si="376"/>
        <v>0</v>
      </c>
      <c r="J1483" s="173"/>
      <c r="K1483" s="194"/>
      <c r="L1483" s="194"/>
      <c r="M1483" s="194"/>
      <c r="N1483" s="194"/>
      <c r="O1483" s="194"/>
      <c r="P1483" s="194"/>
      <c r="Q1483" s="194"/>
      <c r="R1483" s="194"/>
    </row>
    <row r="1484" spans="1:18" s="3" customFormat="1" hidden="1">
      <c r="A1484" s="82" t="s">
        <v>172</v>
      </c>
      <c r="B1484" s="145">
        <v>792</v>
      </c>
      <c r="C1484" s="84" t="s">
        <v>303</v>
      </c>
      <c r="D1484" s="84" t="s">
        <v>69</v>
      </c>
      <c r="E1484" s="84" t="s">
        <v>233</v>
      </c>
      <c r="F1484" s="84" t="s">
        <v>173</v>
      </c>
      <c r="G1484" s="87"/>
      <c r="H1484" s="87"/>
      <c r="I1484" s="87"/>
      <c r="J1484" s="173"/>
      <c r="K1484" s="173"/>
      <c r="L1484" s="173"/>
      <c r="M1484" s="194"/>
      <c r="N1484" s="194"/>
      <c r="O1484" s="194"/>
      <c r="P1484" s="194"/>
      <c r="Q1484" s="194"/>
      <c r="R1484" s="194"/>
    </row>
    <row r="1485" spans="1:18" s="3" customFormat="1" ht="47.25" hidden="1" customHeight="1">
      <c r="A1485" s="82" t="s">
        <v>170</v>
      </c>
      <c r="B1485" s="145">
        <v>792</v>
      </c>
      <c r="C1485" s="84" t="s">
        <v>303</v>
      </c>
      <c r="D1485" s="84" t="s">
        <v>69</v>
      </c>
      <c r="E1485" s="84" t="s">
        <v>233</v>
      </c>
      <c r="F1485" s="84" t="s">
        <v>171</v>
      </c>
      <c r="G1485" s="87"/>
      <c r="H1485" s="87"/>
      <c r="I1485" s="87"/>
      <c r="J1485" s="173"/>
      <c r="K1485" s="194"/>
      <c r="L1485" s="194"/>
      <c r="M1485" s="194"/>
      <c r="N1485" s="194"/>
      <c r="O1485" s="194"/>
      <c r="P1485" s="194"/>
      <c r="Q1485" s="194"/>
      <c r="R1485" s="194"/>
    </row>
    <row r="1486" spans="1:18" s="18" customFormat="1" hidden="1">
      <c r="A1486" s="82"/>
      <c r="B1486" s="145"/>
      <c r="C1486" s="84"/>
      <c r="D1486" s="84"/>
      <c r="E1486" s="84"/>
      <c r="F1486" s="84"/>
      <c r="G1486" s="87"/>
      <c r="H1486" s="87"/>
      <c r="I1486" s="87"/>
      <c r="J1486" s="173"/>
      <c r="K1486" s="195"/>
      <c r="L1486" s="195"/>
      <c r="M1486" s="195"/>
      <c r="N1486" s="195"/>
      <c r="O1486" s="195"/>
      <c r="P1486" s="195"/>
      <c r="Q1486" s="195"/>
      <c r="R1486" s="195"/>
    </row>
    <row r="1487" spans="1:18" s="122" customFormat="1">
      <c r="A1487" s="396" t="s">
        <v>73</v>
      </c>
      <c r="B1487" s="378"/>
      <c r="C1487" s="379"/>
      <c r="D1487" s="379"/>
      <c r="E1487" s="379"/>
      <c r="F1487" s="379"/>
      <c r="G1487" s="380">
        <f>G1415+G1444+G1462+G1469+G1456+G1451</f>
        <v>16612281.799999999</v>
      </c>
      <c r="H1487" s="380">
        <f>H1415+H1444+H1462+H1469+H1456+H1451</f>
        <v>15650663.84</v>
      </c>
      <c r="I1487" s="380">
        <f>I1415+I1444+I1462+I1469+I1456+I1451</f>
        <v>15789197.84</v>
      </c>
      <c r="J1487" s="187"/>
      <c r="K1487" s="202"/>
      <c r="L1487" s="202"/>
      <c r="M1487" s="202"/>
      <c r="N1487" s="202"/>
      <c r="O1487" s="202"/>
      <c r="P1487" s="202"/>
      <c r="Q1487" s="202"/>
      <c r="R1487" s="202"/>
    </row>
    <row r="1488" spans="1:18" ht="51.75" customHeight="1">
      <c r="A1488" s="390" t="s">
        <v>1213</v>
      </c>
      <c r="B1488" s="391">
        <v>793</v>
      </c>
      <c r="C1488" s="391"/>
      <c r="D1488" s="391"/>
      <c r="E1488" s="391"/>
      <c r="F1488" s="391"/>
      <c r="G1488" s="393"/>
      <c r="H1488" s="393"/>
      <c r="I1488" s="393"/>
      <c r="J1488" s="310"/>
      <c r="K1488" s="69"/>
      <c r="L1488" s="69"/>
      <c r="M1488" s="69"/>
      <c r="N1488" s="69"/>
      <c r="O1488" s="69"/>
      <c r="P1488" s="69"/>
      <c r="Q1488" s="69"/>
      <c r="R1488" s="69"/>
    </row>
    <row r="1489" spans="1:20">
      <c r="A1489" s="5" t="s">
        <v>17</v>
      </c>
      <c r="B1489" s="19">
        <v>793</v>
      </c>
      <c r="C1489" s="7" t="s">
        <v>18</v>
      </c>
      <c r="D1489" s="7"/>
      <c r="E1489" s="7"/>
      <c r="F1489" s="7"/>
      <c r="G1489" s="38">
        <f>G1490+G1505+G1583+G1587+G1572+G1577</f>
        <v>145245660.05000001</v>
      </c>
      <c r="H1489" s="38">
        <f>H1490+H1505+H1583+H1587+H1572+H1577</f>
        <v>129996151.58999999</v>
      </c>
      <c r="I1489" s="38">
        <f>I1490+I1505+I1583+I1587+I1572+I1577</f>
        <v>129144825.92999999</v>
      </c>
      <c r="J1489" s="328">
        <f>G1498+G1509+G1514+G1516+G1518+G1520+G1527+G1531+G1535+G1537+G1542+G1544+G1547+G1549+G1552+G1576+G1586+G1606+G1611+G1626+G1637+G1656+G1659+G1665+G1679+G1681+G1686</f>
        <v>125809110.22000003</v>
      </c>
      <c r="K1489" s="69"/>
      <c r="L1489" s="69"/>
      <c r="M1489" s="69"/>
      <c r="N1489" s="69"/>
      <c r="O1489" s="69"/>
      <c r="P1489" s="241"/>
      <c r="Q1489" s="241"/>
      <c r="R1489" s="69"/>
    </row>
    <row r="1490" spans="1:20" ht="26.4">
      <c r="A1490" s="16" t="s">
        <v>310</v>
      </c>
      <c r="B1490" s="14">
        <v>793</v>
      </c>
      <c r="C1490" s="15" t="s">
        <v>18</v>
      </c>
      <c r="D1490" s="15" t="s">
        <v>27</v>
      </c>
      <c r="E1490" s="15"/>
      <c r="F1490" s="15"/>
      <c r="G1490" s="70">
        <f>G1491+G1499</f>
        <v>3428902.38</v>
      </c>
      <c r="H1490" s="70">
        <f t="shared" ref="G1490:I1497" si="377">H1491</f>
        <v>2569071.31</v>
      </c>
      <c r="I1490" s="70">
        <f t="shared" si="377"/>
        <v>2604396.04</v>
      </c>
      <c r="J1490" s="172"/>
      <c r="K1490" s="69"/>
      <c r="L1490" s="69"/>
      <c r="M1490" s="69"/>
      <c r="N1490" s="69"/>
      <c r="O1490" s="69"/>
      <c r="P1490" s="69"/>
      <c r="Q1490" s="69"/>
      <c r="R1490" s="69"/>
    </row>
    <row r="1491" spans="1:20" s="18" customFormat="1" ht="26.4">
      <c r="A1491" s="16" t="s">
        <v>1194</v>
      </c>
      <c r="B1491" s="14">
        <v>793</v>
      </c>
      <c r="C1491" s="15" t="s">
        <v>18</v>
      </c>
      <c r="D1491" s="15" t="s">
        <v>27</v>
      </c>
      <c r="E1491" s="15" t="s">
        <v>234</v>
      </c>
      <c r="F1491" s="15"/>
      <c r="G1491" s="70">
        <f t="shared" si="377"/>
        <v>2833610.54</v>
      </c>
      <c r="H1491" s="70">
        <f t="shared" si="377"/>
        <v>2569071.31</v>
      </c>
      <c r="I1491" s="70">
        <f t="shared" si="377"/>
        <v>2604396.04</v>
      </c>
      <c r="J1491" s="172"/>
      <c r="K1491" s="180"/>
      <c r="L1491" s="180"/>
      <c r="M1491" s="180"/>
      <c r="N1491" s="180"/>
      <c r="O1491" s="180"/>
      <c r="P1491" s="180"/>
      <c r="Q1491" s="180"/>
      <c r="R1491" s="180"/>
    </row>
    <row r="1492" spans="1:20">
      <c r="A1492" s="16" t="s">
        <v>1193</v>
      </c>
      <c r="B1492" s="14">
        <v>793</v>
      </c>
      <c r="C1492" s="15" t="s">
        <v>18</v>
      </c>
      <c r="D1492" s="15" t="s">
        <v>27</v>
      </c>
      <c r="E1492" s="15" t="s">
        <v>235</v>
      </c>
      <c r="F1492" s="15"/>
      <c r="G1492" s="70">
        <f>G1493+G1496</f>
        <v>2833610.54</v>
      </c>
      <c r="H1492" s="70">
        <f>H1496</f>
        <v>2569071.31</v>
      </c>
      <c r="I1492" s="70">
        <f>I1496</f>
        <v>2604396.04</v>
      </c>
      <c r="J1492" s="172"/>
      <c r="K1492" s="69"/>
      <c r="L1492" s="69"/>
      <c r="M1492" s="69"/>
      <c r="N1492" s="69"/>
      <c r="O1492" s="69"/>
      <c r="P1492" s="69"/>
      <c r="Q1492" s="69"/>
      <c r="R1492" s="69"/>
    </row>
    <row r="1493" spans="1:20" ht="79.5" customHeight="1">
      <c r="A1493" s="16" t="s">
        <v>1018</v>
      </c>
      <c r="B1493" s="14">
        <v>793</v>
      </c>
      <c r="C1493" s="15" t="s">
        <v>18</v>
      </c>
      <c r="D1493" s="15" t="s">
        <v>27</v>
      </c>
      <c r="E1493" s="15" t="s">
        <v>1017</v>
      </c>
      <c r="F1493" s="15"/>
      <c r="G1493" s="70">
        <f t="shared" si="377"/>
        <v>299384.84000000003</v>
      </c>
      <c r="H1493" s="70">
        <f t="shared" si="377"/>
        <v>0</v>
      </c>
      <c r="I1493" s="70">
        <f t="shared" si="377"/>
        <v>0</v>
      </c>
      <c r="J1493" s="172"/>
      <c r="K1493" s="69"/>
      <c r="L1493" s="69"/>
      <c r="M1493" s="69"/>
      <c r="N1493" s="69"/>
      <c r="O1493" s="69"/>
      <c r="P1493" s="69"/>
      <c r="Q1493" s="69"/>
      <c r="R1493" s="69"/>
    </row>
    <row r="1494" spans="1:20" ht="52.8">
      <c r="A1494" s="16" t="s">
        <v>312</v>
      </c>
      <c r="B1494" s="14">
        <v>793</v>
      </c>
      <c r="C1494" s="15" t="s">
        <v>18</v>
      </c>
      <c r="D1494" s="15" t="s">
        <v>27</v>
      </c>
      <c r="E1494" s="15" t="s">
        <v>1017</v>
      </c>
      <c r="F1494" s="15" t="s">
        <v>57</v>
      </c>
      <c r="G1494" s="70">
        <f t="shared" si="377"/>
        <v>299384.84000000003</v>
      </c>
      <c r="H1494" s="70">
        <f t="shared" si="377"/>
        <v>0</v>
      </c>
      <c r="I1494" s="70">
        <f t="shared" si="377"/>
        <v>0</v>
      </c>
      <c r="J1494" s="172"/>
      <c r="K1494" s="69"/>
      <c r="L1494" s="69"/>
      <c r="M1494" s="69"/>
      <c r="N1494" s="69"/>
      <c r="O1494" s="69"/>
      <c r="P1494" s="69"/>
      <c r="Q1494" s="69"/>
      <c r="R1494" s="69"/>
    </row>
    <row r="1495" spans="1:20" ht="26.4">
      <c r="A1495" s="16" t="s">
        <v>55</v>
      </c>
      <c r="B1495" s="14">
        <v>793</v>
      </c>
      <c r="C1495" s="15" t="s">
        <v>18</v>
      </c>
      <c r="D1495" s="15" t="s">
        <v>27</v>
      </c>
      <c r="E1495" s="15" t="s">
        <v>1017</v>
      </c>
      <c r="F1495" s="15" t="s">
        <v>58</v>
      </c>
      <c r="G1495" s="70">
        <v>299384.84000000003</v>
      </c>
      <c r="H1495" s="70"/>
      <c r="I1495" s="70"/>
      <c r="J1495" s="172"/>
      <c r="K1495" s="69"/>
      <c r="L1495" s="69"/>
      <c r="M1495" s="69"/>
      <c r="N1495" s="69"/>
      <c r="O1495" s="69"/>
      <c r="P1495" s="69"/>
      <c r="Q1495" s="69"/>
      <c r="R1495" s="69"/>
    </row>
    <row r="1496" spans="1:20" ht="26.4">
      <c r="A1496" s="16" t="s">
        <v>75</v>
      </c>
      <c r="B1496" s="14">
        <v>793</v>
      </c>
      <c r="C1496" s="15" t="s">
        <v>18</v>
      </c>
      <c r="D1496" s="15" t="s">
        <v>27</v>
      </c>
      <c r="E1496" s="15" t="s">
        <v>236</v>
      </c>
      <c r="F1496" s="15"/>
      <c r="G1496" s="70">
        <f t="shared" si="377"/>
        <v>2534225.7000000002</v>
      </c>
      <c r="H1496" s="70">
        <f t="shared" si="377"/>
        <v>2569071.31</v>
      </c>
      <c r="I1496" s="70">
        <f t="shared" si="377"/>
        <v>2604396.04</v>
      </c>
      <c r="J1496" s="172"/>
      <c r="K1496" s="69"/>
      <c r="L1496" s="69"/>
      <c r="M1496" s="69"/>
      <c r="N1496" s="69"/>
      <c r="O1496" s="69"/>
      <c r="P1496" s="69"/>
      <c r="Q1496" s="69"/>
      <c r="R1496" s="69"/>
    </row>
    <row r="1497" spans="1:20" ht="52.8">
      <c r="A1497" s="16" t="s">
        <v>312</v>
      </c>
      <c r="B1497" s="14">
        <v>793</v>
      </c>
      <c r="C1497" s="15" t="s">
        <v>18</v>
      </c>
      <c r="D1497" s="15" t="s">
        <v>27</v>
      </c>
      <c r="E1497" s="15" t="s">
        <v>236</v>
      </c>
      <c r="F1497" s="15" t="s">
        <v>57</v>
      </c>
      <c r="G1497" s="70">
        <f t="shared" si="377"/>
        <v>2534225.7000000002</v>
      </c>
      <c r="H1497" s="70">
        <f t="shared" si="377"/>
        <v>2569071.31</v>
      </c>
      <c r="I1497" s="70">
        <f t="shared" si="377"/>
        <v>2604396.04</v>
      </c>
      <c r="J1497" s="172"/>
      <c r="K1497" s="69"/>
      <c r="L1497" s="69"/>
      <c r="M1497" s="69"/>
      <c r="N1497" s="69"/>
      <c r="O1497" s="69"/>
      <c r="P1497" s="69"/>
      <c r="Q1497" s="69"/>
      <c r="R1497" s="69"/>
    </row>
    <row r="1498" spans="1:20" ht="26.4">
      <c r="A1498" s="16" t="s">
        <v>55</v>
      </c>
      <c r="B1498" s="14">
        <v>793</v>
      </c>
      <c r="C1498" s="15" t="s">
        <v>18</v>
      </c>
      <c r="D1498" s="15" t="s">
        <v>27</v>
      </c>
      <c r="E1498" s="15" t="s">
        <v>236</v>
      </c>
      <c r="F1498" s="15" t="s">
        <v>58</v>
      </c>
      <c r="G1498" s="70">
        <v>2534225.7000000002</v>
      </c>
      <c r="H1498" s="70">
        <v>2569071.31</v>
      </c>
      <c r="I1498" s="70">
        <v>2604396.04</v>
      </c>
      <c r="J1498" s="172"/>
      <c r="K1498" s="69"/>
      <c r="L1498" s="69"/>
      <c r="M1498" s="69"/>
      <c r="N1498" s="69"/>
      <c r="O1498" s="69"/>
      <c r="P1498" s="69"/>
      <c r="Q1498" s="69"/>
      <c r="R1498" s="69"/>
    </row>
    <row r="1499" spans="1:20" s="146" customFormat="1" ht="26.25" customHeight="1">
      <c r="A1499" s="82" t="s">
        <v>158</v>
      </c>
      <c r="B1499" s="145">
        <v>793</v>
      </c>
      <c r="C1499" s="15" t="s">
        <v>18</v>
      </c>
      <c r="D1499" s="15" t="s">
        <v>27</v>
      </c>
      <c r="E1499" s="143" t="s">
        <v>204</v>
      </c>
      <c r="F1499" s="84"/>
      <c r="G1499" s="87">
        <f>G1503</f>
        <v>595291.84</v>
      </c>
      <c r="H1499" s="87">
        <f t="shared" ref="H1499:I1499" si="378">H1503</f>
        <v>0</v>
      </c>
      <c r="I1499" s="87">
        <f t="shared" si="378"/>
        <v>0</v>
      </c>
      <c r="J1499" s="148">
        <v>1487719</v>
      </c>
      <c r="P1499" s="148"/>
      <c r="Q1499" s="148"/>
      <c r="R1499" s="148"/>
      <c r="S1499" s="148"/>
      <c r="T1499" s="148"/>
    </row>
    <row r="1500" spans="1:20" s="90" customFormat="1" ht="39" customHeight="1">
      <c r="A1500" s="82" t="s">
        <v>1271</v>
      </c>
      <c r="B1500" s="145">
        <v>793</v>
      </c>
      <c r="C1500" s="15" t="s">
        <v>18</v>
      </c>
      <c r="D1500" s="15" t="s">
        <v>27</v>
      </c>
      <c r="E1500" s="84" t="s">
        <v>1274</v>
      </c>
      <c r="F1500" s="84"/>
      <c r="G1500" s="87">
        <f>G1501+G1503</f>
        <v>595291.84</v>
      </c>
      <c r="H1500" s="87">
        <f t="shared" ref="H1500:I1500" si="379">H1501+H1503</f>
        <v>0</v>
      </c>
      <c r="I1500" s="87">
        <f t="shared" si="379"/>
        <v>0</v>
      </c>
      <c r="J1500" s="123"/>
      <c r="P1500" s="123"/>
      <c r="Q1500" s="123"/>
      <c r="R1500" s="123"/>
      <c r="S1500" s="123"/>
      <c r="T1500" s="123"/>
    </row>
    <row r="1501" spans="1:20" s="90" customFormat="1" ht="29.25" hidden="1" customHeight="1">
      <c r="A1501" s="16" t="s">
        <v>316</v>
      </c>
      <c r="B1501" s="84" t="s">
        <v>92</v>
      </c>
      <c r="C1501" s="15" t="s">
        <v>18</v>
      </c>
      <c r="D1501" s="15" t="s">
        <v>27</v>
      </c>
      <c r="E1501" s="84" t="s">
        <v>205</v>
      </c>
      <c r="F1501" s="84" t="s">
        <v>36</v>
      </c>
      <c r="G1501" s="87">
        <f>G1502</f>
        <v>0</v>
      </c>
      <c r="H1501" s="87"/>
      <c r="I1501" s="87"/>
      <c r="J1501" s="123"/>
      <c r="P1501" s="123"/>
      <c r="Q1501" s="123"/>
      <c r="R1501" s="123"/>
      <c r="S1501" s="123"/>
      <c r="T1501" s="123"/>
    </row>
    <row r="1502" spans="1:20" s="90" customFormat="1" ht="36.75" hidden="1" customHeight="1">
      <c r="A1502" s="16" t="s">
        <v>37</v>
      </c>
      <c r="B1502" s="84" t="s">
        <v>92</v>
      </c>
      <c r="C1502" s="15" t="s">
        <v>18</v>
      </c>
      <c r="D1502" s="15" t="s">
        <v>27</v>
      </c>
      <c r="E1502" s="84" t="s">
        <v>205</v>
      </c>
      <c r="F1502" s="84" t="s">
        <v>38</v>
      </c>
      <c r="G1502" s="87">
        <f>прил4!G2785</f>
        <v>0</v>
      </c>
      <c r="H1502" s="87"/>
      <c r="I1502" s="87"/>
      <c r="J1502" s="123"/>
      <c r="P1502" s="123"/>
      <c r="Q1502" s="123"/>
      <c r="R1502" s="123"/>
      <c r="S1502" s="123"/>
      <c r="T1502" s="123"/>
    </row>
    <row r="1503" spans="1:20" s="90" customFormat="1" ht="52.8">
      <c r="A1503" s="16" t="s">
        <v>312</v>
      </c>
      <c r="B1503" s="145">
        <v>793</v>
      </c>
      <c r="C1503" s="15" t="s">
        <v>18</v>
      </c>
      <c r="D1503" s="15" t="s">
        <v>27</v>
      </c>
      <c r="E1503" s="84" t="s">
        <v>1274</v>
      </c>
      <c r="F1503" s="84" t="s">
        <v>57</v>
      </c>
      <c r="G1503" s="87">
        <f t="shared" ref="G1503:I1503" si="380">G1504</f>
        <v>595291.84</v>
      </c>
      <c r="H1503" s="87">
        <f t="shared" si="380"/>
        <v>0</v>
      </c>
      <c r="I1503" s="87">
        <f t="shared" si="380"/>
        <v>0</v>
      </c>
      <c r="J1503" s="123"/>
      <c r="P1503" s="123"/>
      <c r="Q1503" s="123"/>
      <c r="R1503" s="123"/>
      <c r="S1503" s="123"/>
      <c r="T1503" s="123"/>
    </row>
    <row r="1504" spans="1:20" s="90" customFormat="1" ht="18.75" customHeight="1">
      <c r="A1504" s="16" t="s">
        <v>55</v>
      </c>
      <c r="B1504" s="145">
        <v>793</v>
      </c>
      <c r="C1504" s="15" t="s">
        <v>18</v>
      </c>
      <c r="D1504" s="15" t="s">
        <v>27</v>
      </c>
      <c r="E1504" s="84" t="s">
        <v>1274</v>
      </c>
      <c r="F1504" s="84" t="s">
        <v>58</v>
      </c>
      <c r="G1504" s="87">
        <f>618201.26-22909.42</f>
        <v>595291.84</v>
      </c>
      <c r="H1504" s="87">
        <f>прил4!H902</f>
        <v>0</v>
      </c>
      <c r="I1504" s="87">
        <f>прил4!I902</f>
        <v>0</v>
      </c>
      <c r="J1504" s="123"/>
      <c r="P1504" s="123"/>
      <c r="Q1504" s="123"/>
      <c r="R1504" s="123"/>
      <c r="S1504" s="123"/>
      <c r="T1504" s="123"/>
    </row>
    <row r="1505" spans="1:18" ht="52.8">
      <c r="A1505" s="16" t="s">
        <v>74</v>
      </c>
      <c r="B1505" s="14">
        <v>793</v>
      </c>
      <c r="C1505" s="15" t="s">
        <v>18</v>
      </c>
      <c r="D1505" s="15" t="s">
        <v>53</v>
      </c>
      <c r="E1505" s="15"/>
      <c r="F1505" s="15"/>
      <c r="G1505" s="70">
        <f>G1510+G1506+G1562</f>
        <v>97281392.090000004</v>
      </c>
      <c r="H1505" s="70">
        <f>H1510+H1506</f>
        <v>95786001.709999993</v>
      </c>
      <c r="I1505" s="70">
        <f>I1510+I1506</f>
        <v>97240182.039999992</v>
      </c>
      <c r="J1505" s="172"/>
      <c r="K1505" s="69"/>
      <c r="L1505" s="69"/>
      <c r="M1505" s="69"/>
      <c r="N1505" s="69"/>
      <c r="O1505" s="69"/>
      <c r="P1505" s="69"/>
      <c r="Q1505" s="69"/>
      <c r="R1505" s="69"/>
    </row>
    <row r="1506" spans="1:18" ht="27" customHeight="1">
      <c r="A1506" s="349" t="s">
        <v>1147</v>
      </c>
      <c r="B1506" s="14">
        <v>793</v>
      </c>
      <c r="C1506" s="15" t="s">
        <v>18</v>
      </c>
      <c r="D1506" s="15" t="s">
        <v>53</v>
      </c>
      <c r="E1506" s="14" t="s">
        <v>237</v>
      </c>
      <c r="F1506" s="14"/>
      <c r="G1506" s="70">
        <f>G1509</f>
        <v>35000</v>
      </c>
      <c r="H1506" s="70">
        <f>H1509</f>
        <v>35000</v>
      </c>
      <c r="I1506" s="70">
        <f>I1509</f>
        <v>35000</v>
      </c>
      <c r="J1506" s="172"/>
      <c r="K1506" s="69"/>
      <c r="L1506" s="69"/>
      <c r="M1506" s="69"/>
      <c r="N1506" s="69"/>
      <c r="O1506" s="69"/>
      <c r="P1506" s="69"/>
      <c r="Q1506" s="241"/>
      <c r="R1506" s="69"/>
    </row>
    <row r="1507" spans="1:18" ht="26.4">
      <c r="A1507" s="327" t="s">
        <v>315</v>
      </c>
      <c r="B1507" s="346">
        <v>793</v>
      </c>
      <c r="C1507" s="15" t="s">
        <v>18</v>
      </c>
      <c r="D1507" s="15" t="s">
        <v>53</v>
      </c>
      <c r="E1507" s="15" t="s">
        <v>238</v>
      </c>
      <c r="F1507" s="15"/>
      <c r="G1507" s="70">
        <f t="shared" ref="G1507:I1508" si="381">G1508</f>
        <v>35000</v>
      </c>
      <c r="H1507" s="70">
        <f t="shared" si="381"/>
        <v>35000</v>
      </c>
      <c r="I1507" s="70">
        <f t="shared" si="381"/>
        <v>35000</v>
      </c>
      <c r="J1507" s="172"/>
      <c r="K1507" s="69"/>
      <c r="L1507" s="69"/>
      <c r="M1507" s="69"/>
      <c r="N1507" s="69"/>
      <c r="O1507" s="69"/>
      <c r="P1507" s="69"/>
      <c r="Q1507" s="69"/>
      <c r="R1507" s="69"/>
    </row>
    <row r="1508" spans="1:18" ht="19.5" customHeight="1">
      <c r="A1508" s="347" t="s">
        <v>316</v>
      </c>
      <c r="B1508" s="14">
        <v>793</v>
      </c>
      <c r="C1508" s="15" t="s">
        <v>18</v>
      </c>
      <c r="D1508" s="15" t="s">
        <v>53</v>
      </c>
      <c r="E1508" s="15" t="s">
        <v>238</v>
      </c>
      <c r="F1508" s="15" t="s">
        <v>36</v>
      </c>
      <c r="G1508" s="70">
        <f t="shared" si="381"/>
        <v>35000</v>
      </c>
      <c r="H1508" s="70">
        <f t="shared" si="381"/>
        <v>35000</v>
      </c>
      <c r="I1508" s="70">
        <f t="shared" si="381"/>
        <v>35000</v>
      </c>
      <c r="J1508" s="172"/>
      <c r="K1508" s="69"/>
      <c r="L1508" s="69"/>
      <c r="M1508" s="69"/>
      <c r="N1508" s="69"/>
      <c r="O1508" s="69"/>
      <c r="P1508" s="69"/>
      <c r="Q1508" s="241"/>
      <c r="R1508" s="69"/>
    </row>
    <row r="1509" spans="1:18" ht="26.4">
      <c r="A1509" s="16" t="s">
        <v>37</v>
      </c>
      <c r="B1509" s="14">
        <v>793</v>
      </c>
      <c r="C1509" s="15" t="s">
        <v>18</v>
      </c>
      <c r="D1509" s="15" t="s">
        <v>53</v>
      </c>
      <c r="E1509" s="15" t="s">
        <v>238</v>
      </c>
      <c r="F1509" s="15" t="s">
        <v>38</v>
      </c>
      <c r="G1509" s="70">
        <v>35000</v>
      </c>
      <c r="H1509" s="70">
        <v>35000</v>
      </c>
      <c r="I1509" s="70">
        <v>35000</v>
      </c>
      <c r="J1509" s="172"/>
      <c r="K1509" s="69"/>
      <c r="L1509" s="69"/>
      <c r="M1509" s="69"/>
      <c r="N1509" s="69"/>
      <c r="O1509" s="69"/>
      <c r="P1509" s="69"/>
      <c r="Q1509" s="69"/>
      <c r="R1509" s="69"/>
    </row>
    <row r="1510" spans="1:18" s="46" customFormat="1" ht="26.4">
      <c r="A1510" s="16" t="s">
        <v>1194</v>
      </c>
      <c r="B1510" s="14">
        <v>793</v>
      </c>
      <c r="C1510" s="15" t="s">
        <v>18</v>
      </c>
      <c r="D1510" s="15" t="s">
        <v>53</v>
      </c>
      <c r="E1510" s="15" t="s">
        <v>234</v>
      </c>
      <c r="F1510" s="15"/>
      <c r="G1510" s="70">
        <f>G1511</f>
        <v>96363127.210000008</v>
      </c>
      <c r="H1510" s="70">
        <f>H1511</f>
        <v>95751001.709999993</v>
      </c>
      <c r="I1510" s="70">
        <f>I1511</f>
        <v>97205182.039999992</v>
      </c>
      <c r="J1510" s="172"/>
      <c r="K1510" s="58"/>
      <c r="L1510" s="58"/>
      <c r="M1510" s="58"/>
      <c r="N1510" s="58"/>
      <c r="O1510" s="58"/>
      <c r="P1510" s="58"/>
      <c r="Q1510" s="58"/>
      <c r="R1510" s="58"/>
    </row>
    <row r="1511" spans="1:18" s="46" customFormat="1">
      <c r="A1511" s="56" t="s">
        <v>1195</v>
      </c>
      <c r="B1511" s="14">
        <v>793</v>
      </c>
      <c r="C1511" s="15" t="s">
        <v>18</v>
      </c>
      <c r="D1511" s="15" t="s">
        <v>53</v>
      </c>
      <c r="E1511" s="15" t="s">
        <v>239</v>
      </c>
      <c r="F1511" s="15"/>
      <c r="G1511" s="70">
        <f>G1512+G1550+G1545+G1559+G1524+G1532+G1538+G1553+G1556</f>
        <v>96363127.210000008</v>
      </c>
      <c r="H1511" s="70">
        <f t="shared" ref="H1511:I1511" si="382">H1512+H1550+H1545+H1559+H1524+H1532+H1538</f>
        <v>95751001.709999993</v>
      </c>
      <c r="I1511" s="70">
        <f t="shared" si="382"/>
        <v>97205182.039999992</v>
      </c>
      <c r="J1511" s="172"/>
      <c r="K1511" s="58"/>
      <c r="L1511" s="58"/>
      <c r="M1511" s="58"/>
      <c r="N1511" s="58"/>
      <c r="O1511" s="58"/>
      <c r="P1511" s="58"/>
      <c r="Q1511" s="58"/>
      <c r="R1511" s="58"/>
    </row>
    <row r="1512" spans="1:18" s="46" customFormat="1" ht="26.4">
      <c r="A1512" s="16" t="s">
        <v>75</v>
      </c>
      <c r="B1512" s="14">
        <v>793</v>
      </c>
      <c r="C1512" s="15" t="s">
        <v>18</v>
      </c>
      <c r="D1512" s="15" t="s">
        <v>53</v>
      </c>
      <c r="E1512" s="15" t="s">
        <v>240</v>
      </c>
      <c r="F1512" s="15"/>
      <c r="G1512" s="70">
        <f>G1513+G1515+G1519+G1517+G1521</f>
        <v>87538089.930000007</v>
      </c>
      <c r="H1512" s="70">
        <f t="shared" ref="H1512:I1512" si="383">H1513+H1515+H1519+H1517</f>
        <v>86527466.230000004</v>
      </c>
      <c r="I1512" s="70">
        <f t="shared" si="383"/>
        <v>87654613.769999996</v>
      </c>
      <c r="J1512" s="172"/>
      <c r="K1512" s="58"/>
      <c r="L1512" s="58"/>
      <c r="M1512" s="58"/>
      <c r="N1512" s="58"/>
      <c r="O1512" s="58"/>
      <c r="P1512" s="58"/>
      <c r="Q1512" s="58"/>
      <c r="R1512" s="58"/>
    </row>
    <row r="1513" spans="1:18" s="46" customFormat="1" ht="52.8">
      <c r="A1513" s="16" t="s">
        <v>312</v>
      </c>
      <c r="B1513" s="14">
        <v>793</v>
      </c>
      <c r="C1513" s="15" t="s">
        <v>18</v>
      </c>
      <c r="D1513" s="15" t="s">
        <v>53</v>
      </c>
      <c r="E1513" s="15" t="s">
        <v>240</v>
      </c>
      <c r="F1513" s="15" t="s">
        <v>57</v>
      </c>
      <c r="G1513" s="70">
        <f>G1514</f>
        <v>81733157.439999998</v>
      </c>
      <c r="H1513" s="70">
        <f>H1514</f>
        <v>82474366.230000004</v>
      </c>
      <c r="I1513" s="70">
        <f>I1514</f>
        <v>83601513.769999996</v>
      </c>
      <c r="J1513" s="172"/>
      <c r="K1513" s="58"/>
      <c r="L1513" s="58"/>
      <c r="M1513" s="58"/>
      <c r="N1513" s="58"/>
      <c r="O1513" s="58"/>
      <c r="P1513" s="58"/>
      <c r="Q1513" s="58"/>
      <c r="R1513" s="58"/>
    </row>
    <row r="1514" spans="1:18" s="46" customFormat="1" ht="26.4">
      <c r="A1514" s="16" t="s">
        <v>55</v>
      </c>
      <c r="B1514" s="14">
        <v>793</v>
      </c>
      <c r="C1514" s="15" t="s">
        <v>18</v>
      </c>
      <c r="D1514" s="15" t="s">
        <v>53</v>
      </c>
      <c r="E1514" s="15" t="s">
        <v>240</v>
      </c>
      <c r="F1514" s="15" t="s">
        <v>58</v>
      </c>
      <c r="G1514" s="70">
        <f>81659912.84+73244.6</f>
        <v>81733157.439999998</v>
      </c>
      <c r="H1514" s="70">
        <v>82474366.230000004</v>
      </c>
      <c r="I1514" s="70">
        <v>83601513.769999996</v>
      </c>
      <c r="J1514" s="172"/>
      <c r="K1514" s="58"/>
      <c r="L1514" s="58"/>
      <c r="M1514" s="58"/>
      <c r="N1514" s="58"/>
      <c r="O1514" s="58"/>
      <c r="P1514" s="58"/>
      <c r="Q1514" s="163"/>
      <c r="R1514" s="58"/>
    </row>
    <row r="1515" spans="1:18" s="46" customFormat="1" ht="34.5" customHeight="1">
      <c r="A1515" s="16" t="s">
        <v>316</v>
      </c>
      <c r="B1515" s="14">
        <v>793</v>
      </c>
      <c r="C1515" s="15" t="s">
        <v>18</v>
      </c>
      <c r="D1515" s="15" t="s">
        <v>53</v>
      </c>
      <c r="E1515" s="15" t="s">
        <v>240</v>
      </c>
      <c r="F1515" s="15" t="s">
        <v>36</v>
      </c>
      <c r="G1515" s="70">
        <f>G1516</f>
        <v>5214579.0599999996</v>
      </c>
      <c r="H1515" s="70">
        <f>H1516</f>
        <v>4047100</v>
      </c>
      <c r="I1515" s="70">
        <f>I1516</f>
        <v>4047100</v>
      </c>
      <c r="J1515" s="172"/>
      <c r="K1515" s="58"/>
      <c r="L1515" s="58"/>
      <c r="M1515" s="58"/>
      <c r="N1515" s="58"/>
      <c r="O1515" s="58"/>
      <c r="P1515" s="58"/>
      <c r="Q1515" s="58"/>
      <c r="R1515" s="58"/>
    </row>
    <row r="1516" spans="1:18" s="46" customFormat="1" ht="26.4">
      <c r="A1516" s="16" t="s">
        <v>37</v>
      </c>
      <c r="B1516" s="14">
        <v>793</v>
      </c>
      <c r="C1516" s="15" t="s">
        <v>18</v>
      </c>
      <c r="D1516" s="15" t="s">
        <v>53</v>
      </c>
      <c r="E1516" s="15" t="s">
        <v>240</v>
      </c>
      <c r="F1516" s="15" t="s">
        <v>38</v>
      </c>
      <c r="G1516" s="70">
        <f>5208579.06+6000</f>
        <v>5214579.0599999996</v>
      </c>
      <c r="H1516" s="70">
        <f>3997100+50000</f>
        <v>4047100</v>
      </c>
      <c r="I1516" s="70">
        <f>3997100+50000</f>
        <v>4047100</v>
      </c>
      <c r="J1516" s="172"/>
      <c r="K1516" s="58"/>
      <c r="L1516" s="58"/>
      <c r="M1516" s="58"/>
      <c r="N1516" s="58"/>
      <c r="O1516" s="58"/>
      <c r="P1516" s="58"/>
      <c r="Q1516" s="58"/>
      <c r="R1516" s="58"/>
    </row>
    <row r="1517" spans="1:18" s="46" customFormat="1" hidden="1">
      <c r="A1517" s="16" t="s">
        <v>144</v>
      </c>
      <c r="B1517" s="14">
        <v>793</v>
      </c>
      <c r="C1517" s="15" t="s">
        <v>18</v>
      </c>
      <c r="D1517" s="15" t="s">
        <v>53</v>
      </c>
      <c r="E1517" s="15" t="s">
        <v>240</v>
      </c>
      <c r="F1517" s="15" t="s">
        <v>145</v>
      </c>
      <c r="G1517" s="70">
        <f>G1518</f>
        <v>0</v>
      </c>
      <c r="H1517" s="70">
        <f t="shared" ref="H1517:I1517" si="384">H1518</f>
        <v>0</v>
      </c>
      <c r="I1517" s="70">
        <f t="shared" si="384"/>
        <v>0</v>
      </c>
      <c r="J1517" s="172"/>
      <c r="K1517" s="58"/>
      <c r="L1517" s="58"/>
      <c r="M1517" s="58"/>
      <c r="N1517" s="58"/>
      <c r="O1517" s="58"/>
      <c r="P1517" s="58"/>
      <c r="Q1517" s="58"/>
      <c r="R1517" s="58"/>
    </row>
    <row r="1518" spans="1:18" s="46" customFormat="1" ht="26.4" hidden="1">
      <c r="A1518" s="16" t="s">
        <v>146</v>
      </c>
      <c r="B1518" s="14">
        <v>793</v>
      </c>
      <c r="C1518" s="15" t="s">
        <v>18</v>
      </c>
      <c r="D1518" s="15" t="s">
        <v>53</v>
      </c>
      <c r="E1518" s="15" t="s">
        <v>240</v>
      </c>
      <c r="F1518" s="15" t="s">
        <v>147</v>
      </c>
      <c r="G1518" s="70"/>
      <c r="H1518" s="70">
        <v>0</v>
      </c>
      <c r="I1518" s="70">
        <v>0</v>
      </c>
      <c r="J1518" s="172"/>
      <c r="K1518" s="58"/>
      <c r="L1518" s="58"/>
      <c r="M1518" s="58"/>
      <c r="N1518" s="58"/>
      <c r="O1518" s="58"/>
      <c r="P1518" s="58"/>
      <c r="Q1518" s="58"/>
      <c r="R1518" s="58"/>
    </row>
    <row r="1519" spans="1:18" s="46" customFormat="1" ht="17.25" customHeight="1">
      <c r="A1519" s="16" t="s">
        <v>62</v>
      </c>
      <c r="B1519" s="14">
        <v>793</v>
      </c>
      <c r="C1519" s="15" t="s">
        <v>18</v>
      </c>
      <c r="D1519" s="15" t="s">
        <v>53</v>
      </c>
      <c r="E1519" s="15" t="s">
        <v>240</v>
      </c>
      <c r="F1519" s="15" t="s">
        <v>63</v>
      </c>
      <c r="G1519" s="70">
        <f>G1520</f>
        <v>46000</v>
      </c>
      <c r="H1519" s="70">
        <f t="shared" ref="H1519:I1519" si="385">H1520</f>
        <v>6000</v>
      </c>
      <c r="I1519" s="70">
        <f t="shared" si="385"/>
        <v>6000</v>
      </c>
      <c r="J1519" s="172"/>
      <c r="K1519" s="58"/>
      <c r="L1519" s="58"/>
      <c r="M1519" s="58"/>
      <c r="N1519" s="58"/>
      <c r="O1519" s="58"/>
      <c r="P1519" s="58"/>
      <c r="Q1519" s="58"/>
      <c r="R1519" s="58"/>
    </row>
    <row r="1520" spans="1:18" s="46" customFormat="1">
      <c r="A1520" s="352" t="s">
        <v>140</v>
      </c>
      <c r="B1520" s="353">
        <v>793</v>
      </c>
      <c r="C1520" s="354" t="s">
        <v>18</v>
      </c>
      <c r="D1520" s="354" t="s">
        <v>53</v>
      </c>
      <c r="E1520" s="354" t="s">
        <v>240</v>
      </c>
      <c r="F1520" s="354" t="s">
        <v>66</v>
      </c>
      <c r="G1520" s="355">
        <v>46000</v>
      </c>
      <c r="H1520" s="355">
        <v>6000</v>
      </c>
      <c r="I1520" s="355">
        <v>6000</v>
      </c>
      <c r="J1520" s="172"/>
      <c r="K1520" s="58"/>
      <c r="L1520" s="58"/>
      <c r="M1520" s="58"/>
      <c r="N1520" s="58"/>
      <c r="O1520" s="58"/>
      <c r="P1520" s="58"/>
      <c r="Q1520" s="58"/>
      <c r="R1520" s="58"/>
    </row>
    <row r="1521" spans="1:18" ht="84.75" customHeight="1">
      <c r="A1521" s="82" t="s">
        <v>1435</v>
      </c>
      <c r="B1521" s="353">
        <v>793</v>
      </c>
      <c r="C1521" s="354" t="s">
        <v>18</v>
      </c>
      <c r="D1521" s="354" t="s">
        <v>53</v>
      </c>
      <c r="E1521" s="84" t="s">
        <v>1528</v>
      </c>
      <c r="F1521" s="84"/>
      <c r="G1521" s="87">
        <f>G1522</f>
        <v>544353.43000000005</v>
      </c>
      <c r="H1521" s="87">
        <f t="shared" ref="H1521:I1521" si="386">H1522</f>
        <v>0</v>
      </c>
      <c r="I1521" s="87">
        <f t="shared" si="386"/>
        <v>0</v>
      </c>
      <c r="J1521" s="173"/>
    </row>
    <row r="1522" spans="1:18" ht="29.25" customHeight="1">
      <c r="A1522" s="82" t="s">
        <v>54</v>
      </c>
      <c r="B1522" s="353">
        <v>793</v>
      </c>
      <c r="C1522" s="354" t="s">
        <v>18</v>
      </c>
      <c r="D1522" s="354" t="s">
        <v>53</v>
      </c>
      <c r="E1522" s="84" t="s">
        <v>1528</v>
      </c>
      <c r="F1522" s="84" t="s">
        <v>57</v>
      </c>
      <c r="G1522" s="87">
        <f>G1523</f>
        <v>544353.43000000005</v>
      </c>
      <c r="H1522" s="87">
        <f>H1523</f>
        <v>0</v>
      </c>
      <c r="I1522" s="87">
        <f>I1523</f>
        <v>0</v>
      </c>
      <c r="J1522" s="173"/>
    </row>
    <row r="1523" spans="1:18" ht="36.75" customHeight="1">
      <c r="A1523" s="82" t="s">
        <v>55</v>
      </c>
      <c r="B1523" s="353">
        <v>793</v>
      </c>
      <c r="C1523" s="354" t="s">
        <v>18</v>
      </c>
      <c r="D1523" s="354" t="s">
        <v>53</v>
      </c>
      <c r="E1523" s="84" t="s">
        <v>1528</v>
      </c>
      <c r="F1523" s="84" t="s">
        <v>58</v>
      </c>
      <c r="G1523" s="70">
        <v>544353.43000000005</v>
      </c>
      <c r="H1523" s="87">
        <v>0</v>
      </c>
      <c r="I1523" s="87">
        <v>0</v>
      </c>
      <c r="J1523" s="173"/>
    </row>
    <row r="1524" spans="1:18" s="3" customFormat="1" ht="49.5" customHeight="1">
      <c r="A1524" s="327" t="s">
        <v>1168</v>
      </c>
      <c r="B1524" s="14">
        <v>793</v>
      </c>
      <c r="C1524" s="15" t="s">
        <v>18</v>
      </c>
      <c r="D1524" s="15" t="s">
        <v>53</v>
      </c>
      <c r="E1524" s="15" t="s">
        <v>1055</v>
      </c>
      <c r="F1524" s="15"/>
      <c r="G1524" s="70">
        <f t="shared" ref="G1524:I1525" si="387">G1525+G1529</f>
        <v>1916661.86</v>
      </c>
      <c r="H1524" s="70">
        <f t="shared" si="387"/>
        <v>1820907.1</v>
      </c>
      <c r="I1524" s="70">
        <f t="shared" si="387"/>
        <v>1886313.66</v>
      </c>
      <c r="J1524" s="70">
        <v>1820907.1</v>
      </c>
      <c r="K1524" s="70">
        <v>1886313.66</v>
      </c>
      <c r="L1524" s="62"/>
      <c r="M1524" s="62"/>
      <c r="N1524" s="62"/>
      <c r="O1524" s="62"/>
      <c r="P1524" s="62"/>
      <c r="Q1524" s="62"/>
      <c r="R1524" s="62"/>
    </row>
    <row r="1525" spans="1:18" s="3" customFormat="1" hidden="1">
      <c r="A1525" s="327" t="s">
        <v>1057</v>
      </c>
      <c r="B1525" s="14">
        <v>793</v>
      </c>
      <c r="C1525" s="15" t="s">
        <v>18</v>
      </c>
      <c r="D1525" s="15" t="s">
        <v>53</v>
      </c>
      <c r="E1525" s="15" t="s">
        <v>1055</v>
      </c>
      <c r="F1525" s="15"/>
      <c r="G1525" s="70">
        <f t="shared" si="387"/>
        <v>1916661.86</v>
      </c>
      <c r="H1525" s="70">
        <f t="shared" si="387"/>
        <v>1820907.1</v>
      </c>
      <c r="I1525" s="70">
        <f t="shared" si="387"/>
        <v>1886313.66</v>
      </c>
      <c r="J1525" s="70"/>
      <c r="K1525" s="118"/>
      <c r="L1525" s="62"/>
      <c r="M1525" s="62"/>
      <c r="N1525" s="62"/>
      <c r="O1525" s="62"/>
      <c r="P1525" s="62"/>
      <c r="Q1525" s="62"/>
      <c r="R1525" s="62"/>
    </row>
    <row r="1526" spans="1:18" s="3" customFormat="1" ht="52.8">
      <c r="A1526" s="16" t="s">
        <v>312</v>
      </c>
      <c r="B1526" s="14">
        <v>793</v>
      </c>
      <c r="C1526" s="15" t="s">
        <v>18</v>
      </c>
      <c r="D1526" s="15" t="s">
        <v>53</v>
      </c>
      <c r="E1526" s="15" t="s">
        <v>1055</v>
      </c>
      <c r="F1526" s="15" t="s">
        <v>57</v>
      </c>
      <c r="G1526" s="70">
        <f>G1527</f>
        <v>1857393.83</v>
      </c>
      <c r="H1526" s="70">
        <f>H1527</f>
        <v>1680907.1</v>
      </c>
      <c r="I1526" s="70">
        <f>I1527</f>
        <v>1746313.66</v>
      </c>
      <c r="J1526" s="70">
        <f>H1524+H1532+H1540</f>
        <v>8754308.7100000009</v>
      </c>
      <c r="K1526" s="70">
        <f>I1524+I1532+I1540</f>
        <v>9064989.8599999994</v>
      </c>
      <c r="L1526" s="62"/>
      <c r="M1526" s="62"/>
      <c r="N1526" s="62"/>
      <c r="O1526" s="62"/>
      <c r="P1526" s="62"/>
      <c r="Q1526" s="62"/>
      <c r="R1526" s="62"/>
    </row>
    <row r="1527" spans="1:18" s="3" customFormat="1" ht="26.4">
      <c r="A1527" s="16" t="s">
        <v>55</v>
      </c>
      <c r="B1527" s="14">
        <v>793</v>
      </c>
      <c r="C1527" s="15" t="s">
        <v>18</v>
      </c>
      <c r="D1527" s="15" t="s">
        <v>53</v>
      </c>
      <c r="E1527" s="15" t="s">
        <v>1055</v>
      </c>
      <c r="F1527" s="15" t="s">
        <v>58</v>
      </c>
      <c r="G1527" s="70">
        <f>1663807.46+193586.37</f>
        <v>1857393.83</v>
      </c>
      <c r="H1527" s="70">
        <f>1735994.6-55087.5</f>
        <v>1680907.1</v>
      </c>
      <c r="I1527" s="70">
        <f>1975282.48-228968.82</f>
        <v>1746313.66</v>
      </c>
      <c r="J1527" s="117">
        <f>H1524-J1524</f>
        <v>0</v>
      </c>
      <c r="K1527" s="117">
        <f>I1524-K1524</f>
        <v>0</v>
      </c>
      <c r="L1527" s="63"/>
      <c r="M1527" s="62"/>
      <c r="N1527" s="62"/>
      <c r="O1527" s="62"/>
      <c r="P1527" s="62"/>
      <c r="Q1527" s="62"/>
      <c r="R1527" s="62"/>
    </row>
    <row r="1528" spans="1:18" s="3" customFormat="1" ht="39.6" hidden="1">
      <c r="A1528" s="16" t="s">
        <v>56</v>
      </c>
      <c r="B1528" s="14">
        <v>793</v>
      </c>
      <c r="C1528" s="15" t="s">
        <v>18</v>
      </c>
      <c r="D1528" s="15" t="s">
        <v>53</v>
      </c>
      <c r="E1528" s="15" t="s">
        <v>1055</v>
      </c>
      <c r="F1528" s="15" t="s">
        <v>59</v>
      </c>
      <c r="G1528" s="70"/>
      <c r="H1528" s="70"/>
      <c r="I1528" s="70"/>
      <c r="J1528" s="70"/>
      <c r="K1528" s="118"/>
      <c r="L1528" s="62"/>
      <c r="M1528" s="62"/>
      <c r="N1528" s="62"/>
      <c r="O1528" s="62"/>
      <c r="P1528" s="62"/>
      <c r="Q1528" s="62"/>
      <c r="R1528" s="62"/>
    </row>
    <row r="1529" spans="1:18" s="3" customFormat="1" ht="39.6" hidden="1">
      <c r="A1529" s="16" t="s">
        <v>60</v>
      </c>
      <c r="B1529" s="14">
        <v>793</v>
      </c>
      <c r="C1529" s="15" t="s">
        <v>18</v>
      </c>
      <c r="D1529" s="15" t="s">
        <v>53</v>
      </c>
      <c r="E1529" s="15" t="s">
        <v>1055</v>
      </c>
      <c r="F1529" s="15" t="s">
        <v>61</v>
      </c>
      <c r="G1529" s="70"/>
      <c r="H1529" s="70"/>
      <c r="I1529" s="70"/>
      <c r="J1529" s="70"/>
      <c r="K1529" s="118"/>
      <c r="L1529" s="62"/>
      <c r="M1529" s="62"/>
      <c r="N1529" s="62"/>
      <c r="O1529" s="62"/>
      <c r="P1529" s="62"/>
      <c r="Q1529" s="62"/>
      <c r="R1529" s="62"/>
    </row>
    <row r="1530" spans="1:18" s="3" customFormat="1" ht="20.25" customHeight="1">
      <c r="A1530" s="16" t="s">
        <v>316</v>
      </c>
      <c r="B1530" s="14">
        <v>793</v>
      </c>
      <c r="C1530" s="15" t="s">
        <v>18</v>
      </c>
      <c r="D1530" s="15" t="s">
        <v>53</v>
      </c>
      <c r="E1530" s="15" t="s">
        <v>1055</v>
      </c>
      <c r="F1530" s="15" t="s">
        <v>36</v>
      </c>
      <c r="G1530" s="70">
        <f>G1531</f>
        <v>59268.03</v>
      </c>
      <c r="H1530" s="70">
        <f>H1531</f>
        <v>140000</v>
      </c>
      <c r="I1530" s="70">
        <f>I1531</f>
        <v>140000</v>
      </c>
      <c r="J1530" s="70"/>
      <c r="K1530" s="118"/>
      <c r="L1530" s="62"/>
      <c r="M1530" s="62"/>
      <c r="N1530" s="62"/>
      <c r="O1530" s="62"/>
      <c r="P1530" s="62"/>
      <c r="Q1530" s="62"/>
      <c r="R1530" s="62"/>
    </row>
    <row r="1531" spans="1:18" s="3" customFormat="1" ht="26.4">
      <c r="A1531" s="16" t="s">
        <v>37</v>
      </c>
      <c r="B1531" s="14">
        <v>793</v>
      </c>
      <c r="C1531" s="15" t="s">
        <v>18</v>
      </c>
      <c r="D1531" s="15" t="s">
        <v>53</v>
      </c>
      <c r="E1531" s="15" t="s">
        <v>1055</v>
      </c>
      <c r="F1531" s="15" t="s">
        <v>38</v>
      </c>
      <c r="G1531" s="70">
        <f>77400-18131.97</f>
        <v>59268.03</v>
      </c>
      <c r="H1531" s="70">
        <v>140000</v>
      </c>
      <c r="I1531" s="70">
        <v>140000</v>
      </c>
      <c r="J1531" s="70"/>
      <c r="K1531" s="118"/>
      <c r="L1531" s="62"/>
      <c r="M1531" s="62"/>
      <c r="N1531" s="62"/>
      <c r="O1531" s="62"/>
      <c r="P1531" s="62"/>
      <c r="Q1531" s="62"/>
      <c r="R1531" s="62"/>
    </row>
    <row r="1532" spans="1:18" s="46" customFormat="1" ht="39.6">
      <c r="A1532" s="327" t="s">
        <v>1167</v>
      </c>
      <c r="B1532" s="14">
        <v>793</v>
      </c>
      <c r="C1532" s="15" t="s">
        <v>18</v>
      </c>
      <c r="D1532" s="15" t="s">
        <v>53</v>
      </c>
      <c r="E1532" s="15" t="s">
        <v>1058</v>
      </c>
      <c r="F1532" s="15"/>
      <c r="G1532" s="70">
        <f>G1533</f>
        <v>5732893.120000001</v>
      </c>
      <c r="H1532" s="70">
        <f t="shared" ref="H1532:I1532" si="388">H1533</f>
        <v>5917948.0600000005</v>
      </c>
      <c r="I1532" s="70">
        <f t="shared" si="388"/>
        <v>6130519.3700000001</v>
      </c>
      <c r="J1532" s="70"/>
      <c r="K1532" s="359"/>
      <c r="L1532" s="58"/>
      <c r="M1532" s="58"/>
      <c r="N1532" s="58"/>
      <c r="O1532" s="58"/>
      <c r="P1532" s="58"/>
      <c r="Q1532" s="58"/>
      <c r="R1532" s="58"/>
    </row>
    <row r="1533" spans="1:18" s="3" customFormat="1" ht="27" hidden="1" customHeight="1">
      <c r="A1533" s="327" t="s">
        <v>1057</v>
      </c>
      <c r="B1533" s="14">
        <v>793</v>
      </c>
      <c r="C1533" s="15" t="s">
        <v>18</v>
      </c>
      <c r="D1533" s="15" t="s">
        <v>53</v>
      </c>
      <c r="E1533" s="15" t="s">
        <v>1058</v>
      </c>
      <c r="F1533" s="15"/>
      <c r="G1533" s="70">
        <f>G1534+G1536</f>
        <v>5732893.120000001</v>
      </c>
      <c r="H1533" s="70">
        <f>H1534+H1536</f>
        <v>5917948.0600000005</v>
      </c>
      <c r="I1533" s="70">
        <f>I1534+I1536</f>
        <v>6130519.3700000001</v>
      </c>
      <c r="J1533" s="70"/>
      <c r="K1533" s="118"/>
      <c r="L1533" s="62"/>
      <c r="M1533" s="62"/>
      <c r="N1533" s="62"/>
      <c r="O1533" s="62"/>
      <c r="P1533" s="62"/>
      <c r="Q1533" s="62"/>
      <c r="R1533" s="62"/>
    </row>
    <row r="1534" spans="1:18" s="3" customFormat="1" ht="52.8">
      <c r="A1534" s="16" t="s">
        <v>312</v>
      </c>
      <c r="B1534" s="14">
        <v>793</v>
      </c>
      <c r="C1534" s="15" t="s">
        <v>18</v>
      </c>
      <c r="D1534" s="15" t="s">
        <v>53</v>
      </c>
      <c r="E1534" s="15" t="s">
        <v>1058</v>
      </c>
      <c r="F1534" s="15" t="s">
        <v>57</v>
      </c>
      <c r="G1534" s="70">
        <f>G1535</f>
        <v>5626869.9700000007</v>
      </c>
      <c r="H1534" s="70">
        <f>H1535</f>
        <v>5462948.0600000005</v>
      </c>
      <c r="I1534" s="70">
        <f>I1535</f>
        <v>5675519.3700000001</v>
      </c>
      <c r="J1534" s="70"/>
      <c r="K1534" s="118"/>
      <c r="L1534" s="62"/>
      <c r="M1534" s="62"/>
      <c r="N1534" s="62"/>
      <c r="O1534" s="62"/>
      <c r="P1534" s="62"/>
      <c r="Q1534" s="62"/>
      <c r="R1534" s="62"/>
    </row>
    <row r="1535" spans="1:18" s="3" customFormat="1" ht="26.4">
      <c r="A1535" s="16" t="s">
        <v>55</v>
      </c>
      <c r="B1535" s="14">
        <v>793</v>
      </c>
      <c r="C1535" s="15" t="s">
        <v>18</v>
      </c>
      <c r="D1535" s="15" t="s">
        <v>53</v>
      </c>
      <c r="E1535" s="15" t="s">
        <v>1058</v>
      </c>
      <c r="F1535" s="15" t="s">
        <v>58</v>
      </c>
      <c r="G1535" s="70">
        <f>5153680.69+50243.54+422945.74</f>
        <v>5626869.9700000007</v>
      </c>
      <c r="H1535" s="70">
        <f>5641982.45-179034.39</f>
        <v>5462948.0600000005</v>
      </c>
      <c r="I1535" s="70">
        <f>6419668.05-744148.68</f>
        <v>5675519.3700000001</v>
      </c>
      <c r="J1535" s="70">
        <v>5917948.0599999996</v>
      </c>
      <c r="K1535" s="70">
        <v>6130519.3700000001</v>
      </c>
      <c r="L1535" s="62"/>
      <c r="M1535" s="63"/>
      <c r="N1535" s="62"/>
      <c r="O1535" s="62"/>
      <c r="P1535" s="62"/>
      <c r="Q1535" s="62"/>
      <c r="R1535" s="62"/>
    </row>
    <row r="1536" spans="1:18" s="3" customFormat="1" ht="21.75" customHeight="1">
      <c r="A1536" s="16" t="s">
        <v>316</v>
      </c>
      <c r="B1536" s="14">
        <v>793</v>
      </c>
      <c r="C1536" s="15" t="s">
        <v>18</v>
      </c>
      <c r="D1536" s="15" t="s">
        <v>53</v>
      </c>
      <c r="E1536" s="15" t="s">
        <v>1058</v>
      </c>
      <c r="F1536" s="15" t="s">
        <v>36</v>
      </c>
      <c r="G1536" s="70">
        <f>G1537</f>
        <v>106023.15000000002</v>
      </c>
      <c r="H1536" s="70">
        <f>H1537</f>
        <v>455000</v>
      </c>
      <c r="I1536" s="70">
        <f>I1537</f>
        <v>455000</v>
      </c>
      <c r="J1536" s="70">
        <f>H1532-J1535</f>
        <v>0</v>
      </c>
      <c r="K1536" s="117">
        <f>I1532-K1535</f>
        <v>0</v>
      </c>
      <c r="L1536" s="62"/>
      <c r="M1536" s="62"/>
      <c r="N1536" s="62"/>
      <c r="O1536" s="62"/>
      <c r="P1536" s="62"/>
      <c r="Q1536" s="62"/>
      <c r="R1536" s="62"/>
    </row>
    <row r="1537" spans="1:18" s="3" customFormat="1" ht="26.4">
      <c r="A1537" s="16" t="s">
        <v>37</v>
      </c>
      <c r="B1537" s="14">
        <v>793</v>
      </c>
      <c r="C1537" s="15" t="s">
        <v>18</v>
      </c>
      <c r="D1537" s="15" t="s">
        <v>53</v>
      </c>
      <c r="E1537" s="15" t="s">
        <v>1058</v>
      </c>
      <c r="F1537" s="15" t="s">
        <v>38</v>
      </c>
      <c r="G1537" s="70">
        <f>455000-348976.85</f>
        <v>106023.15000000002</v>
      </c>
      <c r="H1537" s="70">
        <v>455000</v>
      </c>
      <c r="I1537" s="70">
        <v>455000</v>
      </c>
      <c r="J1537" s="70"/>
      <c r="K1537" s="118"/>
      <c r="L1537" s="62"/>
      <c r="M1537" s="62"/>
      <c r="N1537" s="62"/>
      <c r="O1537" s="62"/>
      <c r="P1537" s="62"/>
      <c r="Q1537" s="62"/>
      <c r="R1537" s="62"/>
    </row>
    <row r="1538" spans="1:18" s="46" customFormat="1" ht="26.4" hidden="1">
      <c r="A1538" s="16" t="s">
        <v>1061</v>
      </c>
      <c r="B1538" s="14">
        <v>793</v>
      </c>
      <c r="C1538" s="15" t="s">
        <v>18</v>
      </c>
      <c r="D1538" s="15" t="s">
        <v>53</v>
      </c>
      <c r="E1538" s="15" t="s">
        <v>1060</v>
      </c>
      <c r="F1538" s="15"/>
      <c r="G1538" s="70">
        <f>G1540</f>
        <v>726180.44</v>
      </c>
      <c r="H1538" s="70">
        <f t="shared" ref="H1538:I1538" si="389">H1540</f>
        <v>1015453.55</v>
      </c>
      <c r="I1538" s="70">
        <f t="shared" si="389"/>
        <v>1048156.83</v>
      </c>
      <c r="J1538" s="70"/>
      <c r="K1538" s="359"/>
      <c r="L1538" s="58"/>
      <c r="M1538" s="58"/>
      <c r="N1538" s="58"/>
      <c r="O1538" s="58"/>
      <c r="P1538" s="58"/>
      <c r="Q1538" s="58"/>
      <c r="R1538" s="58"/>
    </row>
    <row r="1539" spans="1:18" s="3" customFormat="1" hidden="1">
      <c r="A1539" s="16"/>
      <c r="B1539" s="14"/>
      <c r="C1539" s="15"/>
      <c r="D1539" s="15"/>
      <c r="E1539" s="15" t="s">
        <v>1060</v>
      </c>
      <c r="F1539" s="15"/>
      <c r="G1539" s="70"/>
      <c r="H1539" s="70"/>
      <c r="I1539" s="70"/>
      <c r="J1539" s="70"/>
      <c r="K1539" s="118"/>
      <c r="L1539" s="62"/>
      <c r="M1539" s="62"/>
      <c r="N1539" s="62"/>
      <c r="O1539" s="62"/>
      <c r="P1539" s="62"/>
      <c r="Q1539" s="62"/>
      <c r="R1539" s="62"/>
    </row>
    <row r="1540" spans="1:18" s="3" customFormat="1" ht="45" customHeight="1">
      <c r="A1540" s="327" t="s">
        <v>1169</v>
      </c>
      <c r="B1540" s="14">
        <v>793</v>
      </c>
      <c r="C1540" s="15" t="s">
        <v>18</v>
      </c>
      <c r="D1540" s="15" t="s">
        <v>53</v>
      </c>
      <c r="E1540" s="15" t="s">
        <v>1060</v>
      </c>
      <c r="F1540" s="15"/>
      <c r="G1540" s="70">
        <f>G1541+G1543</f>
        <v>726180.44</v>
      </c>
      <c r="H1540" s="70">
        <f>H1541+H1543</f>
        <v>1015453.55</v>
      </c>
      <c r="I1540" s="70">
        <f>I1541+I1543</f>
        <v>1048156.83</v>
      </c>
      <c r="J1540" s="70"/>
      <c r="K1540" s="118"/>
      <c r="L1540" s="62"/>
      <c r="M1540" s="62"/>
      <c r="N1540" s="62"/>
      <c r="O1540" s="62"/>
      <c r="P1540" s="62"/>
      <c r="Q1540" s="62"/>
      <c r="R1540" s="62"/>
    </row>
    <row r="1541" spans="1:18" s="3" customFormat="1" ht="52.8">
      <c r="A1541" s="16" t="s">
        <v>312</v>
      </c>
      <c r="B1541" s="14">
        <v>793</v>
      </c>
      <c r="C1541" s="15" t="s">
        <v>18</v>
      </c>
      <c r="D1541" s="15" t="s">
        <v>53</v>
      </c>
      <c r="E1541" s="15" t="s">
        <v>1060</v>
      </c>
      <c r="F1541" s="15" t="s">
        <v>57</v>
      </c>
      <c r="G1541" s="70">
        <f>G1542</f>
        <v>702550.67999999993</v>
      </c>
      <c r="H1541" s="70">
        <f>H1542</f>
        <v>840452.25</v>
      </c>
      <c r="I1541" s="70">
        <f>I1542</f>
        <v>873155.59</v>
      </c>
      <c r="J1541" s="70"/>
      <c r="K1541" s="118"/>
      <c r="L1541" s="62"/>
      <c r="M1541" s="62"/>
      <c r="N1541" s="62"/>
      <c r="O1541" s="62"/>
      <c r="P1541" s="62"/>
      <c r="Q1541" s="62"/>
      <c r="R1541" s="62"/>
    </row>
    <row r="1542" spans="1:18" s="3" customFormat="1" ht="26.4">
      <c r="A1542" s="16" t="s">
        <v>55</v>
      </c>
      <c r="B1542" s="14">
        <v>793</v>
      </c>
      <c r="C1542" s="15" t="s">
        <v>18</v>
      </c>
      <c r="D1542" s="15" t="s">
        <v>53</v>
      </c>
      <c r="E1542" s="15" t="s">
        <v>1060</v>
      </c>
      <c r="F1542" s="15" t="s">
        <v>58</v>
      </c>
      <c r="G1542" s="70">
        <f>792873.95+7729.78-98053.05</f>
        <v>702550.67999999993</v>
      </c>
      <c r="H1542" s="70">
        <f>867996-27543.75</f>
        <v>840452.25</v>
      </c>
      <c r="I1542" s="70">
        <f>987640-114484.41</f>
        <v>873155.59</v>
      </c>
      <c r="J1542" s="70">
        <v>1015453.55</v>
      </c>
      <c r="K1542" s="70">
        <v>1048156.83</v>
      </c>
      <c r="L1542" s="62"/>
      <c r="M1542" s="63"/>
      <c r="N1542" s="62"/>
      <c r="O1542" s="62"/>
      <c r="P1542" s="62"/>
      <c r="Q1542" s="62"/>
      <c r="R1542" s="62"/>
    </row>
    <row r="1543" spans="1:18" s="3" customFormat="1" ht="21.75" customHeight="1">
      <c r="A1543" s="16" t="s">
        <v>316</v>
      </c>
      <c r="B1543" s="14">
        <v>793</v>
      </c>
      <c r="C1543" s="15" t="s">
        <v>18</v>
      </c>
      <c r="D1543" s="15" t="s">
        <v>53</v>
      </c>
      <c r="E1543" s="15" t="s">
        <v>1060</v>
      </c>
      <c r="F1543" s="15" t="s">
        <v>36</v>
      </c>
      <c r="G1543" s="70">
        <f>G1544</f>
        <v>23629.760000000009</v>
      </c>
      <c r="H1543" s="70">
        <f>H1544</f>
        <v>175001.3</v>
      </c>
      <c r="I1543" s="70">
        <f>I1544</f>
        <v>175001.24</v>
      </c>
      <c r="J1543" s="70">
        <f>H1540-J1542</f>
        <v>0</v>
      </c>
      <c r="K1543" s="117">
        <f>I1540-K1542</f>
        <v>0</v>
      </c>
      <c r="L1543" s="62"/>
      <c r="M1543" s="62"/>
      <c r="N1543" s="62"/>
      <c r="O1543" s="62"/>
      <c r="P1543" s="62"/>
      <c r="Q1543" s="62"/>
      <c r="R1543" s="62"/>
    </row>
    <row r="1544" spans="1:18" s="3" customFormat="1" ht="26.4">
      <c r="A1544" s="16" t="s">
        <v>37</v>
      </c>
      <c r="B1544" s="14">
        <v>793</v>
      </c>
      <c r="C1544" s="15" t="s">
        <v>18</v>
      </c>
      <c r="D1544" s="15" t="s">
        <v>53</v>
      </c>
      <c r="E1544" s="15" t="s">
        <v>1060</v>
      </c>
      <c r="F1544" s="15" t="s">
        <v>38</v>
      </c>
      <c r="G1544" s="70">
        <f>175000-151370.24</f>
        <v>23629.760000000009</v>
      </c>
      <c r="H1544" s="70">
        <v>175001.3</v>
      </c>
      <c r="I1544" s="70">
        <v>175001.24</v>
      </c>
      <c r="J1544" s="70"/>
      <c r="K1544" s="118"/>
      <c r="L1544" s="62"/>
      <c r="M1544" s="62"/>
      <c r="N1544" s="62"/>
      <c r="O1544" s="62"/>
      <c r="P1544" s="62"/>
      <c r="Q1544" s="62"/>
      <c r="R1544" s="62"/>
    </row>
    <row r="1545" spans="1:18" ht="37.5" customHeight="1">
      <c r="A1545" s="327" t="s">
        <v>322</v>
      </c>
      <c r="B1545" s="14">
        <v>793</v>
      </c>
      <c r="C1545" s="15" t="s">
        <v>18</v>
      </c>
      <c r="D1545" s="15" t="s">
        <v>53</v>
      </c>
      <c r="E1545" s="15" t="s">
        <v>241</v>
      </c>
      <c r="F1545" s="15"/>
      <c r="G1545" s="70">
        <f>G1546+G1548</f>
        <v>435301.86000000004</v>
      </c>
      <c r="H1545" s="70">
        <f>H1546+H1548</f>
        <v>455226.77</v>
      </c>
      <c r="I1545" s="70">
        <f>I1546+I1548</f>
        <v>471578.41</v>
      </c>
      <c r="J1545" s="70">
        <f>J1524+J1535+J1542</f>
        <v>8754308.7100000009</v>
      </c>
      <c r="K1545" s="70">
        <f>K1524+K1535+K1542</f>
        <v>9064989.8599999994</v>
      </c>
      <c r="L1545" s="69"/>
      <c r="M1545" s="69"/>
      <c r="N1545" s="69"/>
      <c r="O1545" s="69"/>
      <c r="P1545" s="69"/>
      <c r="Q1545" s="69"/>
      <c r="R1545" s="69"/>
    </row>
    <row r="1546" spans="1:18" s="3" customFormat="1" ht="52.8">
      <c r="A1546" s="347" t="s">
        <v>312</v>
      </c>
      <c r="B1546" s="356">
        <v>793</v>
      </c>
      <c r="C1546" s="357" t="s">
        <v>18</v>
      </c>
      <c r="D1546" s="357" t="s">
        <v>53</v>
      </c>
      <c r="E1546" s="357" t="s">
        <v>241</v>
      </c>
      <c r="F1546" s="357" t="s">
        <v>57</v>
      </c>
      <c r="G1546" s="358">
        <f>G1547</f>
        <v>404284.09</v>
      </c>
      <c r="H1546" s="358">
        <f>H1547</f>
        <v>433999</v>
      </c>
      <c r="I1546" s="358">
        <f>I1547</f>
        <v>436578.8</v>
      </c>
      <c r="J1546" s="172">
        <f>H1524+H1532+H1540-J1545</f>
        <v>0</v>
      </c>
      <c r="K1546" s="63">
        <f>I1524+I1532+I1540-K1545</f>
        <v>0</v>
      </c>
      <c r="L1546" s="62"/>
      <c r="M1546" s="62"/>
      <c r="N1546" s="62"/>
      <c r="O1546" s="62"/>
      <c r="P1546" s="62"/>
      <c r="Q1546" s="62"/>
      <c r="R1546" s="62"/>
    </row>
    <row r="1547" spans="1:18" s="3" customFormat="1" ht="26.4">
      <c r="A1547" s="16" t="s">
        <v>55</v>
      </c>
      <c r="B1547" s="14">
        <v>793</v>
      </c>
      <c r="C1547" s="15" t="s">
        <v>18</v>
      </c>
      <c r="D1547" s="15" t="s">
        <v>53</v>
      </c>
      <c r="E1547" s="15" t="s">
        <v>241</v>
      </c>
      <c r="F1547" s="15" t="s">
        <v>58</v>
      </c>
      <c r="G1547" s="70">
        <f>396473+7811.09</f>
        <v>404284.09</v>
      </c>
      <c r="H1547" s="70">
        <v>433999</v>
      </c>
      <c r="I1547" s="70">
        <f>493821-57242.2</f>
        <v>436578.8</v>
      </c>
      <c r="J1547" s="172"/>
      <c r="K1547" s="62"/>
      <c r="L1547" s="62"/>
      <c r="M1547" s="62"/>
      <c r="N1547" s="62"/>
      <c r="O1547" s="62"/>
      <c r="P1547" s="62"/>
      <c r="Q1547" s="62"/>
      <c r="R1547" s="62"/>
    </row>
    <row r="1548" spans="1:18" ht="19.5" customHeight="1">
      <c r="A1548" s="16" t="s">
        <v>316</v>
      </c>
      <c r="B1548" s="14">
        <v>793</v>
      </c>
      <c r="C1548" s="15" t="s">
        <v>18</v>
      </c>
      <c r="D1548" s="15" t="s">
        <v>53</v>
      </c>
      <c r="E1548" s="15" t="s">
        <v>241</v>
      </c>
      <c r="F1548" s="15" t="s">
        <v>36</v>
      </c>
      <c r="G1548" s="70">
        <f>G1549</f>
        <v>31017.77</v>
      </c>
      <c r="H1548" s="70">
        <f>H1549</f>
        <v>21227.769999999997</v>
      </c>
      <c r="I1548" s="70">
        <f>I1549</f>
        <v>34999.61</v>
      </c>
      <c r="J1548" s="172"/>
      <c r="K1548" s="69"/>
      <c r="L1548" s="69"/>
      <c r="M1548" s="69"/>
      <c r="N1548" s="69"/>
      <c r="O1548" s="69"/>
      <c r="P1548" s="69"/>
      <c r="Q1548" s="69"/>
      <c r="R1548" s="69"/>
    </row>
    <row r="1549" spans="1:18" ht="25.5" customHeight="1">
      <c r="A1549" s="16" t="s">
        <v>37</v>
      </c>
      <c r="B1549" s="14">
        <v>793</v>
      </c>
      <c r="C1549" s="15" t="s">
        <v>18</v>
      </c>
      <c r="D1549" s="15" t="s">
        <v>53</v>
      </c>
      <c r="E1549" s="15" t="s">
        <v>241</v>
      </c>
      <c r="F1549" s="15" t="s">
        <v>38</v>
      </c>
      <c r="G1549" s="70">
        <f>34963.97+3864.89-7811.09</f>
        <v>31017.77</v>
      </c>
      <c r="H1549" s="70">
        <f>34999.64-13771.87</f>
        <v>21227.769999999997</v>
      </c>
      <c r="I1549" s="70">
        <v>34999.61</v>
      </c>
      <c r="J1549" s="172"/>
      <c r="K1549" s="69"/>
      <c r="L1549" s="69"/>
      <c r="M1549" s="69"/>
      <c r="N1549" s="69"/>
      <c r="O1549" s="69"/>
      <c r="P1549" s="69"/>
      <c r="Q1549" s="69"/>
      <c r="R1549" s="69"/>
    </row>
    <row r="1550" spans="1:18" s="46" customFormat="1" ht="56.25" customHeight="1">
      <c r="A1550" s="326" t="s">
        <v>323</v>
      </c>
      <c r="B1550" s="14">
        <v>793</v>
      </c>
      <c r="C1550" s="15" t="s">
        <v>18</v>
      </c>
      <c r="D1550" s="15" t="s">
        <v>53</v>
      </c>
      <c r="E1550" s="15" t="s">
        <v>373</v>
      </c>
      <c r="F1550" s="15"/>
      <c r="G1550" s="70">
        <f t="shared" ref="G1550:I1550" si="390">G1551</f>
        <v>14000</v>
      </c>
      <c r="H1550" s="70">
        <f t="shared" si="390"/>
        <v>14000</v>
      </c>
      <c r="I1550" s="70">
        <f t="shared" si="390"/>
        <v>14000</v>
      </c>
      <c r="J1550" s="172"/>
      <c r="K1550" s="58"/>
      <c r="L1550" s="58"/>
      <c r="M1550" s="58"/>
      <c r="N1550" s="58"/>
      <c r="O1550" s="58"/>
      <c r="P1550" s="58"/>
      <c r="Q1550" s="58"/>
      <c r="R1550" s="58"/>
    </row>
    <row r="1551" spans="1:18" s="46" customFormat="1">
      <c r="A1551" s="16" t="s">
        <v>316</v>
      </c>
      <c r="B1551" s="14">
        <v>793</v>
      </c>
      <c r="C1551" s="15" t="s">
        <v>18</v>
      </c>
      <c r="D1551" s="15" t="s">
        <v>53</v>
      </c>
      <c r="E1551" s="15" t="s">
        <v>373</v>
      </c>
      <c r="F1551" s="15" t="s">
        <v>36</v>
      </c>
      <c r="G1551" s="70">
        <f>G1552</f>
        <v>14000</v>
      </c>
      <c r="H1551" s="70">
        <f>H1552</f>
        <v>14000</v>
      </c>
      <c r="I1551" s="70">
        <f>I1552</f>
        <v>14000</v>
      </c>
      <c r="J1551" s="172"/>
      <c r="K1551" s="58"/>
      <c r="L1551" s="58"/>
      <c r="M1551" s="58"/>
      <c r="N1551" s="58"/>
      <c r="O1551" s="58"/>
      <c r="P1551" s="58"/>
      <c r="Q1551" s="58"/>
      <c r="R1551" s="58"/>
    </row>
    <row r="1552" spans="1:18" s="46" customFormat="1" ht="26.4">
      <c r="A1552" s="16" t="s">
        <v>37</v>
      </c>
      <c r="B1552" s="14">
        <v>793</v>
      </c>
      <c r="C1552" s="15" t="s">
        <v>18</v>
      </c>
      <c r="D1552" s="15" t="s">
        <v>53</v>
      </c>
      <c r="E1552" s="15" t="s">
        <v>373</v>
      </c>
      <c r="F1552" s="15" t="s">
        <v>38</v>
      </c>
      <c r="G1552" s="70">
        <v>14000</v>
      </c>
      <c r="H1552" s="70">
        <v>14000</v>
      </c>
      <c r="I1552" s="70">
        <v>14000</v>
      </c>
      <c r="J1552" s="172"/>
      <c r="K1552" s="58"/>
      <c r="L1552" s="58"/>
      <c r="M1552" s="58"/>
      <c r="N1552" s="58"/>
      <c r="O1552" s="58"/>
      <c r="P1552" s="58"/>
      <c r="Q1552" s="58"/>
      <c r="R1552" s="58"/>
    </row>
    <row r="1553" spans="1:20" s="46" customFormat="1" ht="66.75" hidden="1" customHeight="1">
      <c r="A1553" s="326"/>
      <c r="B1553" s="14"/>
      <c r="C1553" s="15"/>
      <c r="D1553" s="15"/>
      <c r="E1553" s="15"/>
      <c r="F1553" s="15"/>
      <c r="G1553" s="70"/>
      <c r="H1553" s="70"/>
      <c r="I1553" s="70"/>
      <c r="J1553" s="172"/>
      <c r="K1553" s="58"/>
      <c r="L1553" s="58"/>
      <c r="M1553" s="58"/>
      <c r="N1553" s="58"/>
      <c r="O1553" s="58"/>
      <c r="P1553" s="58"/>
      <c r="Q1553" s="58"/>
      <c r="R1553" s="58"/>
    </row>
    <row r="1554" spans="1:20" s="46" customFormat="1" hidden="1">
      <c r="A1554" s="16"/>
      <c r="B1554" s="14"/>
      <c r="C1554" s="15"/>
      <c r="D1554" s="15"/>
      <c r="E1554" s="15"/>
      <c r="F1554" s="15"/>
      <c r="G1554" s="70"/>
      <c r="H1554" s="70"/>
      <c r="I1554" s="70"/>
      <c r="J1554" s="172"/>
      <c r="K1554" s="58"/>
      <c r="L1554" s="58"/>
      <c r="M1554" s="58"/>
      <c r="N1554" s="58"/>
      <c r="O1554" s="58"/>
      <c r="P1554" s="58"/>
      <c r="Q1554" s="58"/>
      <c r="R1554" s="58"/>
    </row>
    <row r="1555" spans="1:20" s="46" customFormat="1" hidden="1">
      <c r="A1555" s="16"/>
      <c r="B1555" s="14"/>
      <c r="C1555" s="15"/>
      <c r="D1555" s="15"/>
      <c r="E1555" s="15"/>
      <c r="F1555" s="15"/>
      <c r="G1555" s="70"/>
      <c r="H1555" s="70"/>
      <c r="I1555" s="70"/>
      <c r="J1555" s="172"/>
      <c r="K1555" s="58"/>
      <c r="L1555" s="58"/>
      <c r="M1555" s="58"/>
      <c r="N1555" s="58"/>
      <c r="O1555" s="58"/>
      <c r="P1555" s="58"/>
      <c r="Q1555" s="58"/>
      <c r="R1555" s="58"/>
    </row>
    <row r="1556" spans="1:20" s="46" customFormat="1" ht="66.75" hidden="1" customHeight="1">
      <c r="A1556" s="326"/>
      <c r="B1556" s="14"/>
      <c r="C1556" s="15"/>
      <c r="D1556" s="15"/>
      <c r="E1556" s="15"/>
      <c r="F1556" s="15"/>
      <c r="G1556" s="70"/>
      <c r="H1556" s="70"/>
      <c r="I1556" s="70"/>
      <c r="J1556" s="172"/>
      <c r="K1556" s="58"/>
      <c r="L1556" s="58"/>
      <c r="M1556" s="58"/>
      <c r="N1556" s="58"/>
      <c r="O1556" s="58"/>
      <c r="P1556" s="58"/>
      <c r="Q1556" s="58"/>
      <c r="R1556" s="58"/>
    </row>
    <row r="1557" spans="1:20" s="46" customFormat="1" hidden="1">
      <c r="A1557" s="16"/>
      <c r="B1557" s="14"/>
      <c r="C1557" s="15"/>
      <c r="D1557" s="15"/>
      <c r="E1557" s="15"/>
      <c r="F1557" s="15"/>
      <c r="G1557" s="70"/>
      <c r="H1557" s="70"/>
      <c r="I1557" s="70"/>
      <c r="J1557" s="172"/>
      <c r="K1557" s="58"/>
      <c r="L1557" s="58"/>
      <c r="M1557" s="58"/>
      <c r="N1557" s="58"/>
      <c r="O1557" s="58"/>
      <c r="P1557" s="58"/>
      <c r="Q1557" s="58"/>
      <c r="R1557" s="58"/>
    </row>
    <row r="1558" spans="1:20" s="46" customFormat="1" hidden="1">
      <c r="A1558" s="16"/>
      <c r="B1558" s="14"/>
      <c r="C1558" s="15"/>
      <c r="D1558" s="15"/>
      <c r="E1558" s="15"/>
      <c r="F1558" s="15"/>
      <c r="G1558" s="70"/>
      <c r="H1558" s="70"/>
      <c r="I1558" s="70"/>
      <c r="J1558" s="172"/>
      <c r="K1558" s="58"/>
      <c r="L1558" s="58"/>
      <c r="M1558" s="58"/>
      <c r="N1558" s="58"/>
      <c r="O1558" s="58"/>
      <c r="P1558" s="58"/>
      <c r="Q1558" s="58"/>
      <c r="R1558" s="58"/>
    </row>
    <row r="1559" spans="1:20" s="46" customFormat="1" ht="102" hidden="1" customHeight="1">
      <c r="A1559" s="16" t="s">
        <v>895</v>
      </c>
      <c r="B1559" s="14">
        <v>793</v>
      </c>
      <c r="C1559" s="15" t="s">
        <v>18</v>
      </c>
      <c r="D1559" s="15" t="s">
        <v>53</v>
      </c>
      <c r="E1559" s="15" t="s">
        <v>894</v>
      </c>
      <c r="F1559" s="15"/>
      <c r="G1559" s="70">
        <f t="shared" ref="G1559:I1560" si="391">G1560</f>
        <v>0</v>
      </c>
      <c r="H1559" s="70">
        <f t="shared" si="391"/>
        <v>0</v>
      </c>
      <c r="I1559" s="70">
        <f t="shared" si="391"/>
        <v>0</v>
      </c>
      <c r="J1559" s="172"/>
      <c r="K1559" s="58"/>
      <c r="L1559" s="58"/>
      <c r="M1559" s="58"/>
      <c r="N1559" s="58"/>
      <c r="O1559" s="58"/>
      <c r="P1559" s="58"/>
      <c r="Q1559" s="58"/>
      <c r="R1559" s="58"/>
    </row>
    <row r="1560" spans="1:20" s="46" customFormat="1" ht="27" hidden="1" customHeight="1">
      <c r="A1560" s="16" t="s">
        <v>316</v>
      </c>
      <c r="B1560" s="14">
        <v>793</v>
      </c>
      <c r="C1560" s="15" t="s">
        <v>18</v>
      </c>
      <c r="D1560" s="15" t="s">
        <v>53</v>
      </c>
      <c r="E1560" s="15" t="s">
        <v>894</v>
      </c>
      <c r="F1560" s="15" t="s">
        <v>36</v>
      </c>
      <c r="G1560" s="70">
        <f t="shared" si="391"/>
        <v>0</v>
      </c>
      <c r="H1560" s="70">
        <f t="shared" si="391"/>
        <v>0</v>
      </c>
      <c r="I1560" s="70">
        <f t="shared" si="391"/>
        <v>0</v>
      </c>
      <c r="J1560" s="172"/>
      <c r="K1560" s="58"/>
      <c r="L1560" s="58"/>
      <c r="M1560" s="58"/>
      <c r="N1560" s="58"/>
      <c r="O1560" s="58"/>
      <c r="P1560" s="58"/>
      <c r="Q1560" s="58"/>
      <c r="R1560" s="58"/>
    </row>
    <row r="1561" spans="1:20" s="46" customFormat="1" ht="26.4" hidden="1">
      <c r="A1561" s="16" t="s">
        <v>37</v>
      </c>
      <c r="B1561" s="14">
        <v>793</v>
      </c>
      <c r="C1561" s="15" t="s">
        <v>18</v>
      </c>
      <c r="D1561" s="15" t="s">
        <v>53</v>
      </c>
      <c r="E1561" s="15" t="s">
        <v>894</v>
      </c>
      <c r="F1561" s="15" t="s">
        <v>38</v>
      </c>
      <c r="G1561" s="70"/>
      <c r="H1561" s="70"/>
      <c r="I1561" s="70"/>
      <c r="J1561" s="172"/>
      <c r="K1561" s="58"/>
      <c r="L1561" s="58"/>
      <c r="M1561" s="58"/>
      <c r="N1561" s="58"/>
      <c r="O1561" s="58"/>
      <c r="P1561" s="58"/>
      <c r="Q1561" s="58"/>
      <c r="R1561" s="58"/>
    </row>
    <row r="1562" spans="1:20" s="146" customFormat="1" ht="26.25" customHeight="1">
      <c r="A1562" s="82" t="s">
        <v>158</v>
      </c>
      <c r="B1562" s="145">
        <v>793</v>
      </c>
      <c r="C1562" s="15" t="s">
        <v>18</v>
      </c>
      <c r="D1562" s="15" t="s">
        <v>53</v>
      </c>
      <c r="E1562" s="143" t="s">
        <v>204</v>
      </c>
      <c r="F1562" s="84"/>
      <c r="G1562" s="87">
        <f>G1563</f>
        <v>883264.87999999989</v>
      </c>
      <c r="H1562" s="87">
        <f t="shared" ref="H1562:I1562" si="392">H1568</f>
        <v>0</v>
      </c>
      <c r="I1562" s="87">
        <f t="shared" si="392"/>
        <v>0</v>
      </c>
      <c r="J1562" s="148">
        <v>1487719</v>
      </c>
      <c r="P1562" s="148"/>
      <c r="Q1562" s="148"/>
      <c r="R1562" s="148"/>
      <c r="S1562" s="148"/>
      <c r="T1562" s="148"/>
    </row>
    <row r="1563" spans="1:20" s="90" customFormat="1" ht="39" customHeight="1">
      <c r="A1563" s="82" t="s">
        <v>1271</v>
      </c>
      <c r="B1563" s="145">
        <v>793</v>
      </c>
      <c r="C1563" s="15" t="s">
        <v>18</v>
      </c>
      <c r="D1563" s="15" t="s">
        <v>53</v>
      </c>
      <c r="E1563" s="84" t="s">
        <v>1274</v>
      </c>
      <c r="F1563" s="84"/>
      <c r="G1563" s="87">
        <f>G1566+G1568+G1570</f>
        <v>883264.87999999989</v>
      </c>
      <c r="H1563" s="87">
        <f t="shared" ref="H1563:I1563" si="393">H1564+H1568</f>
        <v>0</v>
      </c>
      <c r="I1563" s="87">
        <f t="shared" si="393"/>
        <v>0</v>
      </c>
      <c r="J1563" s="123"/>
      <c r="P1563" s="123"/>
      <c r="Q1563" s="123"/>
      <c r="R1563" s="123"/>
      <c r="S1563" s="123"/>
      <c r="T1563" s="123"/>
    </row>
    <row r="1564" spans="1:20" s="90" customFormat="1" ht="29.25" hidden="1" customHeight="1">
      <c r="A1564" s="16" t="s">
        <v>316</v>
      </c>
      <c r="B1564" s="84" t="s">
        <v>92</v>
      </c>
      <c r="C1564" s="15" t="s">
        <v>18</v>
      </c>
      <c r="D1564" s="15" t="s">
        <v>53</v>
      </c>
      <c r="E1564" s="84" t="s">
        <v>205</v>
      </c>
      <c r="F1564" s="84" t="s">
        <v>36</v>
      </c>
      <c r="G1564" s="87">
        <f>G1565</f>
        <v>0</v>
      </c>
      <c r="H1564" s="87"/>
      <c r="I1564" s="87"/>
      <c r="J1564" s="123"/>
      <c r="P1564" s="123"/>
      <c r="Q1564" s="123"/>
      <c r="R1564" s="123"/>
      <c r="S1564" s="123"/>
      <c r="T1564" s="123"/>
    </row>
    <row r="1565" spans="1:20" s="90" customFormat="1" ht="36.75" hidden="1" customHeight="1">
      <c r="A1565" s="16" t="s">
        <v>37</v>
      </c>
      <c r="B1565" s="84" t="s">
        <v>92</v>
      </c>
      <c r="C1565" s="15" t="s">
        <v>18</v>
      </c>
      <c r="D1565" s="15" t="s">
        <v>53</v>
      </c>
      <c r="E1565" s="84" t="s">
        <v>205</v>
      </c>
      <c r="F1565" s="84" t="s">
        <v>38</v>
      </c>
      <c r="G1565" s="87">
        <f>прил4!G2860</f>
        <v>0</v>
      </c>
      <c r="H1565" s="87"/>
      <c r="I1565" s="87"/>
      <c r="J1565" s="123"/>
      <c r="P1565" s="123"/>
      <c r="Q1565" s="123"/>
      <c r="R1565" s="123"/>
      <c r="S1565" s="123"/>
      <c r="T1565" s="123"/>
    </row>
    <row r="1566" spans="1:20" s="3" customFormat="1" ht="63" customHeight="1">
      <c r="A1566" s="347" t="s">
        <v>312</v>
      </c>
      <c r="B1566" s="356">
        <v>793</v>
      </c>
      <c r="C1566" s="357" t="s">
        <v>18</v>
      </c>
      <c r="D1566" s="357" t="s">
        <v>53</v>
      </c>
      <c r="E1566" s="84" t="s">
        <v>1274</v>
      </c>
      <c r="F1566" s="357" t="s">
        <v>57</v>
      </c>
      <c r="G1566" s="358">
        <f>G1567</f>
        <v>273695.22000000003</v>
      </c>
      <c r="H1566" s="358">
        <f>H1567</f>
        <v>0</v>
      </c>
      <c r="I1566" s="358">
        <f>I1567</f>
        <v>0</v>
      </c>
      <c r="J1566" s="172">
        <f>H1544+H1552+H1560-J1565</f>
        <v>189001.3</v>
      </c>
      <c r="K1566" s="63">
        <f>I1544+I1552+I1560-K1565</f>
        <v>189001.24</v>
      </c>
      <c r="L1566" s="62"/>
      <c r="M1566" s="62"/>
      <c r="N1566" s="62"/>
      <c r="O1566" s="62"/>
      <c r="P1566" s="62"/>
      <c r="Q1566" s="62"/>
      <c r="R1566" s="62"/>
    </row>
    <row r="1567" spans="1:20" s="3" customFormat="1" ht="30.75" customHeight="1">
      <c r="A1567" s="16" t="s">
        <v>55</v>
      </c>
      <c r="B1567" s="14">
        <v>793</v>
      </c>
      <c r="C1567" s="15" t="s">
        <v>18</v>
      </c>
      <c r="D1567" s="15" t="s">
        <v>53</v>
      </c>
      <c r="E1567" s="84" t="s">
        <v>1274</v>
      </c>
      <c r="F1567" s="15" t="s">
        <v>58</v>
      </c>
      <c r="G1567" s="70">
        <f>279223.7-5528.48</f>
        <v>273695.22000000003</v>
      </c>
      <c r="H1567" s="70">
        <v>0</v>
      </c>
      <c r="I1567" s="70">
        <v>0</v>
      </c>
      <c r="J1567" s="172"/>
      <c r="K1567" s="62"/>
      <c r="L1567" s="62"/>
      <c r="M1567" s="62"/>
      <c r="N1567" s="62"/>
      <c r="O1567" s="62"/>
      <c r="P1567" s="62"/>
      <c r="Q1567" s="62"/>
      <c r="R1567" s="62"/>
    </row>
    <row r="1568" spans="1:20" s="90" customFormat="1">
      <c r="A1568" s="16" t="s">
        <v>316</v>
      </c>
      <c r="B1568" s="145">
        <v>793</v>
      </c>
      <c r="C1568" s="15" t="s">
        <v>18</v>
      </c>
      <c r="D1568" s="15" t="s">
        <v>53</v>
      </c>
      <c r="E1568" s="84" t="s">
        <v>1274</v>
      </c>
      <c r="F1568" s="84" t="s">
        <v>36</v>
      </c>
      <c r="G1568" s="87">
        <f t="shared" ref="G1568:I1568" si="394">G1569</f>
        <v>603317.65999999992</v>
      </c>
      <c r="H1568" s="87">
        <f t="shared" si="394"/>
        <v>0</v>
      </c>
      <c r="I1568" s="87">
        <f t="shared" si="394"/>
        <v>0</v>
      </c>
      <c r="J1568" s="123"/>
      <c r="P1568" s="123"/>
      <c r="Q1568" s="123"/>
      <c r="R1568" s="123"/>
      <c r="S1568" s="123"/>
      <c r="T1568" s="123"/>
    </row>
    <row r="1569" spans="1:20" s="90" customFormat="1" ht="32.25" customHeight="1">
      <c r="A1569" s="16" t="s">
        <v>37</v>
      </c>
      <c r="B1569" s="145">
        <v>793</v>
      </c>
      <c r="C1569" s="15" t="s">
        <v>18</v>
      </c>
      <c r="D1569" s="15" t="s">
        <v>53</v>
      </c>
      <c r="E1569" s="84" t="s">
        <v>1274</v>
      </c>
      <c r="F1569" s="84" t="s">
        <v>38</v>
      </c>
      <c r="G1569" s="87">
        <f>610772.22-979.39-6475.17</f>
        <v>603317.65999999992</v>
      </c>
      <c r="H1569" s="87">
        <f>прил4!H961</f>
        <v>0</v>
      </c>
      <c r="I1569" s="87">
        <f>прил4!I961</f>
        <v>0</v>
      </c>
      <c r="J1569" s="123"/>
      <c r="P1569" s="123"/>
      <c r="Q1569" s="123"/>
      <c r="R1569" s="123"/>
      <c r="S1569" s="123"/>
      <c r="T1569" s="123"/>
    </row>
    <row r="1570" spans="1:20" s="46" customFormat="1" ht="17.25" customHeight="1">
      <c r="A1570" s="16" t="s">
        <v>62</v>
      </c>
      <c r="B1570" s="14">
        <v>793</v>
      </c>
      <c r="C1570" s="15" t="s">
        <v>18</v>
      </c>
      <c r="D1570" s="15" t="s">
        <v>53</v>
      </c>
      <c r="E1570" s="84" t="s">
        <v>1274</v>
      </c>
      <c r="F1570" s="15" t="s">
        <v>63</v>
      </c>
      <c r="G1570" s="70">
        <f>G1571</f>
        <v>6252</v>
      </c>
      <c r="H1570" s="70">
        <v>0</v>
      </c>
      <c r="I1570" s="70">
        <v>0</v>
      </c>
      <c r="J1570" s="172"/>
      <c r="K1570" s="58"/>
      <c r="L1570" s="58"/>
      <c r="M1570" s="58"/>
      <c r="N1570" s="58"/>
      <c r="O1570" s="58"/>
      <c r="P1570" s="58"/>
      <c r="Q1570" s="58"/>
      <c r="R1570" s="58"/>
    </row>
    <row r="1571" spans="1:20" s="46" customFormat="1">
      <c r="A1571" s="352" t="s">
        <v>140</v>
      </c>
      <c r="B1571" s="353">
        <v>793</v>
      </c>
      <c r="C1571" s="354" t="s">
        <v>18</v>
      </c>
      <c r="D1571" s="354" t="s">
        <v>53</v>
      </c>
      <c r="E1571" s="84" t="s">
        <v>1274</v>
      </c>
      <c r="F1571" s="354" t="s">
        <v>66</v>
      </c>
      <c r="G1571" s="355">
        <v>6252</v>
      </c>
      <c r="H1571" s="355">
        <v>0</v>
      </c>
      <c r="I1571" s="355">
        <v>0</v>
      </c>
      <c r="J1571" s="172"/>
      <c r="K1571" s="58"/>
      <c r="L1571" s="58"/>
      <c r="M1571" s="58"/>
      <c r="N1571" s="58"/>
      <c r="O1571" s="58"/>
      <c r="P1571" s="58"/>
      <c r="Q1571" s="58"/>
      <c r="R1571" s="58"/>
    </row>
    <row r="1572" spans="1:20" s="46" customFormat="1">
      <c r="A1572" s="16" t="s">
        <v>271</v>
      </c>
      <c r="B1572" s="14">
        <v>793</v>
      </c>
      <c r="C1572" s="15" t="s">
        <v>18</v>
      </c>
      <c r="D1572" s="15" t="s">
        <v>167</v>
      </c>
      <c r="E1572" s="15"/>
      <c r="F1572" s="15"/>
      <c r="G1572" s="70">
        <f t="shared" ref="G1572:I1580" si="395">G1573</f>
        <v>7990.18</v>
      </c>
      <c r="H1572" s="70">
        <f t="shared" si="395"/>
        <v>1483.42</v>
      </c>
      <c r="I1572" s="70">
        <f t="shared" si="395"/>
        <v>1323.3000000000002</v>
      </c>
      <c r="J1572" s="172"/>
      <c r="K1572" s="58"/>
      <c r="L1572" s="58"/>
      <c r="M1572" s="58"/>
      <c r="N1572" s="58"/>
      <c r="O1572" s="58"/>
      <c r="P1572" s="58"/>
      <c r="Q1572" s="58"/>
      <c r="R1572" s="58"/>
    </row>
    <row r="1573" spans="1:20" s="46" customFormat="1">
      <c r="A1573" s="16" t="s">
        <v>272</v>
      </c>
      <c r="B1573" s="14">
        <v>793</v>
      </c>
      <c r="C1573" s="15" t="s">
        <v>18</v>
      </c>
      <c r="D1573" s="15" t="s">
        <v>167</v>
      </c>
      <c r="E1573" s="15" t="s">
        <v>273</v>
      </c>
      <c r="F1573" s="15"/>
      <c r="G1573" s="70">
        <f t="shared" si="395"/>
        <v>7990.18</v>
      </c>
      <c r="H1573" s="70">
        <f t="shared" si="395"/>
        <v>1483.42</v>
      </c>
      <c r="I1573" s="70">
        <f t="shared" si="395"/>
        <v>1323.3000000000002</v>
      </c>
      <c r="J1573" s="172"/>
      <c r="K1573" s="58"/>
      <c r="L1573" s="58"/>
      <c r="M1573" s="58"/>
      <c r="N1573" s="58"/>
      <c r="O1573" s="58"/>
      <c r="P1573" s="58"/>
      <c r="Q1573" s="58"/>
      <c r="R1573" s="58"/>
    </row>
    <row r="1574" spans="1:20" s="46" customFormat="1" ht="45.75" customHeight="1">
      <c r="A1574" s="326" t="s">
        <v>274</v>
      </c>
      <c r="B1574" s="14">
        <v>793</v>
      </c>
      <c r="C1574" s="15" t="s">
        <v>18</v>
      </c>
      <c r="D1574" s="15" t="s">
        <v>167</v>
      </c>
      <c r="E1574" s="15" t="s">
        <v>361</v>
      </c>
      <c r="F1574" s="15"/>
      <c r="G1574" s="70">
        <f t="shared" si="395"/>
        <v>7990.18</v>
      </c>
      <c r="H1574" s="70">
        <f t="shared" si="395"/>
        <v>1483.42</v>
      </c>
      <c r="I1574" s="70">
        <f t="shared" si="395"/>
        <v>1323.3000000000002</v>
      </c>
      <c r="J1574" s="172"/>
      <c r="K1574" s="58"/>
      <c r="L1574" s="58"/>
      <c r="M1574" s="58"/>
      <c r="N1574" s="58"/>
      <c r="O1574" s="58"/>
      <c r="P1574" s="58"/>
      <c r="Q1574" s="58"/>
      <c r="R1574" s="58"/>
    </row>
    <row r="1575" spans="1:20" s="46" customFormat="1" ht="27.75" customHeight="1">
      <c r="A1575" s="16" t="s">
        <v>316</v>
      </c>
      <c r="B1575" s="14">
        <v>793</v>
      </c>
      <c r="C1575" s="15" t="s">
        <v>18</v>
      </c>
      <c r="D1575" s="15" t="s">
        <v>167</v>
      </c>
      <c r="E1575" s="15" t="s">
        <v>361</v>
      </c>
      <c r="F1575" s="15" t="s">
        <v>36</v>
      </c>
      <c r="G1575" s="70">
        <f t="shared" si="395"/>
        <v>7990.18</v>
      </c>
      <c r="H1575" s="70">
        <f t="shared" si="395"/>
        <v>1483.42</v>
      </c>
      <c r="I1575" s="70">
        <f t="shared" si="395"/>
        <v>1323.3000000000002</v>
      </c>
      <c r="J1575" s="172"/>
      <c r="K1575" s="58"/>
      <c r="L1575" s="58"/>
      <c r="M1575" s="58"/>
      <c r="N1575" s="58"/>
      <c r="O1575" s="58"/>
      <c r="P1575" s="58"/>
      <c r="Q1575" s="58"/>
      <c r="R1575" s="58"/>
    </row>
    <row r="1576" spans="1:20" s="46" customFormat="1" ht="26.4">
      <c r="A1576" s="16" t="s">
        <v>37</v>
      </c>
      <c r="B1576" s="14">
        <v>793</v>
      </c>
      <c r="C1576" s="15" t="s">
        <v>18</v>
      </c>
      <c r="D1576" s="15" t="s">
        <v>167</v>
      </c>
      <c r="E1576" s="15" t="s">
        <v>361</v>
      </c>
      <c r="F1576" s="15" t="s">
        <v>38</v>
      </c>
      <c r="G1576" s="70">
        <v>7990.18</v>
      </c>
      <c r="H1576" s="70">
        <f>3684.33-2200.91</f>
        <v>1483.42</v>
      </c>
      <c r="I1576" s="70">
        <f>3684.75-2361.45</f>
        <v>1323.3000000000002</v>
      </c>
      <c r="J1576" s="172"/>
      <c r="K1576" s="58"/>
      <c r="L1576" s="58"/>
      <c r="M1576" s="58"/>
      <c r="N1576" s="58"/>
      <c r="O1576" s="58"/>
      <c r="P1576" s="58"/>
      <c r="Q1576" s="58"/>
      <c r="R1576" s="58"/>
    </row>
    <row r="1577" spans="1:20" s="46" customFormat="1" hidden="1">
      <c r="A1577" s="16" t="s">
        <v>772</v>
      </c>
      <c r="B1577" s="14">
        <v>793</v>
      </c>
      <c r="C1577" s="15" t="s">
        <v>18</v>
      </c>
      <c r="D1577" s="15" t="s">
        <v>25</v>
      </c>
      <c r="E1577" s="15"/>
      <c r="F1577" s="15"/>
      <c r="G1577" s="70">
        <f>G1578</f>
        <v>0</v>
      </c>
      <c r="H1577" s="70">
        <f t="shared" ref="H1577:I1577" si="396">H1578</f>
        <v>0</v>
      </c>
      <c r="I1577" s="70">
        <f t="shared" si="396"/>
        <v>0</v>
      </c>
      <c r="J1577" s="172"/>
      <c r="K1577" s="58"/>
      <c r="L1577" s="58"/>
      <c r="M1577" s="58"/>
      <c r="N1577" s="58"/>
      <c r="O1577" s="58"/>
      <c r="P1577" s="58"/>
      <c r="Q1577" s="58"/>
      <c r="R1577" s="58"/>
    </row>
    <row r="1578" spans="1:20" s="46" customFormat="1" hidden="1">
      <c r="A1578" s="16" t="s">
        <v>272</v>
      </c>
      <c r="B1578" s="14">
        <v>793</v>
      </c>
      <c r="C1578" s="15" t="s">
        <v>18</v>
      </c>
      <c r="D1578" s="15" t="s">
        <v>25</v>
      </c>
      <c r="E1578" s="15" t="s">
        <v>273</v>
      </c>
      <c r="F1578" s="15"/>
      <c r="G1578" s="70">
        <f t="shared" si="395"/>
        <v>0</v>
      </c>
      <c r="H1578" s="70">
        <f t="shared" si="395"/>
        <v>0</v>
      </c>
      <c r="I1578" s="70">
        <f t="shared" si="395"/>
        <v>0</v>
      </c>
      <c r="J1578" s="172"/>
      <c r="K1578" s="58"/>
      <c r="L1578" s="58"/>
      <c r="M1578" s="58"/>
      <c r="N1578" s="58"/>
      <c r="O1578" s="58"/>
      <c r="P1578" s="58"/>
      <c r="Q1578" s="58"/>
      <c r="R1578" s="58"/>
    </row>
    <row r="1579" spans="1:20" s="46" customFormat="1" ht="48" hidden="1" customHeight="1">
      <c r="A1579" s="16" t="s">
        <v>771</v>
      </c>
      <c r="B1579" s="14">
        <v>793</v>
      </c>
      <c r="C1579" s="15" t="s">
        <v>18</v>
      </c>
      <c r="D1579" s="15" t="s">
        <v>25</v>
      </c>
      <c r="E1579" s="15" t="s">
        <v>769</v>
      </c>
      <c r="F1579" s="15"/>
      <c r="G1579" s="70">
        <f t="shared" si="395"/>
        <v>0</v>
      </c>
      <c r="H1579" s="70">
        <f t="shared" si="395"/>
        <v>0</v>
      </c>
      <c r="I1579" s="70">
        <f t="shared" si="395"/>
        <v>0</v>
      </c>
      <c r="J1579" s="172"/>
      <c r="K1579" s="58"/>
      <c r="L1579" s="58"/>
      <c r="M1579" s="58"/>
      <c r="N1579" s="58"/>
      <c r="O1579" s="58"/>
      <c r="P1579" s="58"/>
      <c r="Q1579" s="58"/>
      <c r="R1579" s="58"/>
    </row>
    <row r="1580" spans="1:20" s="46" customFormat="1" ht="29.25" hidden="1" customHeight="1">
      <c r="A1580" s="16" t="s">
        <v>62</v>
      </c>
      <c r="B1580" s="14">
        <v>793</v>
      </c>
      <c r="C1580" s="15" t="s">
        <v>18</v>
      </c>
      <c r="D1580" s="15" t="s">
        <v>25</v>
      </c>
      <c r="E1580" s="15" t="s">
        <v>769</v>
      </c>
      <c r="F1580" s="15" t="s">
        <v>63</v>
      </c>
      <c r="G1580" s="70">
        <f t="shared" si="395"/>
        <v>0</v>
      </c>
      <c r="H1580" s="70">
        <f t="shared" si="395"/>
        <v>0</v>
      </c>
      <c r="I1580" s="70">
        <f t="shared" si="395"/>
        <v>0</v>
      </c>
      <c r="J1580" s="172"/>
      <c r="K1580" s="58"/>
      <c r="L1580" s="58"/>
      <c r="M1580" s="58"/>
      <c r="N1580" s="58"/>
      <c r="O1580" s="58"/>
      <c r="P1580" s="58"/>
      <c r="Q1580" s="58"/>
      <c r="R1580" s="58"/>
    </row>
    <row r="1581" spans="1:20" s="46" customFormat="1" hidden="1">
      <c r="A1581" s="16" t="s">
        <v>770</v>
      </c>
      <c r="B1581" s="14">
        <v>793</v>
      </c>
      <c r="C1581" s="15" t="s">
        <v>18</v>
      </c>
      <c r="D1581" s="15" t="s">
        <v>25</v>
      </c>
      <c r="E1581" s="15" t="s">
        <v>769</v>
      </c>
      <c r="F1581" s="15" t="s">
        <v>768</v>
      </c>
      <c r="G1581" s="70"/>
      <c r="H1581" s="70"/>
      <c r="I1581" s="70"/>
      <c r="J1581" s="172"/>
      <c r="K1581" s="58"/>
      <c r="L1581" s="58"/>
      <c r="M1581" s="58"/>
      <c r="N1581" s="58"/>
      <c r="O1581" s="58"/>
      <c r="P1581" s="58"/>
      <c r="Q1581" s="58"/>
      <c r="R1581" s="58"/>
    </row>
    <row r="1582" spans="1:20" s="18" customFormat="1">
      <c r="A1582" s="40" t="s">
        <v>324</v>
      </c>
      <c r="B1582" s="14">
        <v>793</v>
      </c>
      <c r="C1582" s="15" t="s">
        <v>18</v>
      </c>
      <c r="D1582" s="15" t="s">
        <v>71</v>
      </c>
      <c r="E1582" s="15"/>
      <c r="F1582" s="15"/>
      <c r="G1582" s="70">
        <f t="shared" ref="G1582:I1585" si="397">G1583</f>
        <v>19477.559999999998</v>
      </c>
      <c r="H1582" s="70">
        <f t="shared" si="397"/>
        <v>1000000</v>
      </c>
      <c r="I1582" s="70">
        <f t="shared" si="397"/>
        <v>1000000</v>
      </c>
      <c r="J1582" s="172"/>
      <c r="K1582" s="180"/>
      <c r="L1582" s="180"/>
      <c r="M1582" s="180"/>
      <c r="N1582" s="180"/>
      <c r="O1582" s="180"/>
      <c r="P1582" s="180"/>
      <c r="Q1582" s="180"/>
      <c r="R1582" s="180"/>
    </row>
    <row r="1583" spans="1:20" s="28" customFormat="1" ht="24.75" customHeight="1">
      <c r="A1583" s="136" t="s">
        <v>1278</v>
      </c>
      <c r="B1583" s="14">
        <v>793</v>
      </c>
      <c r="C1583" s="15" t="s">
        <v>18</v>
      </c>
      <c r="D1583" s="15" t="s">
        <v>71</v>
      </c>
      <c r="E1583" s="15" t="s">
        <v>228</v>
      </c>
      <c r="F1583" s="39"/>
      <c r="G1583" s="70">
        <f t="shared" si="397"/>
        <v>19477.559999999998</v>
      </c>
      <c r="H1583" s="70">
        <f t="shared" si="397"/>
        <v>1000000</v>
      </c>
      <c r="I1583" s="70">
        <f t="shared" si="397"/>
        <v>1000000</v>
      </c>
      <c r="J1583" s="172"/>
      <c r="K1583" s="313"/>
      <c r="L1583" s="313"/>
      <c r="M1583" s="313"/>
      <c r="N1583" s="313"/>
      <c r="O1583" s="313"/>
      <c r="P1583" s="313"/>
      <c r="Q1583" s="313"/>
      <c r="R1583" s="313"/>
    </row>
    <row r="1584" spans="1:20">
      <c r="A1584" s="136" t="s">
        <v>1278</v>
      </c>
      <c r="B1584" s="14">
        <v>793</v>
      </c>
      <c r="C1584" s="15" t="s">
        <v>18</v>
      </c>
      <c r="D1584" s="15" t="s">
        <v>71</v>
      </c>
      <c r="E1584" s="15" t="s">
        <v>270</v>
      </c>
      <c r="F1584" s="14"/>
      <c r="G1584" s="70">
        <f t="shared" si="397"/>
        <v>19477.559999999998</v>
      </c>
      <c r="H1584" s="70">
        <f t="shared" si="397"/>
        <v>1000000</v>
      </c>
      <c r="I1584" s="70">
        <f t="shared" si="397"/>
        <v>1000000</v>
      </c>
      <c r="J1584" s="172"/>
      <c r="K1584" s="69"/>
      <c r="L1584" s="69"/>
      <c r="M1584" s="69"/>
      <c r="N1584" s="69"/>
      <c r="O1584" s="69"/>
      <c r="P1584" s="69"/>
      <c r="Q1584" s="69"/>
      <c r="R1584" s="69"/>
    </row>
    <row r="1585" spans="1:18">
      <c r="A1585" s="16" t="s">
        <v>62</v>
      </c>
      <c r="B1585" s="14">
        <v>793</v>
      </c>
      <c r="C1585" s="15" t="s">
        <v>18</v>
      </c>
      <c r="D1585" s="15" t="s">
        <v>71</v>
      </c>
      <c r="E1585" s="15" t="s">
        <v>270</v>
      </c>
      <c r="F1585" s="15" t="s">
        <v>63</v>
      </c>
      <c r="G1585" s="70">
        <f t="shared" si="397"/>
        <v>19477.559999999998</v>
      </c>
      <c r="H1585" s="70">
        <f t="shared" si="397"/>
        <v>1000000</v>
      </c>
      <c r="I1585" s="70">
        <f t="shared" si="397"/>
        <v>1000000</v>
      </c>
      <c r="J1585" s="172"/>
      <c r="K1585" s="69"/>
      <c r="L1585" s="69"/>
      <c r="M1585" s="69"/>
      <c r="N1585" s="69"/>
      <c r="O1585" s="69"/>
      <c r="P1585" s="69"/>
      <c r="Q1585" s="69"/>
      <c r="R1585" s="69"/>
    </row>
    <row r="1586" spans="1:18">
      <c r="A1586" s="16" t="s">
        <v>174</v>
      </c>
      <c r="B1586" s="14">
        <v>793</v>
      </c>
      <c r="C1586" s="15" t="s">
        <v>18</v>
      </c>
      <c r="D1586" s="15" t="s">
        <v>71</v>
      </c>
      <c r="E1586" s="15" t="s">
        <v>270</v>
      </c>
      <c r="F1586" s="15" t="s">
        <v>175</v>
      </c>
      <c r="G1586" s="70">
        <f>85477.56-66000</f>
        <v>19477.559999999998</v>
      </c>
      <c r="H1586" s="70">
        <v>1000000</v>
      </c>
      <c r="I1586" s="70">
        <v>1000000</v>
      </c>
      <c r="J1586" s="172"/>
      <c r="K1586" s="69"/>
      <c r="L1586" s="69"/>
      <c r="M1586" s="69"/>
      <c r="N1586" s="69"/>
      <c r="O1586" s="69"/>
      <c r="P1586" s="69"/>
      <c r="Q1586" s="69"/>
      <c r="R1586" s="69"/>
    </row>
    <row r="1587" spans="1:18">
      <c r="A1587" s="40" t="s">
        <v>21</v>
      </c>
      <c r="B1587" s="14">
        <v>793</v>
      </c>
      <c r="C1587" s="15" t="s">
        <v>18</v>
      </c>
      <c r="D1587" s="15" t="s">
        <v>22</v>
      </c>
      <c r="E1587" s="15"/>
      <c r="F1587" s="15"/>
      <c r="G1587" s="70">
        <f>G1603+G1676+G1691+G1641+G1634+G1707+G1687+G1592+G1711++G1672+G1588</f>
        <v>44507897.840000004</v>
      </c>
      <c r="H1587" s="70">
        <f t="shared" ref="H1587:I1587" si="398">H1603+H1676+H1691+H1641+H1634+H1707+H1687+H1592+H1711++H1672+H1588</f>
        <v>30639595.149999999</v>
      </c>
      <c r="I1587" s="70">
        <f t="shared" si="398"/>
        <v>28298924.550000001</v>
      </c>
      <c r="J1587" s="172">
        <f>G1596+G1599+G1602+G1605+G1611+G1623+G1626+G1637+G1644+G1647+G1656+G1665+G1676</f>
        <v>31421327.759999998</v>
      </c>
      <c r="K1587" s="69"/>
      <c r="L1587" s="69"/>
      <c r="M1587" s="69"/>
      <c r="N1587" s="69"/>
      <c r="O1587" s="69"/>
      <c r="P1587" s="69"/>
      <c r="Q1587" s="69"/>
      <c r="R1587" s="69"/>
    </row>
    <row r="1588" spans="1:18" s="46" customFormat="1" ht="33" customHeight="1">
      <c r="A1588" s="327" t="s">
        <v>1125</v>
      </c>
      <c r="B1588" s="14">
        <v>793</v>
      </c>
      <c r="C1588" s="15" t="s">
        <v>18</v>
      </c>
      <c r="D1588" s="15" t="s">
        <v>22</v>
      </c>
      <c r="E1588" s="15" t="s">
        <v>1414</v>
      </c>
      <c r="F1588" s="15"/>
      <c r="G1588" s="70">
        <f t="shared" ref="G1588:I1589" si="399">G1590</f>
        <v>1754559.64</v>
      </c>
      <c r="H1588" s="70">
        <f t="shared" si="399"/>
        <v>0</v>
      </c>
      <c r="I1588" s="70">
        <f t="shared" si="399"/>
        <v>0</v>
      </c>
      <c r="J1588" s="172"/>
      <c r="K1588" s="58"/>
      <c r="L1588" s="58"/>
      <c r="M1588" s="58"/>
      <c r="N1588" s="58"/>
      <c r="O1588" s="58"/>
      <c r="P1588" s="58"/>
      <c r="Q1588" s="58"/>
      <c r="R1588" s="58"/>
    </row>
    <row r="1589" spans="1:18" s="46" customFormat="1" ht="66.75" customHeight="1">
      <c r="A1589" s="326" t="s">
        <v>1443</v>
      </c>
      <c r="B1589" s="14">
        <v>793</v>
      </c>
      <c r="C1589" s="15" t="s">
        <v>18</v>
      </c>
      <c r="D1589" s="15" t="s">
        <v>22</v>
      </c>
      <c r="E1589" s="15" t="s">
        <v>1444</v>
      </c>
      <c r="F1589" s="15"/>
      <c r="G1589" s="70">
        <f t="shared" si="399"/>
        <v>1754559.64</v>
      </c>
      <c r="H1589" s="70">
        <f t="shared" si="399"/>
        <v>0</v>
      </c>
      <c r="I1589" s="70">
        <f t="shared" si="399"/>
        <v>0</v>
      </c>
      <c r="J1589" s="172"/>
      <c r="K1589" s="58"/>
      <c r="L1589" s="58"/>
      <c r="M1589" s="58"/>
      <c r="N1589" s="58"/>
      <c r="O1589" s="58"/>
      <c r="P1589" s="58"/>
      <c r="Q1589" s="58"/>
      <c r="R1589" s="58"/>
    </row>
    <row r="1590" spans="1:18" s="46" customFormat="1">
      <c r="A1590" s="16" t="s">
        <v>316</v>
      </c>
      <c r="B1590" s="14">
        <v>793</v>
      </c>
      <c r="C1590" s="15" t="s">
        <v>18</v>
      </c>
      <c r="D1590" s="15" t="s">
        <v>22</v>
      </c>
      <c r="E1590" s="15" t="s">
        <v>1444</v>
      </c>
      <c r="F1590" s="15" t="s">
        <v>36</v>
      </c>
      <c r="G1590" s="70">
        <f>G1591</f>
        <v>1754559.64</v>
      </c>
      <c r="H1590" s="70">
        <f>H1591</f>
        <v>0</v>
      </c>
      <c r="I1590" s="70">
        <f>I1591</f>
        <v>0</v>
      </c>
      <c r="J1590" s="172"/>
      <c r="K1590" s="58"/>
      <c r="L1590" s="58"/>
      <c r="M1590" s="58"/>
      <c r="N1590" s="58"/>
      <c r="O1590" s="58"/>
      <c r="P1590" s="58"/>
      <c r="Q1590" s="58"/>
      <c r="R1590" s="58"/>
    </row>
    <row r="1591" spans="1:18" s="46" customFormat="1" ht="26.4">
      <c r="A1591" s="16" t="s">
        <v>37</v>
      </c>
      <c r="B1591" s="14">
        <v>793</v>
      </c>
      <c r="C1591" s="15" t="s">
        <v>18</v>
      </c>
      <c r="D1591" s="15" t="s">
        <v>22</v>
      </c>
      <c r="E1591" s="15" t="s">
        <v>1444</v>
      </c>
      <c r="F1591" s="15" t="s">
        <v>38</v>
      </c>
      <c r="G1591" s="70">
        <v>1754559.64</v>
      </c>
      <c r="H1591" s="70">
        <v>0</v>
      </c>
      <c r="I1591" s="70">
        <v>0</v>
      </c>
      <c r="J1591" s="172"/>
      <c r="K1591" s="58"/>
      <c r="L1591" s="58"/>
      <c r="M1591" s="58"/>
      <c r="N1591" s="58"/>
      <c r="O1591" s="58"/>
      <c r="P1591" s="58"/>
      <c r="Q1591" s="58"/>
      <c r="R1591" s="58"/>
    </row>
    <row r="1592" spans="1:18" s="46" customFormat="1" ht="26.4">
      <c r="A1592" s="16" t="s">
        <v>311</v>
      </c>
      <c r="B1592" s="14">
        <v>793</v>
      </c>
      <c r="C1592" s="15" t="s">
        <v>18</v>
      </c>
      <c r="D1592" s="15" t="s">
        <v>22</v>
      </c>
      <c r="E1592" s="15" t="s">
        <v>234</v>
      </c>
      <c r="F1592" s="15"/>
      <c r="G1592" s="70">
        <f>G1593</f>
        <v>2696442.76</v>
      </c>
      <c r="H1592" s="70">
        <f>H1593</f>
        <v>0</v>
      </c>
      <c r="I1592" s="70">
        <f>I1593</f>
        <v>0</v>
      </c>
      <c r="J1592" s="172"/>
      <c r="K1592" s="58"/>
      <c r="L1592" s="58"/>
      <c r="M1592" s="58"/>
      <c r="N1592" s="58"/>
      <c r="O1592" s="58"/>
      <c r="P1592" s="58"/>
      <c r="Q1592" s="58"/>
      <c r="R1592" s="58"/>
    </row>
    <row r="1593" spans="1:18" s="46" customFormat="1">
      <c r="A1593" s="56" t="s">
        <v>317</v>
      </c>
      <c r="B1593" s="14">
        <v>793</v>
      </c>
      <c r="C1593" s="15" t="s">
        <v>18</v>
      </c>
      <c r="D1593" s="15" t="s">
        <v>22</v>
      </c>
      <c r="E1593" s="15" t="s">
        <v>239</v>
      </c>
      <c r="F1593" s="15"/>
      <c r="G1593" s="70">
        <f>G1594+G1597+G1600</f>
        <v>2696442.76</v>
      </c>
      <c r="H1593" s="70">
        <f>H1594+H1597</f>
        <v>0</v>
      </c>
      <c r="I1593" s="70">
        <f>I1594+I1597</f>
        <v>0</v>
      </c>
      <c r="J1593" s="172"/>
      <c r="K1593" s="58"/>
      <c r="L1593" s="58"/>
      <c r="M1593" s="58"/>
      <c r="N1593" s="58"/>
      <c r="O1593" s="58"/>
      <c r="P1593" s="58"/>
      <c r="Q1593" s="58"/>
      <c r="R1593" s="58"/>
    </row>
    <row r="1594" spans="1:18" s="46" customFormat="1" ht="66.75" hidden="1" customHeight="1">
      <c r="A1594" s="326" t="s">
        <v>1118</v>
      </c>
      <c r="B1594" s="14">
        <v>793</v>
      </c>
      <c r="C1594" s="15" t="s">
        <v>18</v>
      </c>
      <c r="D1594" s="15" t="s">
        <v>22</v>
      </c>
      <c r="E1594" s="15" t="s">
        <v>1117</v>
      </c>
      <c r="F1594" s="15"/>
      <c r="G1594" s="70">
        <f t="shared" ref="G1594:I1594" si="400">G1595</f>
        <v>0</v>
      </c>
      <c r="H1594" s="70">
        <f t="shared" si="400"/>
        <v>0</v>
      </c>
      <c r="I1594" s="70">
        <f t="shared" si="400"/>
        <v>0</v>
      </c>
      <c r="J1594" s="172"/>
      <c r="K1594" s="58"/>
      <c r="L1594" s="58"/>
      <c r="M1594" s="58"/>
      <c r="N1594" s="58"/>
      <c r="O1594" s="58"/>
      <c r="P1594" s="58"/>
      <c r="Q1594" s="58"/>
      <c r="R1594" s="58"/>
    </row>
    <row r="1595" spans="1:18" s="46" customFormat="1" hidden="1">
      <c r="A1595" s="16" t="s">
        <v>144</v>
      </c>
      <c r="B1595" s="14">
        <v>793</v>
      </c>
      <c r="C1595" s="15" t="s">
        <v>18</v>
      </c>
      <c r="D1595" s="15" t="s">
        <v>22</v>
      </c>
      <c r="E1595" s="15" t="s">
        <v>1117</v>
      </c>
      <c r="F1595" s="15" t="s">
        <v>145</v>
      </c>
      <c r="G1595" s="70">
        <f>G1596</f>
        <v>0</v>
      </c>
      <c r="H1595" s="70">
        <f>H1596</f>
        <v>0</v>
      </c>
      <c r="I1595" s="70">
        <f>I1596</f>
        <v>0</v>
      </c>
      <c r="J1595" s="172"/>
      <c r="K1595" s="58"/>
      <c r="L1595" s="58"/>
      <c r="M1595" s="58"/>
      <c r="N1595" s="58"/>
      <c r="O1595" s="58"/>
      <c r="P1595" s="58"/>
      <c r="Q1595" s="58"/>
      <c r="R1595" s="58"/>
    </row>
    <row r="1596" spans="1:18" s="46" customFormat="1" ht="26.4" hidden="1">
      <c r="A1596" s="16" t="s">
        <v>146</v>
      </c>
      <c r="B1596" s="14">
        <v>793</v>
      </c>
      <c r="C1596" s="15" t="s">
        <v>18</v>
      </c>
      <c r="D1596" s="15" t="s">
        <v>22</v>
      </c>
      <c r="E1596" s="15" t="s">
        <v>1117</v>
      </c>
      <c r="F1596" s="15" t="s">
        <v>147</v>
      </c>
      <c r="G1596" s="70">
        <f>5502100-5502100</f>
        <v>0</v>
      </c>
      <c r="H1596" s="70"/>
      <c r="I1596" s="70"/>
      <c r="J1596" s="172"/>
      <c r="K1596" s="58"/>
      <c r="L1596" s="58"/>
      <c r="M1596" s="58"/>
      <c r="N1596" s="58"/>
      <c r="O1596" s="58"/>
      <c r="P1596" s="58"/>
      <c r="Q1596" s="58"/>
      <c r="R1596" s="58"/>
    </row>
    <row r="1597" spans="1:18" s="46" customFormat="1" ht="66.75" customHeight="1">
      <c r="A1597" s="326" t="s">
        <v>1120</v>
      </c>
      <c r="B1597" s="14">
        <v>793</v>
      </c>
      <c r="C1597" s="15" t="s">
        <v>18</v>
      </c>
      <c r="D1597" s="15" t="s">
        <v>22</v>
      </c>
      <c r="E1597" s="15" t="s">
        <v>1119</v>
      </c>
      <c r="F1597" s="15"/>
      <c r="G1597" s="70">
        <f t="shared" ref="G1597:I1597" si="401">G1598</f>
        <v>2688796.5</v>
      </c>
      <c r="H1597" s="70">
        <f t="shared" si="401"/>
        <v>0</v>
      </c>
      <c r="I1597" s="70">
        <f t="shared" si="401"/>
        <v>0</v>
      </c>
      <c r="J1597" s="172"/>
      <c r="K1597" s="58"/>
      <c r="L1597" s="58"/>
      <c r="M1597" s="58"/>
      <c r="N1597" s="58"/>
      <c r="O1597" s="58"/>
      <c r="P1597" s="58"/>
      <c r="Q1597" s="58"/>
      <c r="R1597" s="58"/>
    </row>
    <row r="1598" spans="1:18" s="46" customFormat="1">
      <c r="A1598" s="16" t="s">
        <v>144</v>
      </c>
      <c r="B1598" s="14">
        <v>793</v>
      </c>
      <c r="C1598" s="15" t="s">
        <v>18</v>
      </c>
      <c r="D1598" s="15" t="s">
        <v>22</v>
      </c>
      <c r="E1598" s="15" t="s">
        <v>1119</v>
      </c>
      <c r="F1598" s="15" t="s">
        <v>145</v>
      </c>
      <c r="G1598" s="70">
        <f>G1599</f>
        <v>2688796.5</v>
      </c>
      <c r="H1598" s="70">
        <f>H1599</f>
        <v>0</v>
      </c>
      <c r="I1598" s="70">
        <f>I1599</f>
        <v>0</v>
      </c>
      <c r="J1598" s="172"/>
      <c r="K1598" s="58"/>
      <c r="L1598" s="58"/>
      <c r="M1598" s="58"/>
      <c r="N1598" s="58"/>
      <c r="O1598" s="58"/>
      <c r="P1598" s="58"/>
      <c r="Q1598" s="58"/>
      <c r="R1598" s="58"/>
    </row>
    <row r="1599" spans="1:18" s="46" customFormat="1" ht="26.4">
      <c r="A1599" s="16" t="s">
        <v>146</v>
      </c>
      <c r="B1599" s="14">
        <v>793</v>
      </c>
      <c r="C1599" s="15" t="s">
        <v>18</v>
      </c>
      <c r="D1599" s="15" t="s">
        <v>22</v>
      </c>
      <c r="E1599" s="15" t="s">
        <v>1119</v>
      </c>
      <c r="F1599" s="15" t="s">
        <v>147</v>
      </c>
      <c r="G1599" s="70">
        <v>2688796.5</v>
      </c>
      <c r="H1599" s="70">
        <v>0</v>
      </c>
      <c r="I1599" s="70">
        <v>0</v>
      </c>
      <c r="J1599" s="172"/>
      <c r="K1599" s="58"/>
      <c r="L1599" s="58"/>
      <c r="M1599" s="58"/>
      <c r="N1599" s="58"/>
      <c r="O1599" s="58"/>
      <c r="P1599" s="58"/>
      <c r="Q1599" s="58"/>
      <c r="R1599" s="58"/>
    </row>
    <row r="1600" spans="1:18" s="46" customFormat="1" ht="26.4">
      <c r="A1600" s="16" t="s">
        <v>75</v>
      </c>
      <c r="B1600" s="14">
        <v>793</v>
      </c>
      <c r="C1600" s="15" t="s">
        <v>18</v>
      </c>
      <c r="D1600" s="15" t="s">
        <v>22</v>
      </c>
      <c r="E1600" s="15" t="s">
        <v>240</v>
      </c>
      <c r="F1600" s="15"/>
      <c r="G1600" s="70">
        <f>G1601</f>
        <v>7646.2600000000093</v>
      </c>
      <c r="H1600" s="70">
        <f t="shared" ref="H1600:I1600" si="402">H1601</f>
        <v>0</v>
      </c>
      <c r="I1600" s="70">
        <f t="shared" si="402"/>
        <v>0</v>
      </c>
      <c r="J1600" s="172"/>
      <c r="K1600" s="58"/>
      <c r="L1600" s="58"/>
      <c r="M1600" s="58"/>
      <c r="N1600" s="58"/>
      <c r="O1600" s="58"/>
      <c r="P1600" s="58"/>
      <c r="Q1600" s="58"/>
      <c r="R1600" s="58"/>
    </row>
    <row r="1601" spans="1:18" s="46" customFormat="1">
      <c r="A1601" s="16" t="s">
        <v>144</v>
      </c>
      <c r="B1601" s="14">
        <v>793</v>
      </c>
      <c r="C1601" s="15" t="s">
        <v>18</v>
      </c>
      <c r="D1601" s="15" t="s">
        <v>22</v>
      </c>
      <c r="E1601" s="15" t="s">
        <v>240</v>
      </c>
      <c r="F1601" s="15" t="s">
        <v>145</v>
      </c>
      <c r="G1601" s="70">
        <f>G1602</f>
        <v>7646.2600000000093</v>
      </c>
      <c r="H1601" s="70">
        <f t="shared" ref="H1601:I1601" si="403">H1602</f>
        <v>0</v>
      </c>
      <c r="I1601" s="70">
        <f t="shared" si="403"/>
        <v>0</v>
      </c>
      <c r="J1601" s="172"/>
      <c r="K1601" s="58"/>
      <c r="L1601" s="58"/>
      <c r="M1601" s="58"/>
      <c r="N1601" s="58"/>
      <c r="O1601" s="58"/>
      <c r="P1601" s="58"/>
      <c r="Q1601" s="58"/>
      <c r="R1601" s="58"/>
    </row>
    <row r="1602" spans="1:18" s="46" customFormat="1" ht="26.4">
      <c r="A1602" s="16" t="s">
        <v>146</v>
      </c>
      <c r="B1602" s="14">
        <v>793</v>
      </c>
      <c r="C1602" s="15" t="s">
        <v>18</v>
      </c>
      <c r="D1602" s="15" t="s">
        <v>22</v>
      </c>
      <c r="E1602" s="15" t="s">
        <v>240</v>
      </c>
      <c r="F1602" s="15" t="s">
        <v>147</v>
      </c>
      <c r="G1602" s="70">
        <f>551810-544163.74</f>
        <v>7646.2600000000093</v>
      </c>
      <c r="H1602" s="70">
        <v>0</v>
      </c>
      <c r="I1602" s="70">
        <v>0</v>
      </c>
      <c r="J1602" s="172"/>
      <c r="K1602" s="58"/>
      <c r="L1602" s="58"/>
      <c r="M1602" s="58"/>
      <c r="N1602" s="58"/>
      <c r="O1602" s="58"/>
      <c r="P1602" s="58"/>
      <c r="Q1602" s="58"/>
      <c r="R1602" s="58"/>
    </row>
    <row r="1603" spans="1:18" s="33" customFormat="1" ht="64.5" customHeight="1">
      <c r="A1603" s="16" t="s">
        <v>1126</v>
      </c>
      <c r="B1603" s="14">
        <v>793</v>
      </c>
      <c r="C1603" s="15" t="s">
        <v>18</v>
      </c>
      <c r="D1603" s="15" t="s">
        <v>22</v>
      </c>
      <c r="E1603" s="14" t="s">
        <v>242</v>
      </c>
      <c r="F1603" s="15"/>
      <c r="G1603" s="70">
        <f>G1604+G1607+G1617+G1624+G1612+G1627+G1631</f>
        <v>1746316.48</v>
      </c>
      <c r="H1603" s="70">
        <f t="shared" ref="H1603:I1603" si="404">H1604+H1607+H1617+H1624+H1612</f>
        <v>2678654.1500000004</v>
      </c>
      <c r="I1603" s="70">
        <f t="shared" si="404"/>
        <v>1837983.55</v>
      </c>
      <c r="J1603" s="172"/>
      <c r="K1603" s="329"/>
      <c r="L1603" s="329"/>
      <c r="M1603" s="329"/>
      <c r="N1603" s="329"/>
      <c r="O1603" s="329"/>
      <c r="P1603" s="329"/>
      <c r="Q1603" s="329"/>
      <c r="R1603" s="329"/>
    </row>
    <row r="1604" spans="1:18" s="33" customFormat="1" ht="41.25" customHeight="1">
      <c r="A1604" s="16" t="s">
        <v>182</v>
      </c>
      <c r="B1604" s="14">
        <v>793</v>
      </c>
      <c r="C1604" s="15" t="s">
        <v>18</v>
      </c>
      <c r="D1604" s="15" t="s">
        <v>22</v>
      </c>
      <c r="E1604" s="15" t="s">
        <v>369</v>
      </c>
      <c r="F1604" s="15"/>
      <c r="G1604" s="70">
        <f t="shared" ref="G1604:I1605" si="405">G1605</f>
        <v>891092</v>
      </c>
      <c r="H1604" s="70">
        <f>H1605</f>
        <v>500000</v>
      </c>
      <c r="I1604" s="70">
        <f t="shared" si="405"/>
        <v>500000</v>
      </c>
      <c r="J1604" s="172"/>
      <c r="K1604" s="329"/>
      <c r="L1604" s="329"/>
      <c r="M1604" s="329"/>
      <c r="N1604" s="329"/>
      <c r="O1604" s="329"/>
      <c r="P1604" s="329"/>
      <c r="Q1604" s="329"/>
      <c r="R1604" s="329"/>
    </row>
    <row r="1605" spans="1:18" s="33" customFormat="1" ht="28.5" customHeight="1">
      <c r="A1605" s="16" t="s">
        <v>29</v>
      </c>
      <c r="B1605" s="14">
        <v>793</v>
      </c>
      <c r="C1605" s="15" t="s">
        <v>18</v>
      </c>
      <c r="D1605" s="15" t="s">
        <v>22</v>
      </c>
      <c r="E1605" s="15" t="s">
        <v>369</v>
      </c>
      <c r="F1605" s="15" t="s">
        <v>30</v>
      </c>
      <c r="G1605" s="70">
        <f t="shared" si="405"/>
        <v>891092</v>
      </c>
      <c r="H1605" s="70">
        <f t="shared" si="405"/>
        <v>500000</v>
      </c>
      <c r="I1605" s="70">
        <f t="shared" si="405"/>
        <v>500000</v>
      </c>
      <c r="J1605" s="172"/>
      <c r="K1605" s="329"/>
      <c r="L1605" s="329"/>
      <c r="M1605" s="329"/>
      <c r="N1605" s="329"/>
      <c r="O1605" s="329"/>
      <c r="P1605" s="329"/>
      <c r="Q1605" s="329"/>
      <c r="R1605" s="329"/>
    </row>
    <row r="1606" spans="1:18" s="33" customFormat="1" ht="45.75" customHeight="1">
      <c r="A1606" s="16" t="s">
        <v>8</v>
      </c>
      <c r="B1606" s="14">
        <v>793</v>
      </c>
      <c r="C1606" s="15" t="s">
        <v>18</v>
      </c>
      <c r="D1606" s="15" t="s">
        <v>22</v>
      </c>
      <c r="E1606" s="15" t="s">
        <v>369</v>
      </c>
      <c r="F1606" s="15" t="s">
        <v>7</v>
      </c>
      <c r="G1606" s="70">
        <v>891092</v>
      </c>
      <c r="H1606" s="70">
        <v>500000</v>
      </c>
      <c r="I1606" s="70">
        <v>500000</v>
      </c>
      <c r="J1606" s="172"/>
      <c r="K1606" s="329"/>
      <c r="L1606" s="329"/>
      <c r="M1606" s="329"/>
      <c r="N1606" s="329"/>
      <c r="O1606" s="329"/>
      <c r="P1606" s="329"/>
      <c r="Q1606" s="329"/>
      <c r="R1606" s="329"/>
    </row>
    <row r="1607" spans="1:18" ht="27.75" customHeight="1">
      <c r="A1607" s="326" t="s">
        <v>420</v>
      </c>
      <c r="B1607" s="14">
        <v>793</v>
      </c>
      <c r="C1607" s="15" t="s">
        <v>18</v>
      </c>
      <c r="D1607" s="15" t="s">
        <v>22</v>
      </c>
      <c r="E1607" s="15" t="s">
        <v>370</v>
      </c>
      <c r="F1607" s="15"/>
      <c r="G1607" s="70">
        <f>G1608+G1610</f>
        <v>0</v>
      </c>
      <c r="H1607" s="70">
        <f t="shared" ref="H1607:I1607" si="406">H1608+H1610</f>
        <v>2073654.1500000001</v>
      </c>
      <c r="I1607" s="70">
        <f t="shared" si="406"/>
        <v>1232983.55</v>
      </c>
      <c r="J1607" s="172"/>
      <c r="K1607" s="69"/>
      <c r="L1607" s="69"/>
      <c r="M1607" s="69"/>
      <c r="N1607" s="69"/>
      <c r="O1607" s="69"/>
      <c r="P1607" s="69"/>
      <c r="Q1607" s="69"/>
      <c r="R1607" s="69"/>
    </row>
    <row r="1608" spans="1:18" ht="19.5" hidden="1" customHeight="1">
      <c r="A1608" s="16" t="s">
        <v>152</v>
      </c>
      <c r="B1608" s="14">
        <v>793</v>
      </c>
      <c r="C1608" s="15" t="s">
        <v>18</v>
      </c>
      <c r="D1608" s="15" t="s">
        <v>22</v>
      </c>
      <c r="E1608" s="15" t="s">
        <v>370</v>
      </c>
      <c r="F1608" s="15" t="s">
        <v>153</v>
      </c>
      <c r="G1608" s="70">
        <f>G1609</f>
        <v>0</v>
      </c>
      <c r="H1608" s="70">
        <f t="shared" ref="H1608:I1610" si="407">H1609</f>
        <v>0</v>
      </c>
      <c r="I1608" s="70">
        <f t="shared" si="407"/>
        <v>0</v>
      </c>
      <c r="J1608" s="172"/>
      <c r="K1608" s="69"/>
      <c r="L1608" s="69"/>
      <c r="M1608" s="69"/>
      <c r="N1608" s="69"/>
      <c r="O1608" s="69"/>
      <c r="P1608" s="69"/>
      <c r="Q1608" s="69"/>
      <c r="R1608" s="69"/>
    </row>
    <row r="1609" spans="1:18" ht="12" hidden="1" customHeight="1">
      <c r="A1609" s="16" t="s">
        <v>172</v>
      </c>
      <c r="B1609" s="14">
        <v>793</v>
      </c>
      <c r="C1609" s="15" t="s">
        <v>18</v>
      </c>
      <c r="D1609" s="15" t="s">
        <v>22</v>
      </c>
      <c r="E1609" s="15" t="s">
        <v>370</v>
      </c>
      <c r="F1609" s="15" t="s">
        <v>173</v>
      </c>
      <c r="G1609" s="70"/>
      <c r="H1609" s="70"/>
      <c r="I1609" s="70"/>
      <c r="J1609" s="172"/>
      <c r="K1609" s="69"/>
      <c r="L1609" s="69"/>
      <c r="M1609" s="69"/>
      <c r="N1609" s="69"/>
      <c r="O1609" s="69"/>
      <c r="P1609" s="69"/>
      <c r="Q1609" s="69"/>
      <c r="R1609" s="69"/>
    </row>
    <row r="1610" spans="1:18" ht="16.5" customHeight="1">
      <c r="A1610" s="16" t="s">
        <v>62</v>
      </c>
      <c r="B1610" s="14">
        <v>793</v>
      </c>
      <c r="C1610" s="15" t="s">
        <v>18</v>
      </c>
      <c r="D1610" s="15" t="s">
        <v>22</v>
      </c>
      <c r="E1610" s="15" t="s">
        <v>370</v>
      </c>
      <c r="F1610" s="15" t="s">
        <v>63</v>
      </c>
      <c r="G1610" s="70">
        <f>G1611</f>
        <v>0</v>
      </c>
      <c r="H1610" s="70">
        <f t="shared" si="407"/>
        <v>2073654.1500000001</v>
      </c>
      <c r="I1610" s="70">
        <f t="shared" si="407"/>
        <v>1232983.55</v>
      </c>
      <c r="J1610" s="172"/>
      <c r="K1610" s="69"/>
      <c r="L1610" s="69"/>
      <c r="M1610" s="69"/>
      <c r="N1610" s="69"/>
      <c r="O1610" s="69"/>
      <c r="P1610" s="69"/>
      <c r="Q1610" s="69"/>
      <c r="R1610" s="69"/>
    </row>
    <row r="1611" spans="1:18" ht="17.25" customHeight="1">
      <c r="A1611" s="16" t="s">
        <v>174</v>
      </c>
      <c r="B1611" s="14">
        <v>793</v>
      </c>
      <c r="C1611" s="15" t="s">
        <v>18</v>
      </c>
      <c r="D1611" s="15" t="s">
        <v>22</v>
      </c>
      <c r="E1611" s="15" t="s">
        <v>370</v>
      </c>
      <c r="F1611" s="15" t="s">
        <v>175</v>
      </c>
      <c r="G1611" s="70">
        <f>1555240.61+518413.54+72858.12+218574.36-2365086.63</f>
        <v>0</v>
      </c>
      <c r="H1611" s="70">
        <f>1555240.61+518413.54</f>
        <v>2073654.1500000001</v>
      </c>
      <c r="I1611" s="70">
        <f>714570.01+518413.54</f>
        <v>1232983.55</v>
      </c>
      <c r="J1611" s="172"/>
      <c r="K1611" s="69"/>
      <c r="L1611" s="69"/>
      <c r="M1611" s="69"/>
      <c r="N1611" s="69"/>
      <c r="O1611" s="69"/>
      <c r="P1611" s="69"/>
      <c r="Q1611" s="69"/>
      <c r="R1611" s="69"/>
    </row>
    <row r="1612" spans="1:18" ht="27.75" hidden="1" customHeight="1">
      <c r="A1612" s="326" t="s">
        <v>868</v>
      </c>
      <c r="B1612" s="14">
        <v>793</v>
      </c>
      <c r="C1612" s="15" t="s">
        <v>18</v>
      </c>
      <c r="D1612" s="15" t="s">
        <v>22</v>
      </c>
      <c r="E1612" s="15" t="s">
        <v>831</v>
      </c>
      <c r="F1612" s="15"/>
      <c r="G1612" s="70">
        <f>G1613+G1615</f>
        <v>0</v>
      </c>
      <c r="H1612" s="70">
        <f t="shared" ref="H1612:I1612" si="408">H1613+H1615</f>
        <v>0</v>
      </c>
      <c r="I1612" s="70">
        <f t="shared" si="408"/>
        <v>0</v>
      </c>
      <c r="J1612" s="172"/>
      <c r="K1612" s="69"/>
      <c r="L1612" s="69"/>
      <c r="M1612" s="69"/>
      <c r="N1612" s="69"/>
      <c r="O1612" s="69"/>
      <c r="P1612" s="69"/>
      <c r="Q1612" s="69"/>
      <c r="R1612" s="69"/>
    </row>
    <row r="1613" spans="1:18" ht="19.5" hidden="1" customHeight="1">
      <c r="A1613" s="16" t="s">
        <v>152</v>
      </c>
      <c r="B1613" s="14">
        <v>793</v>
      </c>
      <c r="C1613" s="15" t="s">
        <v>18</v>
      </c>
      <c r="D1613" s="15" t="s">
        <v>22</v>
      </c>
      <c r="E1613" s="15" t="s">
        <v>370</v>
      </c>
      <c r="F1613" s="15" t="s">
        <v>153</v>
      </c>
      <c r="G1613" s="70">
        <f>G1614</f>
        <v>0</v>
      </c>
      <c r="H1613" s="70">
        <f t="shared" ref="H1613:I1615" si="409">H1614</f>
        <v>0</v>
      </c>
      <c r="I1613" s="70">
        <f t="shared" si="409"/>
        <v>0</v>
      </c>
      <c r="J1613" s="172"/>
      <c r="K1613" s="69"/>
      <c r="L1613" s="69"/>
      <c r="M1613" s="69"/>
      <c r="N1613" s="69"/>
      <c r="O1613" s="69"/>
      <c r="P1613" s="69"/>
      <c r="Q1613" s="69"/>
      <c r="R1613" s="69"/>
    </row>
    <row r="1614" spans="1:18" ht="12" hidden="1" customHeight="1">
      <c r="A1614" s="16" t="s">
        <v>172</v>
      </c>
      <c r="B1614" s="14">
        <v>793</v>
      </c>
      <c r="C1614" s="15" t="s">
        <v>18</v>
      </c>
      <c r="D1614" s="15" t="s">
        <v>22</v>
      </c>
      <c r="E1614" s="15" t="s">
        <v>370</v>
      </c>
      <c r="F1614" s="15" t="s">
        <v>173</v>
      </c>
      <c r="G1614" s="70"/>
      <c r="H1614" s="70"/>
      <c r="I1614" s="70"/>
      <c r="J1614" s="172"/>
      <c r="K1614" s="69"/>
      <c r="L1614" s="69"/>
      <c r="M1614" s="69"/>
      <c r="N1614" s="69"/>
      <c r="O1614" s="69"/>
      <c r="P1614" s="69"/>
      <c r="Q1614" s="69"/>
      <c r="R1614" s="69"/>
    </row>
    <row r="1615" spans="1:18" ht="16.5" hidden="1" customHeight="1">
      <c r="A1615" s="16" t="s">
        <v>62</v>
      </c>
      <c r="B1615" s="14">
        <v>793</v>
      </c>
      <c r="C1615" s="15" t="s">
        <v>18</v>
      </c>
      <c r="D1615" s="15" t="s">
        <v>22</v>
      </c>
      <c r="E1615" s="15" t="s">
        <v>831</v>
      </c>
      <c r="F1615" s="15" t="s">
        <v>63</v>
      </c>
      <c r="G1615" s="70">
        <f>G1616</f>
        <v>0</v>
      </c>
      <c r="H1615" s="70">
        <f t="shared" si="409"/>
        <v>0</v>
      </c>
      <c r="I1615" s="70">
        <f t="shared" si="409"/>
        <v>0</v>
      </c>
      <c r="J1615" s="172"/>
      <c r="K1615" s="69"/>
      <c r="L1615" s="69"/>
      <c r="M1615" s="69"/>
      <c r="N1615" s="69"/>
      <c r="O1615" s="69"/>
      <c r="P1615" s="69"/>
      <c r="Q1615" s="69"/>
      <c r="R1615" s="69"/>
    </row>
    <row r="1616" spans="1:18" ht="17.25" hidden="1" customHeight="1">
      <c r="A1616" s="16" t="s">
        <v>174</v>
      </c>
      <c r="B1616" s="14">
        <v>793</v>
      </c>
      <c r="C1616" s="15" t="s">
        <v>18</v>
      </c>
      <c r="D1616" s="15" t="s">
        <v>22</v>
      </c>
      <c r="E1616" s="15" t="s">
        <v>831</v>
      </c>
      <c r="F1616" s="15" t="s">
        <v>175</v>
      </c>
      <c r="G1616" s="70"/>
      <c r="H1616" s="70"/>
      <c r="I1616" s="70"/>
      <c r="J1616" s="172"/>
      <c r="K1616" s="69"/>
      <c r="L1616" s="69"/>
      <c r="M1616" s="69"/>
      <c r="N1616" s="69"/>
      <c r="O1616" s="69"/>
      <c r="P1616" s="69"/>
      <c r="Q1616" s="69"/>
      <c r="R1616" s="69"/>
    </row>
    <row r="1617" spans="1:18" ht="25.5" customHeight="1">
      <c r="A1617" s="16" t="s">
        <v>117</v>
      </c>
      <c r="B1617" s="14">
        <v>793</v>
      </c>
      <c r="C1617" s="15" t="s">
        <v>18</v>
      </c>
      <c r="D1617" s="15" t="s">
        <v>22</v>
      </c>
      <c r="E1617" s="15" t="s">
        <v>243</v>
      </c>
      <c r="F1617" s="15"/>
      <c r="G1617" s="70">
        <f>G1618+G1622+G1620</f>
        <v>35000</v>
      </c>
      <c r="H1617" s="70">
        <f t="shared" ref="H1617:I1617" si="410">H1618+H1622+H1620</f>
        <v>35000</v>
      </c>
      <c r="I1617" s="70">
        <f t="shared" si="410"/>
        <v>35000</v>
      </c>
      <c r="J1617" s="172"/>
      <c r="K1617" s="69"/>
      <c r="L1617" s="69"/>
      <c r="M1617" s="69"/>
      <c r="N1617" s="69"/>
      <c r="O1617" s="69"/>
      <c r="P1617" s="69"/>
      <c r="Q1617" s="69"/>
      <c r="R1617" s="69"/>
    </row>
    <row r="1618" spans="1:18" ht="21.75" hidden="1" customHeight="1">
      <c r="A1618" s="16" t="s">
        <v>316</v>
      </c>
      <c r="B1618" s="14">
        <v>793</v>
      </c>
      <c r="C1618" s="15" t="s">
        <v>18</v>
      </c>
      <c r="D1618" s="15" t="s">
        <v>22</v>
      </c>
      <c r="E1618" s="15" t="s">
        <v>243</v>
      </c>
      <c r="F1618" s="15" t="s">
        <v>36</v>
      </c>
      <c r="G1618" s="70">
        <f>G1619</f>
        <v>0</v>
      </c>
      <c r="H1618" s="70">
        <f>H1619</f>
        <v>0</v>
      </c>
      <c r="I1618" s="70">
        <f>I1619</f>
        <v>0</v>
      </c>
      <c r="J1618" s="172"/>
      <c r="K1618" s="69"/>
      <c r="L1618" s="69"/>
      <c r="M1618" s="69"/>
      <c r="N1618" s="69"/>
      <c r="O1618" s="69"/>
      <c r="P1618" s="69"/>
      <c r="Q1618" s="69"/>
      <c r="R1618" s="69"/>
    </row>
    <row r="1619" spans="1:18" ht="25.5" hidden="1" customHeight="1">
      <c r="A1619" s="16" t="s">
        <v>37</v>
      </c>
      <c r="B1619" s="14">
        <v>793</v>
      </c>
      <c r="C1619" s="15" t="s">
        <v>18</v>
      </c>
      <c r="D1619" s="15" t="s">
        <v>22</v>
      </c>
      <c r="E1619" s="15" t="s">
        <v>243</v>
      </c>
      <c r="F1619" s="15" t="s">
        <v>38</v>
      </c>
      <c r="G1619" s="70"/>
      <c r="H1619" s="70"/>
      <c r="I1619" s="70"/>
      <c r="J1619" s="172"/>
      <c r="K1619" s="69"/>
      <c r="L1619" s="69"/>
      <c r="M1619" s="69"/>
      <c r="N1619" s="69"/>
      <c r="O1619" s="69"/>
      <c r="P1619" s="69"/>
      <c r="Q1619" s="69"/>
      <c r="R1619" s="69"/>
    </row>
    <row r="1620" spans="1:18" ht="25.5" hidden="1" customHeight="1">
      <c r="A1620" s="16" t="s">
        <v>29</v>
      </c>
      <c r="B1620" s="14">
        <v>793</v>
      </c>
      <c r="C1620" s="15" t="s">
        <v>18</v>
      </c>
      <c r="D1620" s="15" t="s">
        <v>22</v>
      </c>
      <c r="E1620" s="15" t="s">
        <v>243</v>
      </c>
      <c r="F1620" s="15" t="s">
        <v>30</v>
      </c>
      <c r="G1620" s="70">
        <f>G1621</f>
        <v>0</v>
      </c>
      <c r="H1620" s="70"/>
      <c r="I1620" s="70"/>
      <c r="J1620" s="172"/>
      <c r="K1620" s="69"/>
      <c r="L1620" s="69"/>
      <c r="M1620" s="69"/>
      <c r="N1620" s="69"/>
      <c r="O1620" s="69"/>
      <c r="P1620" s="69"/>
      <c r="Q1620" s="69"/>
      <c r="R1620" s="69"/>
    </row>
    <row r="1621" spans="1:18" ht="25.5" hidden="1" customHeight="1">
      <c r="A1621" s="16" t="s">
        <v>8</v>
      </c>
      <c r="B1621" s="14">
        <v>793</v>
      </c>
      <c r="C1621" s="15" t="s">
        <v>18</v>
      </c>
      <c r="D1621" s="15" t="s">
        <v>22</v>
      </c>
      <c r="E1621" s="15" t="s">
        <v>243</v>
      </c>
      <c r="F1621" s="15" t="s">
        <v>7</v>
      </c>
      <c r="G1621" s="70"/>
      <c r="H1621" s="70"/>
      <c r="I1621" s="70"/>
      <c r="J1621" s="172"/>
      <c r="K1621" s="69"/>
      <c r="L1621" s="69"/>
      <c r="M1621" s="69"/>
      <c r="N1621" s="69"/>
      <c r="O1621" s="69"/>
      <c r="P1621" s="69"/>
      <c r="Q1621" s="69"/>
      <c r="R1621" s="69"/>
    </row>
    <row r="1622" spans="1:18" ht="18.75" customHeight="1">
      <c r="A1622" s="16" t="s">
        <v>62</v>
      </c>
      <c r="B1622" s="14">
        <v>793</v>
      </c>
      <c r="C1622" s="15" t="s">
        <v>18</v>
      </c>
      <c r="D1622" s="15" t="s">
        <v>22</v>
      </c>
      <c r="E1622" s="15" t="s">
        <v>243</v>
      </c>
      <c r="F1622" s="15" t="s">
        <v>63</v>
      </c>
      <c r="G1622" s="70">
        <f>G1623</f>
        <v>35000</v>
      </c>
      <c r="H1622" s="70">
        <f t="shared" ref="H1622:I1622" si="411">H1623</f>
        <v>35000</v>
      </c>
      <c r="I1622" s="70">
        <f t="shared" si="411"/>
        <v>35000</v>
      </c>
      <c r="J1622" s="172"/>
      <c r="K1622" s="69"/>
      <c r="L1622" s="69"/>
      <c r="M1622" s="69"/>
      <c r="N1622" s="69"/>
      <c r="O1622" s="69"/>
      <c r="P1622" s="69"/>
      <c r="Q1622" s="69"/>
      <c r="R1622" s="69"/>
    </row>
    <row r="1623" spans="1:18" ht="19.5" customHeight="1">
      <c r="A1623" s="16" t="s">
        <v>140</v>
      </c>
      <c r="B1623" s="14">
        <v>793</v>
      </c>
      <c r="C1623" s="15" t="s">
        <v>18</v>
      </c>
      <c r="D1623" s="15" t="s">
        <v>22</v>
      </c>
      <c r="E1623" s="15" t="s">
        <v>243</v>
      </c>
      <c r="F1623" s="15" t="s">
        <v>66</v>
      </c>
      <c r="G1623" s="70">
        <v>35000</v>
      </c>
      <c r="H1623" s="70">
        <v>35000</v>
      </c>
      <c r="I1623" s="70">
        <v>35000</v>
      </c>
      <c r="J1623" s="172"/>
      <c r="K1623" s="69"/>
      <c r="L1623" s="69"/>
      <c r="M1623" s="69"/>
      <c r="N1623" s="69"/>
      <c r="O1623" s="69"/>
      <c r="P1623" s="69"/>
      <c r="Q1623" s="69"/>
      <c r="R1623" s="69"/>
    </row>
    <row r="1624" spans="1:18" ht="16.5" customHeight="1">
      <c r="A1624" s="16" t="s">
        <v>430</v>
      </c>
      <c r="B1624" s="14">
        <v>793</v>
      </c>
      <c r="C1624" s="15" t="s">
        <v>18</v>
      </c>
      <c r="D1624" s="15" t="s">
        <v>22</v>
      </c>
      <c r="E1624" s="15" t="s">
        <v>431</v>
      </c>
      <c r="F1624" s="15"/>
      <c r="G1624" s="70">
        <f>G1625</f>
        <v>70000</v>
      </c>
      <c r="H1624" s="70">
        <f t="shared" ref="H1624:I1624" si="412">H1625</f>
        <v>70000</v>
      </c>
      <c r="I1624" s="70">
        <f t="shared" si="412"/>
        <v>70000</v>
      </c>
      <c r="J1624" s="172"/>
      <c r="K1624" s="69"/>
      <c r="L1624" s="69"/>
      <c r="M1624" s="69"/>
      <c r="N1624" s="69"/>
      <c r="O1624" s="69"/>
      <c r="P1624" s="69"/>
      <c r="Q1624" s="69"/>
      <c r="R1624" s="69"/>
    </row>
    <row r="1625" spans="1:18" ht="25.5" customHeight="1">
      <c r="A1625" s="16" t="s">
        <v>316</v>
      </c>
      <c r="B1625" s="14">
        <v>793</v>
      </c>
      <c r="C1625" s="15" t="s">
        <v>18</v>
      </c>
      <c r="D1625" s="15" t="s">
        <v>22</v>
      </c>
      <c r="E1625" s="15" t="s">
        <v>431</v>
      </c>
      <c r="F1625" s="15" t="s">
        <v>36</v>
      </c>
      <c r="G1625" s="70">
        <f>G1626</f>
        <v>70000</v>
      </c>
      <c r="H1625" s="70">
        <f>H1626</f>
        <v>70000</v>
      </c>
      <c r="I1625" s="70">
        <f>I1626</f>
        <v>70000</v>
      </c>
      <c r="J1625" s="172"/>
      <c r="K1625" s="69"/>
      <c r="L1625" s="69"/>
      <c r="M1625" s="69"/>
      <c r="N1625" s="69"/>
      <c r="O1625" s="69"/>
      <c r="P1625" s="69"/>
      <c r="Q1625" s="69"/>
      <c r="R1625" s="69"/>
    </row>
    <row r="1626" spans="1:18" ht="25.5" customHeight="1">
      <c r="A1626" s="16" t="s">
        <v>37</v>
      </c>
      <c r="B1626" s="14">
        <v>793</v>
      </c>
      <c r="C1626" s="15" t="s">
        <v>18</v>
      </c>
      <c r="D1626" s="15" t="s">
        <v>22</v>
      </c>
      <c r="E1626" s="15" t="s">
        <v>431</v>
      </c>
      <c r="F1626" s="15" t="s">
        <v>38</v>
      </c>
      <c r="G1626" s="70">
        <f>120000-50000</f>
        <v>70000</v>
      </c>
      <c r="H1626" s="70">
        <f>120000-50000</f>
        <v>70000</v>
      </c>
      <c r="I1626" s="70">
        <f>120000-50000</f>
        <v>70000</v>
      </c>
      <c r="J1626" s="172"/>
      <c r="K1626" s="69"/>
      <c r="L1626" s="69"/>
      <c r="M1626" s="69"/>
      <c r="N1626" s="69"/>
      <c r="O1626" s="69"/>
      <c r="P1626" s="69"/>
      <c r="Q1626" s="69"/>
      <c r="R1626" s="69"/>
    </row>
    <row r="1627" spans="1:18" s="46" customFormat="1" ht="66.75" customHeight="1">
      <c r="A1627" s="326" t="s">
        <v>1118</v>
      </c>
      <c r="B1627" s="14">
        <v>793</v>
      </c>
      <c r="C1627" s="15" t="s">
        <v>18</v>
      </c>
      <c r="D1627" s="15" t="s">
        <v>22</v>
      </c>
      <c r="E1627" s="15" t="s">
        <v>1273</v>
      </c>
      <c r="F1627" s="15"/>
      <c r="G1627" s="70">
        <f t="shared" ref="G1627:I1627" si="413">G1628</f>
        <v>750224.48</v>
      </c>
      <c r="H1627" s="70">
        <f t="shared" si="413"/>
        <v>0</v>
      </c>
      <c r="I1627" s="70">
        <f t="shared" si="413"/>
        <v>0</v>
      </c>
      <c r="J1627" s="172"/>
      <c r="K1627" s="58"/>
      <c r="L1627" s="58"/>
      <c r="M1627" s="58"/>
      <c r="N1627" s="58"/>
      <c r="O1627" s="58"/>
      <c r="P1627" s="58"/>
      <c r="Q1627" s="58"/>
      <c r="R1627" s="58"/>
    </row>
    <row r="1628" spans="1:18" s="46" customFormat="1">
      <c r="A1628" s="16" t="s">
        <v>144</v>
      </c>
      <c r="B1628" s="14">
        <v>793</v>
      </c>
      <c r="C1628" s="15" t="s">
        <v>18</v>
      </c>
      <c r="D1628" s="15" t="s">
        <v>22</v>
      </c>
      <c r="E1628" s="15" t="s">
        <v>1273</v>
      </c>
      <c r="F1628" s="15" t="s">
        <v>145</v>
      </c>
      <c r="G1628" s="70">
        <f>G1629</f>
        <v>750224.48</v>
      </c>
      <c r="H1628" s="70">
        <f>H1629</f>
        <v>0</v>
      </c>
      <c r="I1628" s="70">
        <f>I1629</f>
        <v>0</v>
      </c>
      <c r="J1628" s="172"/>
      <c r="K1628" s="58"/>
      <c r="L1628" s="58"/>
      <c r="M1628" s="58"/>
      <c r="N1628" s="58"/>
      <c r="O1628" s="58"/>
      <c r="P1628" s="58"/>
      <c r="Q1628" s="58"/>
      <c r="R1628" s="58"/>
    </row>
    <row r="1629" spans="1:18" s="46" customFormat="1" ht="26.4">
      <c r="A1629" s="16" t="s">
        <v>146</v>
      </c>
      <c r="B1629" s="14">
        <v>793</v>
      </c>
      <c r="C1629" s="15" t="s">
        <v>18</v>
      </c>
      <c r="D1629" s="15" t="s">
        <v>22</v>
      </c>
      <c r="E1629" s="15" t="s">
        <v>1273</v>
      </c>
      <c r="F1629" s="15" t="s">
        <v>147</v>
      </c>
      <c r="G1629" s="70">
        <f>1446263.74-476643.56-219395.7</f>
        <v>750224.48</v>
      </c>
      <c r="H1629" s="70">
        <v>0</v>
      </c>
      <c r="I1629" s="70">
        <v>0</v>
      </c>
      <c r="J1629" s="172"/>
      <c r="K1629" s="58"/>
      <c r="L1629" s="58"/>
      <c r="M1629" s="58"/>
      <c r="N1629" s="58"/>
      <c r="O1629" s="58"/>
      <c r="P1629" s="58"/>
      <c r="Q1629" s="58"/>
      <c r="R1629" s="58"/>
    </row>
    <row r="1630" spans="1:18" ht="51.75" hidden="1" customHeight="1">
      <c r="A1630" s="16"/>
      <c r="B1630" s="14"/>
      <c r="C1630" s="15"/>
      <c r="D1630" s="15"/>
      <c r="E1630" s="14"/>
      <c r="F1630" s="14"/>
      <c r="G1630" s="70"/>
      <c r="H1630" s="70"/>
      <c r="I1630" s="70"/>
      <c r="J1630" s="172"/>
      <c r="K1630" s="69"/>
      <c r="L1630" s="69"/>
      <c r="M1630" s="69"/>
      <c r="N1630" s="69"/>
      <c r="O1630" s="69"/>
      <c r="P1630" s="69"/>
      <c r="Q1630" s="69"/>
      <c r="R1630" s="69"/>
    </row>
    <row r="1631" spans="1:18" ht="39" hidden="1" customHeight="1">
      <c r="A1631" s="16" t="s">
        <v>1304</v>
      </c>
      <c r="B1631" s="14">
        <v>793</v>
      </c>
      <c r="C1631" s="15" t="s">
        <v>18</v>
      </c>
      <c r="D1631" s="15" t="s">
        <v>22</v>
      </c>
      <c r="E1631" s="14" t="s">
        <v>1303</v>
      </c>
      <c r="F1631" s="14"/>
      <c r="G1631" s="70">
        <f>G1632</f>
        <v>0</v>
      </c>
      <c r="H1631" s="70">
        <f t="shared" ref="H1631:I1631" si="414">H1632</f>
        <v>0</v>
      </c>
      <c r="I1631" s="70">
        <f t="shared" si="414"/>
        <v>0</v>
      </c>
      <c r="J1631" s="172"/>
      <c r="K1631" s="69"/>
      <c r="L1631" s="69"/>
      <c r="M1631" s="69"/>
      <c r="N1631" s="69"/>
      <c r="O1631" s="69"/>
      <c r="P1631" s="69"/>
      <c r="Q1631" s="69"/>
      <c r="R1631" s="69"/>
    </row>
    <row r="1632" spans="1:18" ht="17.25" hidden="1" customHeight="1">
      <c r="A1632" s="16" t="s">
        <v>62</v>
      </c>
      <c r="B1632" s="14">
        <v>793</v>
      </c>
      <c r="C1632" s="15" t="s">
        <v>18</v>
      </c>
      <c r="D1632" s="15" t="s">
        <v>22</v>
      </c>
      <c r="E1632" s="14" t="s">
        <v>1303</v>
      </c>
      <c r="F1632" s="14">
        <v>800</v>
      </c>
      <c r="G1632" s="70">
        <f>G1633</f>
        <v>0</v>
      </c>
      <c r="H1632" s="70">
        <f>H1633</f>
        <v>0</v>
      </c>
      <c r="I1632" s="70">
        <f>I1633</f>
        <v>0</v>
      </c>
      <c r="J1632" s="172"/>
      <c r="K1632" s="69"/>
      <c r="L1632" s="69"/>
      <c r="M1632" s="69"/>
      <c r="N1632" s="69"/>
      <c r="O1632" s="69"/>
      <c r="P1632" s="69"/>
      <c r="Q1632" s="69"/>
      <c r="R1632" s="69"/>
    </row>
    <row r="1633" spans="1:18" ht="27.75" hidden="1" customHeight="1">
      <c r="A1633" s="16" t="s">
        <v>174</v>
      </c>
      <c r="B1633" s="14">
        <v>793</v>
      </c>
      <c r="C1633" s="15" t="s">
        <v>18</v>
      </c>
      <c r="D1633" s="15" t="s">
        <v>22</v>
      </c>
      <c r="E1633" s="14" t="s">
        <v>1303</v>
      </c>
      <c r="F1633" s="14">
        <v>870</v>
      </c>
      <c r="G1633" s="70">
        <f>6000000+1000000-7000000</f>
        <v>0</v>
      </c>
      <c r="H1633" s="70">
        <v>0</v>
      </c>
      <c r="I1633" s="70">
        <v>0</v>
      </c>
      <c r="J1633" s="172"/>
      <c r="K1633" s="69"/>
      <c r="L1633" s="69"/>
      <c r="M1633" s="69"/>
      <c r="N1633" s="69"/>
      <c r="O1633" s="69"/>
      <c r="P1633" s="69"/>
      <c r="Q1633" s="69"/>
      <c r="R1633" s="69"/>
    </row>
    <row r="1634" spans="1:18" ht="39.75" customHeight="1">
      <c r="A1634" s="16" t="s">
        <v>1136</v>
      </c>
      <c r="B1634" s="14">
        <v>793</v>
      </c>
      <c r="C1634" s="15" t="s">
        <v>18</v>
      </c>
      <c r="D1634" s="15" t="s">
        <v>22</v>
      </c>
      <c r="E1634" s="15" t="s">
        <v>187</v>
      </c>
      <c r="F1634" s="15"/>
      <c r="G1634" s="70">
        <f>G1635+G1638</f>
        <v>42300</v>
      </c>
      <c r="H1634" s="70">
        <f t="shared" ref="H1634:I1634" si="415">H1635+H1638</f>
        <v>42300</v>
      </c>
      <c r="I1634" s="70">
        <f t="shared" si="415"/>
        <v>42300</v>
      </c>
      <c r="J1634" s="172"/>
      <c r="K1634" s="69"/>
      <c r="L1634" s="69"/>
      <c r="M1634" s="69"/>
      <c r="N1634" s="69"/>
      <c r="O1634" s="69"/>
      <c r="P1634" s="69"/>
      <c r="Q1634" s="69"/>
      <c r="R1634" s="69"/>
    </row>
    <row r="1635" spans="1:18" ht="30.75" customHeight="1">
      <c r="A1635" s="16" t="s">
        <v>635</v>
      </c>
      <c r="B1635" s="14">
        <v>793</v>
      </c>
      <c r="C1635" s="15" t="s">
        <v>18</v>
      </c>
      <c r="D1635" s="15" t="s">
        <v>22</v>
      </c>
      <c r="E1635" s="15" t="s">
        <v>721</v>
      </c>
      <c r="F1635" s="15"/>
      <c r="G1635" s="70">
        <f>G1636</f>
        <v>42300</v>
      </c>
      <c r="H1635" s="70">
        <f t="shared" ref="H1635:I1635" si="416">H1636</f>
        <v>42300</v>
      </c>
      <c r="I1635" s="70">
        <f t="shared" si="416"/>
        <v>42300</v>
      </c>
      <c r="J1635" s="172"/>
      <c r="K1635" s="69"/>
      <c r="L1635" s="69"/>
      <c r="M1635" s="69"/>
      <c r="N1635" s="69"/>
      <c r="O1635" s="69"/>
      <c r="P1635" s="69"/>
      <c r="Q1635" s="69"/>
      <c r="R1635" s="69"/>
    </row>
    <row r="1636" spans="1:18" ht="19.5" customHeight="1">
      <c r="A1636" s="16" t="s">
        <v>316</v>
      </c>
      <c r="B1636" s="14">
        <v>793</v>
      </c>
      <c r="C1636" s="15" t="s">
        <v>18</v>
      </c>
      <c r="D1636" s="15" t="s">
        <v>22</v>
      </c>
      <c r="E1636" s="15" t="s">
        <v>721</v>
      </c>
      <c r="F1636" s="15" t="s">
        <v>36</v>
      </c>
      <c r="G1636" s="70">
        <f>G1637</f>
        <v>42300</v>
      </c>
      <c r="H1636" s="70">
        <f t="shared" ref="H1636:I1636" si="417">H1637</f>
        <v>42300</v>
      </c>
      <c r="I1636" s="70">
        <f t="shared" si="417"/>
        <v>42300</v>
      </c>
      <c r="J1636" s="172"/>
      <c r="K1636" s="69"/>
      <c r="L1636" s="69"/>
      <c r="M1636" s="69"/>
      <c r="N1636" s="69"/>
      <c r="O1636" s="69"/>
      <c r="P1636" s="69"/>
      <c r="Q1636" s="69"/>
      <c r="R1636" s="69"/>
    </row>
    <row r="1637" spans="1:18" ht="25.5" customHeight="1">
      <c r="A1637" s="16" t="s">
        <v>37</v>
      </c>
      <c r="B1637" s="14">
        <v>793</v>
      </c>
      <c r="C1637" s="15" t="s">
        <v>18</v>
      </c>
      <c r="D1637" s="15" t="s">
        <v>22</v>
      </c>
      <c r="E1637" s="15" t="s">
        <v>721</v>
      </c>
      <c r="F1637" s="15" t="s">
        <v>38</v>
      </c>
      <c r="G1637" s="70">
        <v>42300</v>
      </c>
      <c r="H1637" s="70">
        <v>42300</v>
      </c>
      <c r="I1637" s="70">
        <v>42300</v>
      </c>
      <c r="J1637" s="172"/>
      <c r="K1637" s="69"/>
      <c r="L1637" s="69"/>
      <c r="M1637" s="69"/>
      <c r="N1637" s="69"/>
      <c r="O1637" s="69"/>
      <c r="P1637" s="69"/>
      <c r="Q1637" s="241"/>
      <c r="R1637" s="69"/>
    </row>
    <row r="1638" spans="1:18" ht="18" hidden="1" customHeight="1">
      <c r="A1638" s="16" t="s">
        <v>633</v>
      </c>
      <c r="B1638" s="14">
        <v>793</v>
      </c>
      <c r="C1638" s="15" t="s">
        <v>18</v>
      </c>
      <c r="D1638" s="15" t="s">
        <v>22</v>
      </c>
      <c r="E1638" s="15" t="s">
        <v>632</v>
      </c>
      <c r="F1638" s="15"/>
      <c r="G1638" s="70">
        <f>G1639</f>
        <v>0</v>
      </c>
      <c r="H1638" s="70">
        <f t="shared" ref="H1638:I1639" si="418">H1639</f>
        <v>0</v>
      </c>
      <c r="I1638" s="70">
        <f t="shared" si="418"/>
        <v>0</v>
      </c>
      <c r="J1638" s="172"/>
      <c r="K1638" s="69"/>
      <c r="L1638" s="69"/>
      <c r="M1638" s="69"/>
      <c r="N1638" s="69"/>
      <c r="O1638" s="69"/>
      <c r="P1638" s="69"/>
      <c r="Q1638" s="69"/>
      <c r="R1638" s="69"/>
    </row>
    <row r="1639" spans="1:18" ht="19.5" hidden="1" customHeight="1">
      <c r="A1639" s="16" t="s">
        <v>316</v>
      </c>
      <c r="B1639" s="14">
        <v>793</v>
      </c>
      <c r="C1639" s="15" t="s">
        <v>18</v>
      </c>
      <c r="D1639" s="15" t="s">
        <v>22</v>
      </c>
      <c r="E1639" s="15" t="s">
        <v>632</v>
      </c>
      <c r="F1639" s="15" t="s">
        <v>36</v>
      </c>
      <c r="G1639" s="70">
        <f>G1640</f>
        <v>0</v>
      </c>
      <c r="H1639" s="70">
        <f t="shared" si="418"/>
        <v>0</v>
      </c>
      <c r="I1639" s="70">
        <f t="shared" si="418"/>
        <v>0</v>
      </c>
      <c r="J1639" s="172"/>
      <c r="K1639" s="69"/>
      <c r="L1639" s="69"/>
      <c r="M1639" s="69"/>
      <c r="N1639" s="69"/>
      <c r="O1639" s="69"/>
      <c r="P1639" s="69"/>
      <c r="Q1639" s="69"/>
      <c r="R1639" s="69"/>
    </row>
    <row r="1640" spans="1:18" ht="25.5" hidden="1" customHeight="1">
      <c r="A1640" s="16" t="s">
        <v>37</v>
      </c>
      <c r="B1640" s="14">
        <v>793</v>
      </c>
      <c r="C1640" s="15" t="s">
        <v>18</v>
      </c>
      <c r="D1640" s="15" t="s">
        <v>22</v>
      </c>
      <c r="E1640" s="15" t="s">
        <v>632</v>
      </c>
      <c r="F1640" s="15" t="s">
        <v>38</v>
      </c>
      <c r="G1640" s="70"/>
      <c r="H1640" s="70">
        <v>0</v>
      </c>
      <c r="I1640" s="70">
        <v>0</v>
      </c>
      <c r="J1640" s="172"/>
      <c r="K1640" s="69"/>
      <c r="L1640" s="69"/>
      <c r="M1640" s="69"/>
      <c r="N1640" s="69"/>
      <c r="O1640" s="69"/>
      <c r="P1640" s="69"/>
      <c r="Q1640" s="69"/>
      <c r="R1640" s="69"/>
    </row>
    <row r="1641" spans="1:18" ht="47.25" customHeight="1">
      <c r="A1641" s="16" t="s">
        <v>1125</v>
      </c>
      <c r="B1641" s="14">
        <v>793</v>
      </c>
      <c r="C1641" s="15" t="s">
        <v>18</v>
      </c>
      <c r="D1641" s="15" t="s">
        <v>22</v>
      </c>
      <c r="E1641" s="15" t="s">
        <v>244</v>
      </c>
      <c r="F1641" s="15"/>
      <c r="G1641" s="70">
        <f>G1654+G1663+G1666+G1657+G1669+G1642+G1645+G1662+G1651+G1648</f>
        <v>5733230.0099999998</v>
      </c>
      <c r="H1641" s="70">
        <f t="shared" ref="H1641:I1641" si="419">H1654+H1663+H1666+H1657</f>
        <v>1549000</v>
      </c>
      <c r="I1641" s="70">
        <f t="shared" si="419"/>
        <v>49000</v>
      </c>
      <c r="J1641" s="172"/>
      <c r="K1641" s="69"/>
      <c r="L1641" s="69"/>
      <c r="M1641" s="69"/>
      <c r="N1641" s="241"/>
      <c r="O1641" s="69"/>
      <c r="P1641" s="69"/>
      <c r="Q1641" s="69"/>
      <c r="R1641" s="69"/>
    </row>
    <row r="1642" spans="1:18" s="18" customFormat="1" ht="63" customHeight="1">
      <c r="A1642" s="82" t="s">
        <v>1510</v>
      </c>
      <c r="B1642" s="49">
        <v>793</v>
      </c>
      <c r="C1642" s="15" t="s">
        <v>18</v>
      </c>
      <c r="D1642" s="15" t="s">
        <v>22</v>
      </c>
      <c r="E1642" s="15" t="s">
        <v>1200</v>
      </c>
      <c r="F1642" s="15"/>
      <c r="G1642" s="70">
        <f>G1643</f>
        <v>1363312</v>
      </c>
      <c r="H1642" s="70">
        <f t="shared" ref="H1642:I1642" si="420">H1643</f>
        <v>0</v>
      </c>
      <c r="I1642" s="70">
        <f t="shared" si="420"/>
        <v>0</v>
      </c>
      <c r="J1642" s="172"/>
      <c r="K1642" s="180"/>
      <c r="L1642" s="180"/>
      <c r="M1642" s="180"/>
      <c r="N1642" s="180"/>
      <c r="O1642" s="180"/>
      <c r="P1642" s="180"/>
      <c r="Q1642" s="180"/>
      <c r="R1642" s="180"/>
    </row>
    <row r="1643" spans="1:18" ht="30.75" customHeight="1">
      <c r="A1643" s="16" t="s">
        <v>35</v>
      </c>
      <c r="B1643" s="49">
        <v>793</v>
      </c>
      <c r="C1643" s="15" t="s">
        <v>18</v>
      </c>
      <c r="D1643" s="15" t="s">
        <v>22</v>
      </c>
      <c r="E1643" s="15" t="s">
        <v>1200</v>
      </c>
      <c r="F1643" s="15" t="s">
        <v>36</v>
      </c>
      <c r="G1643" s="70">
        <f t="shared" ref="G1643:I1643" si="421">G1644</f>
        <v>1363312</v>
      </c>
      <c r="H1643" s="70">
        <f t="shared" si="421"/>
        <v>0</v>
      </c>
      <c r="I1643" s="70">
        <f t="shared" si="421"/>
        <v>0</v>
      </c>
      <c r="J1643" s="172"/>
      <c r="K1643" s="69"/>
      <c r="L1643" s="69"/>
      <c r="M1643" s="69"/>
      <c r="N1643" s="69"/>
      <c r="O1643" s="69"/>
      <c r="P1643" s="69"/>
      <c r="Q1643" s="69"/>
      <c r="R1643" s="69"/>
    </row>
    <row r="1644" spans="1:18" s="18" customFormat="1" ht="34.5" customHeight="1">
      <c r="A1644" s="16" t="s">
        <v>37</v>
      </c>
      <c r="B1644" s="49">
        <v>793</v>
      </c>
      <c r="C1644" s="15" t="s">
        <v>18</v>
      </c>
      <c r="D1644" s="15" t="s">
        <v>22</v>
      </c>
      <c r="E1644" s="15" t="s">
        <v>1200</v>
      </c>
      <c r="F1644" s="15" t="s">
        <v>38</v>
      </c>
      <c r="G1644" s="70">
        <v>1363312</v>
      </c>
      <c r="H1644" s="70">
        <v>0</v>
      </c>
      <c r="I1644" s="70">
        <v>0</v>
      </c>
      <c r="J1644" s="172">
        <f>G1644+G1647</f>
        <v>1767852</v>
      </c>
      <c r="K1644" s="180"/>
      <c r="L1644" s="180"/>
      <c r="M1644" s="180"/>
      <c r="N1644" s="180"/>
      <c r="O1644" s="180"/>
      <c r="P1644" s="180"/>
      <c r="Q1644" s="180"/>
      <c r="R1644" s="180"/>
    </row>
    <row r="1645" spans="1:18" s="18" customFormat="1" ht="88.5" customHeight="1">
      <c r="A1645" s="130" t="s">
        <v>1549</v>
      </c>
      <c r="B1645" s="49">
        <v>793</v>
      </c>
      <c r="C1645" s="15" t="s">
        <v>18</v>
      </c>
      <c r="D1645" s="15" t="s">
        <v>22</v>
      </c>
      <c r="E1645" s="15" t="s">
        <v>1201</v>
      </c>
      <c r="F1645" s="15"/>
      <c r="G1645" s="70">
        <f>G1646</f>
        <v>404540</v>
      </c>
      <c r="H1645" s="70">
        <f t="shared" ref="H1645:I1645" si="422">H1646</f>
        <v>0</v>
      </c>
      <c r="I1645" s="70">
        <f t="shared" si="422"/>
        <v>0</v>
      </c>
      <c r="J1645" s="172"/>
      <c r="K1645" s="180"/>
      <c r="L1645" s="180"/>
      <c r="M1645" s="180"/>
      <c r="N1645" s="180"/>
      <c r="O1645" s="180"/>
      <c r="P1645" s="180"/>
      <c r="Q1645" s="180"/>
      <c r="R1645" s="180"/>
    </row>
    <row r="1646" spans="1:18" ht="30.75" customHeight="1">
      <c r="A1646" s="16" t="s">
        <v>35</v>
      </c>
      <c r="B1646" s="49">
        <v>793</v>
      </c>
      <c r="C1646" s="15" t="s">
        <v>18</v>
      </c>
      <c r="D1646" s="15" t="s">
        <v>22</v>
      </c>
      <c r="E1646" s="15" t="s">
        <v>1201</v>
      </c>
      <c r="F1646" s="15" t="s">
        <v>36</v>
      </c>
      <c r="G1646" s="70">
        <f t="shared" ref="G1646:I1646" si="423">G1647</f>
        <v>404540</v>
      </c>
      <c r="H1646" s="70">
        <f t="shared" si="423"/>
        <v>0</v>
      </c>
      <c r="I1646" s="70">
        <f t="shared" si="423"/>
        <v>0</v>
      </c>
      <c r="J1646" s="172"/>
      <c r="K1646" s="69"/>
      <c r="L1646" s="69"/>
      <c r="M1646" s="69"/>
      <c r="N1646" s="69"/>
      <c r="O1646" s="69"/>
      <c r="P1646" s="69"/>
      <c r="Q1646" s="69"/>
      <c r="R1646" s="69"/>
    </row>
    <row r="1647" spans="1:18" s="18" customFormat="1" ht="34.5" customHeight="1">
      <c r="A1647" s="16" t="s">
        <v>37</v>
      </c>
      <c r="B1647" s="49">
        <v>793</v>
      </c>
      <c r="C1647" s="15" t="s">
        <v>18</v>
      </c>
      <c r="D1647" s="15" t="s">
        <v>22</v>
      </c>
      <c r="E1647" s="15" t="s">
        <v>1201</v>
      </c>
      <c r="F1647" s="15" t="s">
        <v>38</v>
      </c>
      <c r="G1647" s="70">
        <v>404540</v>
      </c>
      <c r="H1647" s="70">
        <v>0</v>
      </c>
      <c r="I1647" s="70">
        <v>0</v>
      </c>
      <c r="J1647" s="172"/>
      <c r="K1647" s="180"/>
      <c r="L1647" s="180"/>
      <c r="M1647" s="180"/>
      <c r="N1647" s="180"/>
      <c r="O1647" s="180"/>
      <c r="P1647" s="180"/>
      <c r="Q1647" s="180"/>
      <c r="R1647" s="180"/>
    </row>
    <row r="1648" spans="1:18" s="18" customFormat="1" ht="80.25" customHeight="1">
      <c r="A1648" s="82" t="s">
        <v>1550</v>
      </c>
      <c r="B1648" s="49">
        <v>793</v>
      </c>
      <c r="C1648" s="15" t="s">
        <v>18</v>
      </c>
      <c r="D1648" s="15" t="s">
        <v>22</v>
      </c>
      <c r="E1648" s="15" t="s">
        <v>1476</v>
      </c>
      <c r="F1648" s="15"/>
      <c r="G1648" s="70">
        <f>G1649</f>
        <v>3300000</v>
      </c>
      <c r="H1648" s="70">
        <f t="shared" ref="H1648:I1648" si="424">H1649</f>
        <v>0</v>
      </c>
      <c r="I1648" s="70">
        <f t="shared" si="424"/>
        <v>0</v>
      </c>
      <c r="J1648" s="172"/>
      <c r="K1648" s="180"/>
      <c r="L1648" s="180"/>
      <c r="M1648" s="180"/>
      <c r="N1648" s="180"/>
      <c r="O1648" s="180"/>
      <c r="P1648" s="180"/>
      <c r="Q1648" s="180"/>
      <c r="R1648" s="180"/>
    </row>
    <row r="1649" spans="1:18" ht="30.75" customHeight="1">
      <c r="A1649" s="16" t="s">
        <v>35</v>
      </c>
      <c r="B1649" s="49">
        <v>793</v>
      </c>
      <c r="C1649" s="15" t="s">
        <v>18</v>
      </c>
      <c r="D1649" s="15" t="s">
        <v>22</v>
      </c>
      <c r="E1649" s="15" t="s">
        <v>1476</v>
      </c>
      <c r="F1649" s="15" t="s">
        <v>36</v>
      </c>
      <c r="G1649" s="70">
        <f t="shared" ref="G1649:I1649" si="425">G1650</f>
        <v>3300000</v>
      </c>
      <c r="H1649" s="70">
        <f t="shared" si="425"/>
        <v>0</v>
      </c>
      <c r="I1649" s="70">
        <f t="shared" si="425"/>
        <v>0</v>
      </c>
      <c r="J1649" s="172"/>
      <c r="K1649" s="69"/>
      <c r="L1649" s="69"/>
      <c r="M1649" s="69"/>
      <c r="N1649" s="69"/>
      <c r="O1649" s="69"/>
      <c r="P1649" s="69"/>
      <c r="Q1649" s="69"/>
      <c r="R1649" s="69"/>
    </row>
    <row r="1650" spans="1:18" s="18" customFormat="1" ht="34.5" customHeight="1">
      <c r="A1650" s="16" t="s">
        <v>37</v>
      </c>
      <c r="B1650" s="49">
        <v>793</v>
      </c>
      <c r="C1650" s="15" t="s">
        <v>18</v>
      </c>
      <c r="D1650" s="15" t="s">
        <v>22</v>
      </c>
      <c r="E1650" s="15" t="s">
        <v>1476</v>
      </c>
      <c r="F1650" s="15" t="s">
        <v>38</v>
      </c>
      <c r="G1650" s="70">
        <v>3300000</v>
      </c>
      <c r="H1650" s="70">
        <v>0</v>
      </c>
      <c r="I1650" s="70">
        <v>0</v>
      </c>
      <c r="J1650" s="172"/>
      <c r="K1650" s="180"/>
      <c r="L1650" s="180"/>
      <c r="M1650" s="180"/>
      <c r="N1650" s="180"/>
      <c r="O1650" s="180"/>
      <c r="P1650" s="180"/>
      <c r="Q1650" s="180"/>
      <c r="R1650" s="180"/>
    </row>
    <row r="1651" spans="1:18" ht="84.75" customHeight="1">
      <c r="A1651" s="104" t="s">
        <v>1441</v>
      </c>
      <c r="B1651" s="84" t="s">
        <v>804</v>
      </c>
      <c r="C1651" s="84" t="s">
        <v>18</v>
      </c>
      <c r="D1651" s="84" t="s">
        <v>22</v>
      </c>
      <c r="E1651" s="15" t="s">
        <v>1442</v>
      </c>
      <c r="F1651" s="15"/>
      <c r="G1651" s="8">
        <f>G1652</f>
        <v>124768.01</v>
      </c>
      <c r="H1651" s="85">
        <f t="shared" ref="H1651:I1652" si="426">H1652</f>
        <v>0</v>
      </c>
      <c r="I1651" s="85">
        <f t="shared" si="426"/>
        <v>0</v>
      </c>
      <c r="J1651" s="173"/>
    </row>
    <row r="1652" spans="1:18" ht="27.75" customHeight="1">
      <c r="A1652" s="16" t="s">
        <v>316</v>
      </c>
      <c r="B1652" s="84" t="s">
        <v>804</v>
      </c>
      <c r="C1652" s="84" t="s">
        <v>18</v>
      </c>
      <c r="D1652" s="84" t="s">
        <v>22</v>
      </c>
      <c r="E1652" s="15" t="s">
        <v>1442</v>
      </c>
      <c r="F1652" s="15" t="s">
        <v>36</v>
      </c>
      <c r="G1652" s="8">
        <f>G1653</f>
        <v>124768.01</v>
      </c>
      <c r="H1652" s="85">
        <f t="shared" si="426"/>
        <v>0</v>
      </c>
      <c r="I1652" s="85">
        <f t="shared" si="426"/>
        <v>0</v>
      </c>
      <c r="J1652" s="173"/>
    </row>
    <row r="1653" spans="1:18" ht="31.5" customHeight="1">
      <c r="A1653" s="16" t="s">
        <v>37</v>
      </c>
      <c r="B1653" s="84" t="s">
        <v>804</v>
      </c>
      <c r="C1653" s="84" t="s">
        <v>18</v>
      </c>
      <c r="D1653" s="84" t="s">
        <v>22</v>
      </c>
      <c r="E1653" s="15" t="s">
        <v>1442</v>
      </c>
      <c r="F1653" s="15" t="s">
        <v>38</v>
      </c>
      <c r="G1653" s="85">
        <f>130323.01-5555</f>
        <v>124768.01</v>
      </c>
      <c r="H1653" s="87"/>
      <c r="I1653" s="87"/>
      <c r="J1653" s="173"/>
    </row>
    <row r="1654" spans="1:18" ht="23.25" customHeight="1">
      <c r="A1654" s="40" t="s">
        <v>919</v>
      </c>
      <c r="B1654" s="14">
        <v>793</v>
      </c>
      <c r="C1654" s="15" t="s">
        <v>18</v>
      </c>
      <c r="D1654" s="15" t="s">
        <v>22</v>
      </c>
      <c r="E1654" s="15" t="s">
        <v>387</v>
      </c>
      <c r="F1654" s="15"/>
      <c r="G1654" s="70">
        <f t="shared" ref="G1654:I1661" si="427">G1655</f>
        <v>0</v>
      </c>
      <c r="H1654" s="70">
        <f t="shared" si="427"/>
        <v>1000000</v>
      </c>
      <c r="I1654" s="70">
        <f t="shared" si="427"/>
        <v>0</v>
      </c>
      <c r="J1654" s="172"/>
      <c r="K1654" s="69"/>
      <c r="L1654" s="69"/>
      <c r="M1654" s="69"/>
      <c r="N1654" s="69"/>
      <c r="O1654" s="69"/>
      <c r="P1654" s="69"/>
      <c r="Q1654" s="69"/>
      <c r="R1654" s="69"/>
    </row>
    <row r="1655" spans="1:18" ht="34.5" customHeight="1">
      <c r="A1655" s="16" t="s">
        <v>316</v>
      </c>
      <c r="B1655" s="14">
        <v>793</v>
      </c>
      <c r="C1655" s="15" t="s">
        <v>18</v>
      </c>
      <c r="D1655" s="15" t="s">
        <v>22</v>
      </c>
      <c r="E1655" s="15" t="s">
        <v>387</v>
      </c>
      <c r="F1655" s="15" t="s">
        <v>36</v>
      </c>
      <c r="G1655" s="70">
        <f t="shared" si="427"/>
        <v>0</v>
      </c>
      <c r="H1655" s="70">
        <f t="shared" si="427"/>
        <v>1000000</v>
      </c>
      <c r="I1655" s="70">
        <f t="shared" si="427"/>
        <v>0</v>
      </c>
      <c r="J1655" s="172"/>
      <c r="K1655" s="69"/>
      <c r="L1655" s="69"/>
      <c r="M1655" s="69"/>
      <c r="N1655" s="69"/>
      <c r="O1655" s="69"/>
      <c r="P1655" s="69"/>
      <c r="Q1655" s="69"/>
      <c r="R1655" s="69"/>
    </row>
    <row r="1656" spans="1:18" ht="30.75" customHeight="1">
      <c r="A1656" s="16" t="s">
        <v>37</v>
      </c>
      <c r="B1656" s="14">
        <v>793</v>
      </c>
      <c r="C1656" s="15" t="s">
        <v>18</v>
      </c>
      <c r="D1656" s="15" t="s">
        <v>22</v>
      </c>
      <c r="E1656" s="15" t="s">
        <v>387</v>
      </c>
      <c r="F1656" s="15" t="s">
        <v>38</v>
      </c>
      <c r="G1656" s="70">
        <f>2000000-556630-1443370</f>
        <v>0</v>
      </c>
      <c r="H1656" s="70">
        <f>2000000-1000000</f>
        <v>1000000</v>
      </c>
      <c r="I1656" s="70">
        <v>0</v>
      </c>
      <c r="J1656" s="172"/>
      <c r="K1656" s="69"/>
      <c r="L1656" s="69"/>
      <c r="M1656" s="69"/>
      <c r="N1656" s="69"/>
      <c r="O1656" s="69"/>
      <c r="P1656" s="69"/>
      <c r="Q1656" s="69"/>
      <c r="R1656" s="69"/>
    </row>
    <row r="1657" spans="1:18">
      <c r="A1657" s="40" t="s">
        <v>911</v>
      </c>
      <c r="B1657" s="14">
        <v>793</v>
      </c>
      <c r="C1657" s="15" t="s">
        <v>18</v>
      </c>
      <c r="D1657" s="15" t="s">
        <v>22</v>
      </c>
      <c r="E1657" s="15" t="s">
        <v>910</v>
      </c>
      <c r="F1657" s="15"/>
      <c r="G1657" s="70">
        <f t="shared" si="427"/>
        <v>471610</v>
      </c>
      <c r="H1657" s="70">
        <f t="shared" si="427"/>
        <v>500000</v>
      </c>
      <c r="I1657" s="70">
        <f t="shared" si="427"/>
        <v>0</v>
      </c>
      <c r="J1657" s="172"/>
      <c r="K1657" s="69"/>
      <c r="L1657" s="69"/>
      <c r="M1657" s="69"/>
      <c r="N1657" s="69"/>
      <c r="O1657" s="69"/>
      <c r="P1657" s="69"/>
      <c r="Q1657" s="69"/>
      <c r="R1657" s="69"/>
    </row>
    <row r="1658" spans="1:18" ht="34.5" customHeight="1">
      <c r="A1658" s="16" t="s">
        <v>316</v>
      </c>
      <c r="B1658" s="14">
        <v>793</v>
      </c>
      <c r="C1658" s="15" t="s">
        <v>18</v>
      </c>
      <c r="D1658" s="15" t="s">
        <v>22</v>
      </c>
      <c r="E1658" s="15" t="s">
        <v>910</v>
      </c>
      <c r="F1658" s="15" t="s">
        <v>36</v>
      </c>
      <c r="G1658" s="70">
        <f t="shared" si="427"/>
        <v>471610</v>
      </c>
      <c r="H1658" s="70">
        <f t="shared" si="427"/>
        <v>500000</v>
      </c>
      <c r="I1658" s="70">
        <f t="shared" si="427"/>
        <v>0</v>
      </c>
      <c r="J1658" s="172"/>
      <c r="K1658" s="69"/>
      <c r="L1658" s="69"/>
      <c r="M1658" s="69"/>
      <c r="N1658" s="69"/>
      <c r="O1658" s="69"/>
      <c r="P1658" s="69"/>
      <c r="Q1658" s="69"/>
      <c r="R1658" s="69"/>
    </row>
    <row r="1659" spans="1:18" ht="30.75" customHeight="1">
      <c r="A1659" s="16" t="s">
        <v>37</v>
      </c>
      <c r="B1659" s="14">
        <v>793</v>
      </c>
      <c r="C1659" s="15" t="s">
        <v>18</v>
      </c>
      <c r="D1659" s="15" t="s">
        <v>22</v>
      </c>
      <c r="E1659" s="15" t="s">
        <v>910</v>
      </c>
      <c r="F1659" s="15" t="s">
        <v>38</v>
      </c>
      <c r="G1659" s="70">
        <f>1000000-508390-20000</f>
        <v>471610</v>
      </c>
      <c r="H1659" s="70">
        <f>1000000-500000</f>
        <v>500000</v>
      </c>
      <c r="I1659" s="70">
        <v>0</v>
      </c>
      <c r="J1659" s="172"/>
      <c r="K1659" s="69"/>
      <c r="L1659" s="69"/>
      <c r="M1659" s="69"/>
      <c r="N1659" s="69"/>
      <c r="O1659" s="69"/>
      <c r="P1659" s="69"/>
      <c r="Q1659" s="69"/>
      <c r="R1659" s="69"/>
    </row>
    <row r="1660" spans="1:18" ht="30.75" customHeight="1">
      <c r="A1660" s="40" t="s">
        <v>1390</v>
      </c>
      <c r="B1660" s="14">
        <v>793</v>
      </c>
      <c r="C1660" s="15" t="s">
        <v>18</v>
      </c>
      <c r="D1660" s="15" t="s">
        <v>22</v>
      </c>
      <c r="E1660" s="15" t="s">
        <v>1389</v>
      </c>
      <c r="F1660" s="15"/>
      <c r="G1660" s="70">
        <f t="shared" si="427"/>
        <v>20000</v>
      </c>
      <c r="H1660" s="70">
        <f t="shared" si="427"/>
        <v>0</v>
      </c>
      <c r="I1660" s="70">
        <f t="shared" si="427"/>
        <v>0</v>
      </c>
      <c r="J1660" s="172"/>
      <c r="K1660" s="69"/>
      <c r="L1660" s="69"/>
      <c r="M1660" s="69"/>
      <c r="N1660" s="69"/>
      <c r="O1660" s="69"/>
      <c r="P1660" s="69"/>
      <c r="Q1660" s="69"/>
      <c r="R1660" s="69"/>
    </row>
    <row r="1661" spans="1:18" ht="42" customHeight="1">
      <c r="A1661" s="16" t="s">
        <v>316</v>
      </c>
      <c r="B1661" s="14">
        <v>793</v>
      </c>
      <c r="C1661" s="15" t="s">
        <v>18</v>
      </c>
      <c r="D1661" s="15" t="s">
        <v>22</v>
      </c>
      <c r="E1661" s="15" t="s">
        <v>1389</v>
      </c>
      <c r="F1661" s="15" t="s">
        <v>36</v>
      </c>
      <c r="G1661" s="70">
        <f t="shared" si="427"/>
        <v>20000</v>
      </c>
      <c r="H1661" s="70">
        <f t="shared" si="427"/>
        <v>0</v>
      </c>
      <c r="I1661" s="70">
        <f t="shared" si="427"/>
        <v>0</v>
      </c>
      <c r="J1661" s="172"/>
      <c r="K1661" s="69"/>
      <c r="L1661" s="69"/>
      <c r="M1661" s="69"/>
      <c r="N1661" s="69"/>
      <c r="O1661" s="69"/>
      <c r="P1661" s="69"/>
      <c r="Q1661" s="69"/>
      <c r="R1661" s="69"/>
    </row>
    <row r="1662" spans="1:18" ht="30.75" customHeight="1">
      <c r="A1662" s="16" t="s">
        <v>37</v>
      </c>
      <c r="B1662" s="14">
        <v>793</v>
      </c>
      <c r="C1662" s="15" t="s">
        <v>18</v>
      </c>
      <c r="D1662" s="15" t="s">
        <v>22</v>
      </c>
      <c r="E1662" s="15" t="s">
        <v>1389</v>
      </c>
      <c r="F1662" s="15" t="s">
        <v>38</v>
      </c>
      <c r="G1662" s="70">
        <v>20000</v>
      </c>
      <c r="H1662" s="70">
        <v>0</v>
      </c>
      <c r="I1662" s="70">
        <v>0</v>
      </c>
      <c r="J1662" s="172"/>
      <c r="K1662" s="69"/>
      <c r="L1662" s="69"/>
      <c r="M1662" s="69"/>
      <c r="N1662" s="69"/>
      <c r="O1662" s="69"/>
      <c r="P1662" s="69"/>
      <c r="Q1662" s="69"/>
      <c r="R1662" s="69"/>
    </row>
    <row r="1663" spans="1:18" ht="54.75" customHeight="1">
      <c r="A1663" s="40" t="s">
        <v>20</v>
      </c>
      <c r="B1663" s="14">
        <v>793</v>
      </c>
      <c r="C1663" s="15" t="s">
        <v>18</v>
      </c>
      <c r="D1663" s="15" t="s">
        <v>22</v>
      </c>
      <c r="E1663" s="15" t="s">
        <v>19</v>
      </c>
      <c r="F1663" s="15"/>
      <c r="G1663" s="70">
        <f t="shared" ref="G1663:I1664" si="428">G1664</f>
        <v>49000</v>
      </c>
      <c r="H1663" s="70">
        <f t="shared" si="428"/>
        <v>49000</v>
      </c>
      <c r="I1663" s="70">
        <f t="shared" si="428"/>
        <v>49000</v>
      </c>
      <c r="J1663" s="172"/>
      <c r="K1663" s="69"/>
      <c r="L1663" s="69"/>
      <c r="M1663" s="69"/>
      <c r="N1663" s="69"/>
      <c r="O1663" s="69"/>
      <c r="P1663" s="69"/>
      <c r="Q1663" s="69"/>
      <c r="R1663" s="69"/>
    </row>
    <row r="1664" spans="1:18" ht="18" customHeight="1">
      <c r="A1664" s="16" t="s">
        <v>316</v>
      </c>
      <c r="B1664" s="14">
        <v>793</v>
      </c>
      <c r="C1664" s="15" t="s">
        <v>18</v>
      </c>
      <c r="D1664" s="15" t="s">
        <v>22</v>
      </c>
      <c r="E1664" s="15" t="s">
        <v>19</v>
      </c>
      <c r="F1664" s="15" t="s">
        <v>36</v>
      </c>
      <c r="G1664" s="70">
        <f t="shared" si="428"/>
        <v>49000</v>
      </c>
      <c r="H1664" s="70">
        <f t="shared" si="428"/>
        <v>49000</v>
      </c>
      <c r="I1664" s="70">
        <f t="shared" si="428"/>
        <v>49000</v>
      </c>
      <c r="J1664" s="172"/>
      <c r="K1664" s="69"/>
      <c r="L1664" s="69"/>
      <c r="M1664" s="69"/>
      <c r="N1664" s="69"/>
      <c r="O1664" s="69"/>
      <c r="P1664" s="69"/>
      <c r="Q1664" s="69"/>
      <c r="R1664" s="69"/>
    </row>
    <row r="1665" spans="1:18" ht="30.75" customHeight="1">
      <c r="A1665" s="16" t="s">
        <v>37</v>
      </c>
      <c r="B1665" s="14">
        <v>793</v>
      </c>
      <c r="C1665" s="15" t="s">
        <v>18</v>
      </c>
      <c r="D1665" s="15" t="s">
        <v>22</v>
      </c>
      <c r="E1665" s="15" t="s">
        <v>19</v>
      </c>
      <c r="F1665" s="15" t="s">
        <v>38</v>
      </c>
      <c r="G1665" s="70">
        <v>49000</v>
      </c>
      <c r="H1665" s="70">
        <v>49000</v>
      </c>
      <c r="I1665" s="70">
        <v>49000</v>
      </c>
      <c r="J1665" s="172"/>
      <c r="K1665" s="69"/>
      <c r="L1665" s="69"/>
      <c r="M1665" s="69"/>
      <c r="N1665" s="69"/>
      <c r="O1665" s="69"/>
      <c r="P1665" s="69"/>
      <c r="Q1665" s="69"/>
      <c r="R1665" s="69"/>
    </row>
    <row r="1666" spans="1:18" ht="26.4" hidden="1">
      <c r="A1666" s="40" t="s">
        <v>788</v>
      </c>
      <c r="B1666" s="14">
        <v>793</v>
      </c>
      <c r="C1666" s="15" t="s">
        <v>18</v>
      </c>
      <c r="D1666" s="15" t="s">
        <v>22</v>
      </c>
      <c r="E1666" s="15" t="s">
        <v>787</v>
      </c>
      <c r="F1666" s="15"/>
      <c r="G1666" s="70">
        <f t="shared" ref="G1666:I1667" si="429">G1667</f>
        <v>0</v>
      </c>
      <c r="H1666" s="70">
        <f t="shared" si="429"/>
        <v>0</v>
      </c>
      <c r="I1666" s="70">
        <f t="shared" si="429"/>
        <v>0</v>
      </c>
      <c r="J1666" s="172"/>
      <c r="K1666" s="69"/>
      <c r="L1666" s="69"/>
      <c r="M1666" s="69"/>
      <c r="N1666" s="69"/>
      <c r="O1666" s="69"/>
      <c r="P1666" s="69"/>
      <c r="Q1666" s="69"/>
      <c r="R1666" s="69"/>
    </row>
    <row r="1667" spans="1:18" ht="28.5" hidden="1" customHeight="1">
      <c r="A1667" s="16" t="s">
        <v>316</v>
      </c>
      <c r="B1667" s="14">
        <v>793</v>
      </c>
      <c r="C1667" s="15" t="s">
        <v>18</v>
      </c>
      <c r="D1667" s="15" t="s">
        <v>22</v>
      </c>
      <c r="E1667" s="15" t="s">
        <v>787</v>
      </c>
      <c r="F1667" s="15" t="s">
        <v>36</v>
      </c>
      <c r="G1667" s="70">
        <f t="shared" si="429"/>
        <v>0</v>
      </c>
      <c r="H1667" s="70">
        <f t="shared" si="429"/>
        <v>0</v>
      </c>
      <c r="I1667" s="70">
        <f t="shared" si="429"/>
        <v>0</v>
      </c>
      <c r="J1667" s="172"/>
      <c r="K1667" s="69"/>
      <c r="L1667" s="69"/>
      <c r="M1667" s="69"/>
      <c r="N1667" s="69"/>
      <c r="O1667" s="69"/>
      <c r="P1667" s="69"/>
      <c r="Q1667" s="69"/>
      <c r="R1667" s="69"/>
    </row>
    <row r="1668" spans="1:18" ht="30.75" hidden="1" customHeight="1">
      <c r="A1668" s="16" t="s">
        <v>37</v>
      </c>
      <c r="B1668" s="14">
        <v>793</v>
      </c>
      <c r="C1668" s="15" t="s">
        <v>18</v>
      </c>
      <c r="D1668" s="15" t="s">
        <v>22</v>
      </c>
      <c r="E1668" s="15" t="s">
        <v>787</v>
      </c>
      <c r="F1668" s="15" t="s">
        <v>38</v>
      </c>
      <c r="G1668" s="70"/>
      <c r="H1668" s="70"/>
      <c r="I1668" s="70"/>
      <c r="J1668" s="172"/>
      <c r="K1668" s="69"/>
      <c r="L1668" s="69"/>
      <c r="M1668" s="69"/>
      <c r="N1668" s="69"/>
      <c r="O1668" s="69"/>
      <c r="P1668" s="69"/>
      <c r="Q1668" s="69"/>
      <c r="R1668" s="69"/>
    </row>
    <row r="1669" spans="1:18" ht="30.75" hidden="1" customHeight="1">
      <c r="A1669" s="40" t="s">
        <v>788</v>
      </c>
      <c r="B1669" s="14">
        <v>793</v>
      </c>
      <c r="C1669" s="15" t="s">
        <v>18</v>
      </c>
      <c r="D1669" s="15" t="s">
        <v>22</v>
      </c>
      <c r="E1669" s="15" t="s">
        <v>787</v>
      </c>
      <c r="F1669" s="15"/>
      <c r="G1669" s="70">
        <f>G1670</f>
        <v>0</v>
      </c>
      <c r="H1669" s="70"/>
      <c r="I1669" s="70"/>
      <c r="J1669" s="172"/>
      <c r="K1669" s="69"/>
      <c r="L1669" s="69"/>
      <c r="M1669" s="69"/>
      <c r="N1669" s="69"/>
      <c r="O1669" s="69"/>
      <c r="P1669" s="69"/>
      <c r="Q1669" s="69"/>
      <c r="R1669" s="69"/>
    </row>
    <row r="1670" spans="1:18" ht="30.75" hidden="1" customHeight="1">
      <c r="A1670" s="16" t="s">
        <v>316</v>
      </c>
      <c r="B1670" s="14">
        <v>793</v>
      </c>
      <c r="C1670" s="15" t="s">
        <v>18</v>
      </c>
      <c r="D1670" s="15" t="s">
        <v>22</v>
      </c>
      <c r="E1670" s="15" t="s">
        <v>787</v>
      </c>
      <c r="F1670" s="15" t="s">
        <v>36</v>
      </c>
      <c r="G1670" s="70">
        <f>G1671</f>
        <v>0</v>
      </c>
      <c r="H1670" s="70"/>
      <c r="I1670" s="70"/>
      <c r="J1670" s="172"/>
      <c r="K1670" s="69"/>
      <c r="L1670" s="69"/>
      <c r="M1670" s="69"/>
      <c r="N1670" s="69"/>
      <c r="O1670" s="69"/>
      <c r="P1670" s="69"/>
      <c r="Q1670" s="69"/>
      <c r="R1670" s="69"/>
    </row>
    <row r="1671" spans="1:18" ht="30.75" hidden="1" customHeight="1">
      <c r="A1671" s="16" t="s">
        <v>37</v>
      </c>
      <c r="B1671" s="14">
        <v>793</v>
      </c>
      <c r="C1671" s="15" t="s">
        <v>18</v>
      </c>
      <c r="D1671" s="15" t="s">
        <v>22</v>
      </c>
      <c r="E1671" s="15" t="s">
        <v>787</v>
      </c>
      <c r="F1671" s="15" t="s">
        <v>38</v>
      </c>
      <c r="G1671" s="70"/>
      <c r="H1671" s="70"/>
      <c r="I1671" s="70"/>
      <c r="J1671" s="172"/>
      <c r="K1671" s="69"/>
      <c r="L1671" s="69"/>
      <c r="M1671" s="69"/>
      <c r="N1671" s="69"/>
      <c r="O1671" s="69"/>
      <c r="P1671" s="69"/>
      <c r="Q1671" s="69"/>
      <c r="R1671" s="69"/>
    </row>
    <row r="1672" spans="1:18" ht="30.75" customHeight="1">
      <c r="A1672" s="136" t="s">
        <v>1278</v>
      </c>
      <c r="B1672" s="14">
        <v>793</v>
      </c>
      <c r="C1672" s="15" t="s">
        <v>18</v>
      </c>
      <c r="D1672" s="15" t="s">
        <v>22</v>
      </c>
      <c r="E1672" s="84" t="s">
        <v>228</v>
      </c>
      <c r="F1672" s="15"/>
      <c r="G1672" s="70">
        <f>G1673</f>
        <v>400747</v>
      </c>
      <c r="H1672" s="70">
        <v>0</v>
      </c>
      <c r="I1672" s="70">
        <v>0</v>
      </c>
      <c r="J1672" s="172"/>
      <c r="K1672" s="69"/>
      <c r="L1672" s="69"/>
      <c r="M1672" s="69"/>
      <c r="N1672" s="69"/>
      <c r="O1672" s="69"/>
      <c r="P1672" s="69"/>
      <c r="Q1672" s="69"/>
      <c r="R1672" s="69"/>
    </row>
    <row r="1673" spans="1:18" ht="30.75" customHeight="1">
      <c r="A1673" s="136" t="s">
        <v>1278</v>
      </c>
      <c r="B1673" s="14">
        <v>793</v>
      </c>
      <c r="C1673" s="15" t="s">
        <v>18</v>
      </c>
      <c r="D1673" s="15" t="s">
        <v>22</v>
      </c>
      <c r="E1673" s="84" t="s">
        <v>270</v>
      </c>
      <c r="F1673" s="15"/>
      <c r="G1673" s="70">
        <f>G1674</f>
        <v>400747</v>
      </c>
      <c r="H1673" s="70">
        <v>0</v>
      </c>
      <c r="I1673" s="70">
        <v>0</v>
      </c>
      <c r="J1673" s="172"/>
      <c r="K1673" s="69"/>
      <c r="L1673" s="69"/>
      <c r="M1673" s="69"/>
      <c r="N1673" s="69"/>
      <c r="O1673" s="69"/>
      <c r="P1673" s="69"/>
      <c r="Q1673" s="69"/>
      <c r="R1673" s="69"/>
    </row>
    <row r="1674" spans="1:18" s="3" customFormat="1">
      <c r="A1674" s="16" t="s">
        <v>316</v>
      </c>
      <c r="B1674" s="14">
        <v>793</v>
      </c>
      <c r="C1674" s="15" t="s">
        <v>18</v>
      </c>
      <c r="D1674" s="15" t="s">
        <v>22</v>
      </c>
      <c r="E1674" s="84" t="s">
        <v>270</v>
      </c>
      <c r="F1674" s="84" t="s">
        <v>36</v>
      </c>
      <c r="G1674" s="70">
        <f t="shared" ref="G1674:I1674" si="430">G1675</f>
        <v>400747</v>
      </c>
      <c r="H1674" s="87">
        <f t="shared" si="430"/>
        <v>0</v>
      </c>
      <c r="I1674" s="87">
        <f t="shared" si="430"/>
        <v>0</v>
      </c>
      <c r="J1674" s="173"/>
      <c r="K1674" s="194"/>
      <c r="L1674" s="194"/>
      <c r="M1674" s="194"/>
      <c r="N1674" s="194"/>
      <c r="O1674" s="194"/>
      <c r="P1674" s="194"/>
      <c r="Q1674" s="194"/>
      <c r="R1674" s="194"/>
    </row>
    <row r="1675" spans="1:18" s="3" customFormat="1" ht="26.4">
      <c r="A1675" s="16" t="s">
        <v>37</v>
      </c>
      <c r="B1675" s="14">
        <v>793</v>
      </c>
      <c r="C1675" s="15" t="s">
        <v>18</v>
      </c>
      <c r="D1675" s="15" t="s">
        <v>22</v>
      </c>
      <c r="E1675" s="84" t="s">
        <v>270</v>
      </c>
      <c r="F1675" s="84" t="s">
        <v>38</v>
      </c>
      <c r="G1675" s="70">
        <f>334747+66000</f>
        <v>400747</v>
      </c>
      <c r="H1675" s="87">
        <v>0</v>
      </c>
      <c r="I1675" s="87">
        <v>0</v>
      </c>
      <c r="J1675" s="173"/>
      <c r="K1675" s="194"/>
      <c r="L1675" s="194"/>
      <c r="M1675" s="194"/>
      <c r="N1675" s="194"/>
      <c r="O1675" s="194"/>
      <c r="P1675" s="194"/>
      <c r="Q1675" s="194"/>
      <c r="R1675" s="194"/>
    </row>
    <row r="1676" spans="1:18" ht="25.5" customHeight="1">
      <c r="A1676" s="16" t="s">
        <v>325</v>
      </c>
      <c r="B1676" s="14">
        <v>793</v>
      </c>
      <c r="C1676" s="15" t="s">
        <v>18</v>
      </c>
      <c r="D1676" s="15" t="s">
        <v>22</v>
      </c>
      <c r="E1676" s="15" t="s">
        <v>245</v>
      </c>
      <c r="F1676" s="15"/>
      <c r="G1676" s="70">
        <f>G1677</f>
        <v>25869641</v>
      </c>
      <c r="H1676" s="70">
        <f t="shared" ref="H1676:I1676" si="431">H1677</f>
        <v>26369641</v>
      </c>
      <c r="I1676" s="70">
        <f t="shared" si="431"/>
        <v>26369641</v>
      </c>
      <c r="J1676" s="172"/>
      <c r="K1676" s="69"/>
      <c r="L1676" s="69"/>
      <c r="M1676" s="69"/>
      <c r="N1676" s="69"/>
      <c r="O1676" s="69"/>
      <c r="P1676" s="69"/>
      <c r="Q1676" s="69"/>
      <c r="R1676" s="69"/>
    </row>
    <row r="1677" spans="1:18" ht="25.5" customHeight="1">
      <c r="A1677" s="16" t="s">
        <v>49</v>
      </c>
      <c r="B1677" s="14">
        <v>793</v>
      </c>
      <c r="C1677" s="15" t="s">
        <v>18</v>
      </c>
      <c r="D1677" s="15" t="s">
        <v>22</v>
      </c>
      <c r="E1677" s="15" t="s">
        <v>286</v>
      </c>
      <c r="F1677" s="15"/>
      <c r="G1677" s="70">
        <f>G1678+G1680+G1684+G1682</f>
        <v>25869641</v>
      </c>
      <c r="H1677" s="70">
        <f>H1678+H1680+H1684+H1682</f>
        <v>26369641</v>
      </c>
      <c r="I1677" s="70">
        <f>I1678+I1680+I1684+I1682</f>
        <v>26369641</v>
      </c>
      <c r="J1677" s="172"/>
      <c r="K1677" s="69"/>
      <c r="L1677" s="69"/>
      <c r="M1677" s="69"/>
      <c r="N1677" s="69"/>
      <c r="O1677" s="69"/>
      <c r="P1677" s="330"/>
      <c r="Q1677" s="241"/>
      <c r="R1677" s="69"/>
    </row>
    <row r="1678" spans="1:18" ht="52.8">
      <c r="A1678" s="16" t="s">
        <v>312</v>
      </c>
      <c r="B1678" s="14">
        <v>793</v>
      </c>
      <c r="C1678" s="15" t="s">
        <v>18</v>
      </c>
      <c r="D1678" s="15" t="s">
        <v>22</v>
      </c>
      <c r="E1678" s="15" t="s">
        <v>286</v>
      </c>
      <c r="F1678" s="15" t="s">
        <v>57</v>
      </c>
      <c r="G1678" s="70">
        <f>G1679</f>
        <v>13758611</v>
      </c>
      <c r="H1678" s="70">
        <f t="shared" ref="H1678:I1678" si="432">H1679</f>
        <v>13789611</v>
      </c>
      <c r="I1678" s="70">
        <f t="shared" si="432"/>
        <v>13789611</v>
      </c>
      <c r="J1678" s="172"/>
      <c r="K1678" s="69"/>
      <c r="L1678" s="69"/>
      <c r="M1678" s="69"/>
      <c r="N1678" s="69"/>
      <c r="O1678" s="69"/>
      <c r="P1678" s="69"/>
      <c r="Q1678" s="69"/>
      <c r="R1678" s="69"/>
    </row>
    <row r="1679" spans="1:18">
      <c r="A1679" s="16" t="s">
        <v>319</v>
      </c>
      <c r="B1679" s="14">
        <v>793</v>
      </c>
      <c r="C1679" s="15" t="s">
        <v>18</v>
      </c>
      <c r="D1679" s="15" t="s">
        <v>22</v>
      </c>
      <c r="E1679" s="15" t="s">
        <v>286</v>
      </c>
      <c r="F1679" s="15" t="s">
        <v>318</v>
      </c>
      <c r="G1679" s="70">
        <v>13758611</v>
      </c>
      <c r="H1679" s="70">
        <v>13789611</v>
      </c>
      <c r="I1679" s="70">
        <v>13789611</v>
      </c>
      <c r="J1679" s="172"/>
      <c r="K1679" s="69"/>
      <c r="L1679" s="69"/>
      <c r="M1679" s="69"/>
      <c r="N1679" s="69"/>
      <c r="O1679" s="69"/>
      <c r="P1679" s="69"/>
      <c r="Q1679" s="69"/>
      <c r="R1679" s="69"/>
    </row>
    <row r="1680" spans="1:18" ht="17.25" customHeight="1">
      <c r="A1680" s="16" t="s">
        <v>316</v>
      </c>
      <c r="B1680" s="14">
        <v>793</v>
      </c>
      <c r="C1680" s="15" t="s">
        <v>18</v>
      </c>
      <c r="D1680" s="15" t="s">
        <v>22</v>
      </c>
      <c r="E1680" s="15" t="s">
        <v>286</v>
      </c>
      <c r="F1680" s="15" t="s">
        <v>36</v>
      </c>
      <c r="G1680" s="70">
        <f>G1681</f>
        <v>11991339</v>
      </c>
      <c r="H1680" s="70">
        <f>H1681</f>
        <v>12216339</v>
      </c>
      <c r="I1680" s="70">
        <f>I1681</f>
        <v>12216339</v>
      </c>
      <c r="J1680" s="172"/>
      <c r="K1680" s="69"/>
      <c r="L1680" s="69"/>
      <c r="M1680" s="69"/>
      <c r="N1680" s="69"/>
      <c r="O1680" s="69"/>
      <c r="P1680" s="69"/>
      <c r="Q1680" s="69"/>
      <c r="R1680" s="69"/>
    </row>
    <row r="1681" spans="1:18" ht="24" customHeight="1">
      <c r="A1681" s="16" t="s">
        <v>37</v>
      </c>
      <c r="B1681" s="14">
        <v>793</v>
      </c>
      <c r="C1681" s="15" t="s">
        <v>18</v>
      </c>
      <c r="D1681" s="15" t="s">
        <v>22</v>
      </c>
      <c r="E1681" s="15" t="s">
        <v>286</v>
      </c>
      <c r="F1681" s="15" t="s">
        <v>38</v>
      </c>
      <c r="G1681" s="70">
        <v>11991339</v>
      </c>
      <c r="H1681" s="70">
        <f>11455774+760565</f>
        <v>12216339</v>
      </c>
      <c r="I1681" s="70">
        <f>11455774+760565</f>
        <v>12216339</v>
      </c>
      <c r="J1681" s="172"/>
      <c r="K1681" s="69"/>
      <c r="L1681" s="69"/>
      <c r="M1681" s="69"/>
      <c r="N1681" s="69"/>
      <c r="O1681" s="69"/>
      <c r="P1681" s="69"/>
      <c r="Q1681" s="69"/>
      <c r="R1681" s="69"/>
    </row>
    <row r="1682" spans="1:18" ht="24" hidden="1" customHeight="1">
      <c r="A1682" s="16" t="s">
        <v>144</v>
      </c>
      <c r="B1682" s="14">
        <v>793</v>
      </c>
      <c r="C1682" s="15" t="s">
        <v>18</v>
      </c>
      <c r="D1682" s="15" t="s">
        <v>22</v>
      </c>
      <c r="E1682" s="15" t="s">
        <v>286</v>
      </c>
      <c r="F1682" s="15" t="s">
        <v>145</v>
      </c>
      <c r="G1682" s="70">
        <f>G1683</f>
        <v>0</v>
      </c>
      <c r="H1682" s="70">
        <f>H1683</f>
        <v>0</v>
      </c>
      <c r="I1682" s="70">
        <f>I1683</f>
        <v>0</v>
      </c>
      <c r="J1682" s="172"/>
      <c r="K1682" s="69"/>
      <c r="L1682" s="69"/>
      <c r="M1682" s="69"/>
      <c r="N1682" s="69"/>
      <c r="O1682" s="69"/>
      <c r="P1682" s="69"/>
      <c r="Q1682" s="69"/>
      <c r="R1682" s="69"/>
    </row>
    <row r="1683" spans="1:18" ht="24" hidden="1" customHeight="1">
      <c r="A1683" s="16" t="s">
        <v>146</v>
      </c>
      <c r="B1683" s="14">
        <v>793</v>
      </c>
      <c r="C1683" s="15" t="s">
        <v>18</v>
      </c>
      <c r="D1683" s="15" t="s">
        <v>22</v>
      </c>
      <c r="E1683" s="15" t="s">
        <v>286</v>
      </c>
      <c r="F1683" s="15" t="s">
        <v>147</v>
      </c>
      <c r="G1683" s="70"/>
      <c r="H1683" s="70"/>
      <c r="I1683" s="70"/>
      <c r="J1683" s="172"/>
      <c r="K1683" s="69"/>
      <c r="L1683" s="69"/>
      <c r="M1683" s="69"/>
      <c r="N1683" s="69"/>
      <c r="O1683" s="69"/>
      <c r="P1683" s="69"/>
      <c r="Q1683" s="69"/>
      <c r="R1683" s="69"/>
    </row>
    <row r="1684" spans="1:18" ht="18.75" customHeight="1">
      <c r="A1684" s="16" t="s">
        <v>62</v>
      </c>
      <c r="B1684" s="14">
        <v>793</v>
      </c>
      <c r="C1684" s="15" t="s">
        <v>18</v>
      </c>
      <c r="D1684" s="15" t="s">
        <v>22</v>
      </c>
      <c r="E1684" s="15" t="s">
        <v>286</v>
      </c>
      <c r="F1684" s="15" t="s">
        <v>63</v>
      </c>
      <c r="G1684" s="70">
        <f>G1686+G1685+G1685</f>
        <v>119691</v>
      </c>
      <c r="H1684" s="70">
        <f>H1686+H1685</f>
        <v>363691</v>
      </c>
      <c r="I1684" s="70">
        <f>I1686+I1685</f>
        <v>363691</v>
      </c>
      <c r="J1684" s="172"/>
      <c r="K1684" s="69"/>
      <c r="L1684" s="69"/>
      <c r="M1684" s="69"/>
      <c r="N1684" s="69"/>
      <c r="O1684" s="69"/>
      <c r="P1684" s="69"/>
      <c r="Q1684" s="69"/>
      <c r="R1684" s="69"/>
    </row>
    <row r="1685" spans="1:18" ht="24" hidden="1" customHeight="1">
      <c r="A1685" s="16" t="s">
        <v>321</v>
      </c>
      <c r="B1685" s="14">
        <v>793</v>
      </c>
      <c r="C1685" s="15" t="s">
        <v>18</v>
      </c>
      <c r="D1685" s="15" t="s">
        <v>22</v>
      </c>
      <c r="E1685" s="15" t="s">
        <v>286</v>
      </c>
      <c r="F1685" s="15" t="s">
        <v>320</v>
      </c>
      <c r="G1685" s="70"/>
      <c r="H1685" s="70"/>
      <c r="I1685" s="70"/>
      <c r="J1685" s="172"/>
      <c r="K1685" s="69"/>
      <c r="L1685" s="69"/>
      <c r="M1685" s="69"/>
      <c r="N1685" s="69"/>
      <c r="O1685" s="69"/>
      <c r="P1685" s="69"/>
      <c r="Q1685" s="69"/>
      <c r="R1685" s="69"/>
    </row>
    <row r="1686" spans="1:18" ht="17.25" customHeight="1">
      <c r="A1686" s="16" t="s">
        <v>140</v>
      </c>
      <c r="B1686" s="14">
        <v>793</v>
      </c>
      <c r="C1686" s="15" t="s">
        <v>18</v>
      </c>
      <c r="D1686" s="15" t="s">
        <v>22</v>
      </c>
      <c r="E1686" s="15" t="s">
        <v>286</v>
      </c>
      <c r="F1686" s="15" t="s">
        <v>66</v>
      </c>
      <c r="G1686" s="70">
        <v>119691</v>
      </c>
      <c r="H1686" s="70">
        <v>363691</v>
      </c>
      <c r="I1686" s="70">
        <v>363691</v>
      </c>
      <c r="J1686" s="172"/>
      <c r="K1686" s="69"/>
      <c r="L1686" s="69"/>
      <c r="M1686" s="69"/>
      <c r="N1686" s="69"/>
      <c r="O1686" s="69"/>
      <c r="P1686" s="69"/>
      <c r="Q1686" s="69"/>
      <c r="R1686" s="69"/>
    </row>
    <row r="1687" spans="1:18" ht="17.25" hidden="1" customHeight="1">
      <c r="A1687" s="16" t="s">
        <v>163</v>
      </c>
      <c r="B1687" s="14">
        <v>793</v>
      </c>
      <c r="C1687" s="15" t="s">
        <v>18</v>
      </c>
      <c r="D1687" s="15" t="s">
        <v>22</v>
      </c>
      <c r="E1687" s="15" t="s">
        <v>228</v>
      </c>
      <c r="F1687" s="15"/>
      <c r="G1687" s="70">
        <f>G1688</f>
        <v>0</v>
      </c>
      <c r="H1687" s="70"/>
      <c r="I1687" s="70"/>
      <c r="J1687" s="172"/>
      <c r="K1687" s="69"/>
      <c r="L1687" s="69"/>
      <c r="M1687" s="69"/>
      <c r="N1687" s="69"/>
      <c r="O1687" s="69"/>
      <c r="P1687" s="69"/>
      <c r="Q1687" s="69"/>
      <c r="R1687" s="69"/>
    </row>
    <row r="1688" spans="1:18" ht="17.25" hidden="1" customHeight="1">
      <c r="A1688" s="16" t="s">
        <v>163</v>
      </c>
      <c r="B1688" s="14">
        <v>793</v>
      </c>
      <c r="C1688" s="15" t="s">
        <v>18</v>
      </c>
      <c r="D1688" s="15" t="s">
        <v>22</v>
      </c>
      <c r="E1688" s="15" t="s">
        <v>270</v>
      </c>
      <c r="F1688" s="15"/>
      <c r="G1688" s="70">
        <f>G1689</f>
        <v>0</v>
      </c>
      <c r="H1688" s="70"/>
      <c r="I1688" s="70"/>
      <c r="J1688" s="172"/>
      <c r="K1688" s="69"/>
      <c r="L1688" s="69"/>
      <c r="M1688" s="69"/>
      <c r="N1688" s="69"/>
      <c r="O1688" s="69"/>
      <c r="P1688" s="69"/>
      <c r="Q1688" s="69"/>
      <c r="R1688" s="69"/>
    </row>
    <row r="1689" spans="1:18" ht="19.95" hidden="1" customHeight="1">
      <c r="A1689" s="16" t="s">
        <v>316</v>
      </c>
      <c r="B1689" s="14">
        <v>793</v>
      </c>
      <c r="C1689" s="15" t="s">
        <v>18</v>
      </c>
      <c r="D1689" s="15" t="s">
        <v>22</v>
      </c>
      <c r="E1689" s="15" t="s">
        <v>270</v>
      </c>
      <c r="F1689" s="15" t="s">
        <v>36</v>
      </c>
      <c r="G1689" s="70">
        <f>G1690</f>
        <v>0</v>
      </c>
      <c r="H1689" s="70"/>
      <c r="I1689" s="70"/>
      <c r="J1689" s="172"/>
      <c r="K1689" s="69"/>
      <c r="L1689" s="69"/>
      <c r="M1689" s="69"/>
      <c r="N1689" s="69"/>
      <c r="O1689" s="69"/>
      <c r="P1689" s="69"/>
      <c r="Q1689" s="69"/>
      <c r="R1689" s="69"/>
    </row>
    <row r="1690" spans="1:18" ht="32.4" hidden="1" customHeight="1">
      <c r="A1690" s="16" t="s">
        <v>37</v>
      </c>
      <c r="B1690" s="14">
        <v>793</v>
      </c>
      <c r="C1690" s="15" t="s">
        <v>18</v>
      </c>
      <c r="D1690" s="15" t="s">
        <v>22</v>
      </c>
      <c r="E1690" s="15" t="s">
        <v>270</v>
      </c>
      <c r="F1690" s="15" t="s">
        <v>972</v>
      </c>
      <c r="G1690" s="70"/>
      <c r="H1690" s="70"/>
      <c r="I1690" s="70"/>
      <c r="J1690" s="172"/>
      <c r="K1690" s="69"/>
      <c r="L1690" s="69"/>
      <c r="M1690" s="69"/>
      <c r="N1690" s="69"/>
      <c r="O1690" s="69"/>
      <c r="P1690" s="69"/>
      <c r="Q1690" s="69"/>
      <c r="R1690" s="69"/>
    </row>
    <row r="1691" spans="1:18" ht="25.5" hidden="1" customHeight="1">
      <c r="A1691" s="16" t="s">
        <v>158</v>
      </c>
      <c r="B1691" s="14">
        <v>793</v>
      </c>
      <c r="C1691" s="15" t="s">
        <v>18</v>
      </c>
      <c r="D1691" s="15" t="s">
        <v>22</v>
      </c>
      <c r="E1691" s="15" t="s">
        <v>204</v>
      </c>
      <c r="F1691" s="15"/>
      <c r="G1691" s="70">
        <f>G1692+G1701+G1704</f>
        <v>0</v>
      </c>
      <c r="H1691" s="70">
        <f t="shared" ref="H1691:I1691" si="433">H1692+H1701+H1704</f>
        <v>0</v>
      </c>
      <c r="I1691" s="70">
        <f t="shared" si="433"/>
        <v>0</v>
      </c>
      <c r="J1691" s="172"/>
      <c r="K1691" s="69"/>
      <c r="L1691" s="69"/>
      <c r="M1691" s="69"/>
      <c r="N1691" s="69"/>
      <c r="O1691" s="69"/>
      <c r="P1691" s="69"/>
      <c r="Q1691" s="69"/>
      <c r="R1691" s="69"/>
    </row>
    <row r="1692" spans="1:18" ht="30.75" hidden="1" customHeight="1">
      <c r="A1692" s="16" t="s">
        <v>663</v>
      </c>
      <c r="B1692" s="14">
        <v>793</v>
      </c>
      <c r="C1692" s="15" t="s">
        <v>18</v>
      </c>
      <c r="D1692" s="15" t="s">
        <v>22</v>
      </c>
      <c r="E1692" s="15" t="s">
        <v>662</v>
      </c>
      <c r="F1692" s="15"/>
      <c r="G1692" s="70">
        <f t="shared" ref="G1692:I1693" si="434">G1693</f>
        <v>0</v>
      </c>
      <c r="H1692" s="70">
        <f t="shared" si="434"/>
        <v>0</v>
      </c>
      <c r="I1692" s="70">
        <f t="shared" si="434"/>
        <v>0</v>
      </c>
      <c r="J1692" s="172"/>
      <c r="K1692" s="69"/>
      <c r="L1692" s="69"/>
      <c r="M1692" s="69"/>
      <c r="N1692" s="69"/>
      <c r="O1692" s="69"/>
      <c r="P1692" s="69"/>
      <c r="Q1692" s="69"/>
      <c r="R1692" s="69"/>
    </row>
    <row r="1693" spans="1:18" ht="19.5" hidden="1" customHeight="1">
      <c r="A1693" s="16" t="s">
        <v>62</v>
      </c>
      <c r="B1693" s="14">
        <v>793</v>
      </c>
      <c r="C1693" s="15" t="s">
        <v>18</v>
      </c>
      <c r="D1693" s="15" t="s">
        <v>22</v>
      </c>
      <c r="E1693" s="15" t="s">
        <v>662</v>
      </c>
      <c r="F1693" s="15" t="s">
        <v>63</v>
      </c>
      <c r="G1693" s="70">
        <f>G1694</f>
        <v>0</v>
      </c>
      <c r="H1693" s="70">
        <f t="shared" si="434"/>
        <v>0</v>
      </c>
      <c r="I1693" s="70">
        <f t="shared" si="434"/>
        <v>0</v>
      </c>
      <c r="J1693" s="172"/>
      <c r="K1693" s="69"/>
      <c r="L1693" s="69"/>
      <c r="M1693" s="69"/>
      <c r="N1693" s="69"/>
      <c r="O1693" s="69"/>
      <c r="P1693" s="69"/>
      <c r="Q1693" s="69"/>
      <c r="R1693" s="69"/>
    </row>
    <row r="1694" spans="1:18" ht="18.75" hidden="1" customHeight="1">
      <c r="A1694" s="16" t="s">
        <v>321</v>
      </c>
      <c r="B1694" s="14">
        <v>793</v>
      </c>
      <c r="C1694" s="15" t="s">
        <v>18</v>
      </c>
      <c r="D1694" s="15" t="s">
        <v>22</v>
      </c>
      <c r="E1694" s="15" t="s">
        <v>662</v>
      </c>
      <c r="F1694" s="15" t="s">
        <v>175</v>
      </c>
      <c r="G1694" s="70"/>
      <c r="H1694" s="70"/>
      <c r="I1694" s="70"/>
      <c r="J1694" s="172"/>
      <c r="K1694" s="69"/>
      <c r="L1694" s="69"/>
      <c r="M1694" s="69"/>
      <c r="N1694" s="69"/>
      <c r="O1694" s="69"/>
      <c r="P1694" s="69"/>
      <c r="Q1694" s="69"/>
      <c r="R1694" s="69"/>
    </row>
    <row r="1695" spans="1:18" ht="30.75" hidden="1" customHeight="1">
      <c r="A1695" s="16" t="s">
        <v>392</v>
      </c>
      <c r="B1695" s="14">
        <v>793</v>
      </c>
      <c r="C1695" s="15" t="s">
        <v>18</v>
      </c>
      <c r="D1695" s="15" t="s">
        <v>22</v>
      </c>
      <c r="E1695" s="15" t="s">
        <v>391</v>
      </c>
      <c r="F1695" s="15"/>
      <c r="G1695" s="70">
        <f t="shared" ref="G1695:I1696" si="435">G1696</f>
        <v>0</v>
      </c>
      <c r="H1695" s="70">
        <f t="shared" si="435"/>
        <v>0</v>
      </c>
      <c r="I1695" s="70">
        <f t="shared" si="435"/>
        <v>0</v>
      </c>
      <c r="J1695" s="172"/>
      <c r="K1695" s="69"/>
      <c r="L1695" s="69"/>
      <c r="M1695" s="69"/>
      <c r="N1695" s="69"/>
      <c r="O1695" s="69"/>
      <c r="P1695" s="69"/>
      <c r="Q1695" s="69"/>
      <c r="R1695" s="69"/>
    </row>
    <row r="1696" spans="1:18" ht="19.5" hidden="1" customHeight="1">
      <c r="A1696" s="16" t="s">
        <v>62</v>
      </c>
      <c r="B1696" s="14">
        <v>793</v>
      </c>
      <c r="C1696" s="15" t="s">
        <v>18</v>
      </c>
      <c r="D1696" s="15" t="s">
        <v>22</v>
      </c>
      <c r="E1696" s="15" t="s">
        <v>391</v>
      </c>
      <c r="F1696" s="15" t="s">
        <v>63</v>
      </c>
      <c r="G1696" s="70">
        <f>G1697</f>
        <v>0</v>
      </c>
      <c r="H1696" s="70">
        <f t="shared" si="435"/>
        <v>0</v>
      </c>
      <c r="I1696" s="70">
        <f t="shared" si="435"/>
        <v>0</v>
      </c>
      <c r="J1696" s="172"/>
      <c r="K1696" s="69"/>
      <c r="L1696" s="69"/>
      <c r="M1696" s="69"/>
      <c r="N1696" s="69"/>
      <c r="O1696" s="69"/>
      <c r="P1696" s="69"/>
      <c r="Q1696" s="69"/>
      <c r="R1696" s="69"/>
    </row>
    <row r="1697" spans="1:20" ht="18.75" hidden="1" customHeight="1">
      <c r="A1697" s="16" t="s">
        <v>321</v>
      </c>
      <c r="B1697" s="14">
        <v>793</v>
      </c>
      <c r="C1697" s="15" t="s">
        <v>18</v>
      </c>
      <c r="D1697" s="15" t="s">
        <v>22</v>
      </c>
      <c r="E1697" s="15" t="s">
        <v>391</v>
      </c>
      <c r="F1697" s="15" t="s">
        <v>320</v>
      </c>
      <c r="G1697" s="70"/>
      <c r="H1697" s="70">
        <v>0</v>
      </c>
      <c r="I1697" s="70">
        <v>0</v>
      </c>
      <c r="J1697" s="172"/>
      <c r="K1697" s="69"/>
      <c r="L1697" s="69"/>
      <c r="M1697" s="69"/>
      <c r="N1697" s="69"/>
      <c r="O1697" s="69"/>
      <c r="P1697" s="69"/>
      <c r="Q1697" s="69"/>
      <c r="R1697" s="69"/>
    </row>
    <row r="1698" spans="1:20" ht="54" hidden="1" customHeight="1">
      <c r="A1698" s="16" t="s">
        <v>612</v>
      </c>
      <c r="B1698" s="14">
        <v>793</v>
      </c>
      <c r="C1698" s="15" t="s">
        <v>18</v>
      </c>
      <c r="D1698" s="15" t="s">
        <v>22</v>
      </c>
      <c r="E1698" s="15" t="s">
        <v>613</v>
      </c>
      <c r="F1698" s="15"/>
      <c r="G1698" s="70">
        <f>G1699</f>
        <v>0</v>
      </c>
      <c r="H1698" s="70">
        <v>0</v>
      </c>
      <c r="I1698" s="70">
        <v>0</v>
      </c>
      <c r="J1698" s="172"/>
      <c r="K1698" s="69"/>
      <c r="L1698" s="69"/>
      <c r="M1698" s="69"/>
      <c r="N1698" s="69"/>
      <c r="O1698" s="69"/>
      <c r="P1698" s="69"/>
      <c r="Q1698" s="69"/>
      <c r="R1698" s="69"/>
    </row>
    <row r="1699" spans="1:20" ht="18.75" hidden="1" customHeight="1">
      <c r="A1699" s="16" t="s">
        <v>316</v>
      </c>
      <c r="B1699" s="14">
        <v>793</v>
      </c>
      <c r="C1699" s="15" t="s">
        <v>18</v>
      </c>
      <c r="D1699" s="15" t="s">
        <v>22</v>
      </c>
      <c r="E1699" s="15" t="s">
        <v>613</v>
      </c>
      <c r="F1699" s="15" t="s">
        <v>36</v>
      </c>
      <c r="G1699" s="70">
        <f>G1700</f>
        <v>0</v>
      </c>
      <c r="H1699" s="70">
        <v>0</v>
      </c>
      <c r="I1699" s="70">
        <v>0</v>
      </c>
      <c r="J1699" s="172"/>
      <c r="K1699" s="69"/>
      <c r="L1699" s="69"/>
      <c r="M1699" s="69"/>
      <c r="N1699" s="69"/>
      <c r="O1699" s="69"/>
      <c r="P1699" s="69"/>
      <c r="Q1699" s="69"/>
      <c r="R1699" s="69"/>
    </row>
    <row r="1700" spans="1:20" ht="35.25" hidden="1" customHeight="1">
      <c r="A1700" s="16" t="s">
        <v>37</v>
      </c>
      <c r="B1700" s="14">
        <v>793</v>
      </c>
      <c r="C1700" s="15" t="s">
        <v>18</v>
      </c>
      <c r="D1700" s="15" t="s">
        <v>22</v>
      </c>
      <c r="E1700" s="15" t="s">
        <v>613</v>
      </c>
      <c r="F1700" s="15" t="s">
        <v>38</v>
      </c>
      <c r="G1700" s="70"/>
      <c r="H1700" s="70">
        <v>0</v>
      </c>
      <c r="I1700" s="70">
        <v>0</v>
      </c>
      <c r="J1700" s="172"/>
      <c r="K1700" s="69"/>
      <c r="L1700" s="69"/>
      <c r="M1700" s="69"/>
      <c r="N1700" s="69"/>
      <c r="O1700" s="69"/>
      <c r="P1700" s="69"/>
      <c r="Q1700" s="69"/>
      <c r="R1700" s="69"/>
    </row>
    <row r="1701" spans="1:20" ht="31.5" hidden="1" customHeight="1">
      <c r="A1701" s="16" t="s">
        <v>418</v>
      </c>
      <c r="B1701" s="14">
        <v>793</v>
      </c>
      <c r="C1701" s="15" t="s">
        <v>18</v>
      </c>
      <c r="D1701" s="15" t="s">
        <v>22</v>
      </c>
      <c r="E1701" s="15" t="s">
        <v>417</v>
      </c>
      <c r="F1701" s="15"/>
      <c r="G1701" s="70">
        <f>G1702</f>
        <v>0</v>
      </c>
      <c r="H1701" s="70">
        <f t="shared" ref="H1701:I1701" si="436">H1702</f>
        <v>0</v>
      </c>
      <c r="I1701" s="70">
        <f t="shared" si="436"/>
        <v>0</v>
      </c>
      <c r="J1701" s="172"/>
      <c r="K1701" s="69"/>
      <c r="L1701" s="69"/>
      <c r="M1701" s="69"/>
      <c r="N1701" s="69"/>
      <c r="O1701" s="69"/>
      <c r="P1701" s="69"/>
      <c r="Q1701" s="69"/>
      <c r="R1701" s="69"/>
    </row>
    <row r="1702" spans="1:20" ht="18.75" hidden="1" customHeight="1">
      <c r="A1702" s="16" t="s">
        <v>62</v>
      </c>
      <c r="B1702" s="14">
        <v>793</v>
      </c>
      <c r="C1702" s="15" t="s">
        <v>18</v>
      </c>
      <c r="D1702" s="15" t="s">
        <v>22</v>
      </c>
      <c r="E1702" s="15" t="s">
        <v>417</v>
      </c>
      <c r="F1702" s="15" t="s">
        <v>63</v>
      </c>
      <c r="G1702" s="70">
        <f>G1703</f>
        <v>0</v>
      </c>
      <c r="H1702" s="70">
        <f>H1703</f>
        <v>0</v>
      </c>
      <c r="I1702" s="70">
        <f>I1703</f>
        <v>0</v>
      </c>
      <c r="J1702" s="172"/>
      <c r="K1702" s="69"/>
      <c r="L1702" s="69"/>
      <c r="M1702" s="69"/>
      <c r="N1702" s="69"/>
      <c r="O1702" s="69"/>
      <c r="P1702" s="69"/>
      <c r="Q1702" s="69"/>
      <c r="R1702" s="69"/>
    </row>
    <row r="1703" spans="1:20" ht="18.75" hidden="1" customHeight="1">
      <c r="A1703" s="16" t="s">
        <v>140</v>
      </c>
      <c r="B1703" s="14">
        <v>793</v>
      </c>
      <c r="C1703" s="15" t="s">
        <v>18</v>
      </c>
      <c r="D1703" s="15" t="s">
        <v>22</v>
      </c>
      <c r="E1703" s="15" t="s">
        <v>417</v>
      </c>
      <c r="F1703" s="15" t="s">
        <v>66</v>
      </c>
      <c r="G1703" s="70"/>
      <c r="H1703" s="70"/>
      <c r="I1703" s="70"/>
      <c r="J1703" s="172"/>
      <c r="K1703" s="69"/>
      <c r="L1703" s="69"/>
      <c r="M1703" s="69"/>
      <c r="N1703" s="69"/>
      <c r="O1703" s="69"/>
      <c r="P1703" s="69"/>
      <c r="Q1703" s="69"/>
      <c r="R1703" s="69"/>
    </row>
    <row r="1704" spans="1:20" ht="28.5" hidden="1" customHeight="1">
      <c r="A1704" s="16" t="s">
        <v>798</v>
      </c>
      <c r="B1704" s="14">
        <v>793</v>
      </c>
      <c r="C1704" s="15" t="s">
        <v>18</v>
      </c>
      <c r="D1704" s="15" t="s">
        <v>22</v>
      </c>
      <c r="E1704" s="15" t="s">
        <v>797</v>
      </c>
      <c r="F1704" s="15"/>
      <c r="G1704" s="70">
        <f>G1705</f>
        <v>0</v>
      </c>
      <c r="H1704" s="70">
        <f t="shared" ref="H1704:I1704" si="437">H1705</f>
        <v>0</v>
      </c>
      <c r="I1704" s="70">
        <f t="shared" si="437"/>
        <v>0</v>
      </c>
      <c r="J1704" s="172"/>
      <c r="K1704" s="69"/>
      <c r="L1704" s="69"/>
      <c r="M1704" s="69"/>
      <c r="N1704" s="69"/>
      <c r="O1704" s="69"/>
      <c r="P1704" s="69"/>
      <c r="Q1704" s="69"/>
      <c r="R1704" s="69"/>
    </row>
    <row r="1705" spans="1:20" ht="18.75" hidden="1" customHeight="1">
      <c r="A1705" s="16" t="s">
        <v>62</v>
      </c>
      <c r="B1705" s="14">
        <v>793</v>
      </c>
      <c r="C1705" s="15" t="s">
        <v>18</v>
      </c>
      <c r="D1705" s="15" t="s">
        <v>22</v>
      </c>
      <c r="E1705" s="15" t="s">
        <v>797</v>
      </c>
      <c r="F1705" s="15" t="s">
        <v>63</v>
      </c>
      <c r="G1705" s="70">
        <f>G1706</f>
        <v>0</v>
      </c>
      <c r="H1705" s="70">
        <f>H1706</f>
        <v>0</v>
      </c>
      <c r="I1705" s="70">
        <f>I1706</f>
        <v>0</v>
      </c>
      <c r="J1705" s="172"/>
      <c r="K1705" s="69"/>
      <c r="L1705" s="69"/>
      <c r="M1705" s="69"/>
      <c r="N1705" s="69"/>
      <c r="O1705" s="69"/>
      <c r="P1705" s="69"/>
      <c r="Q1705" s="69"/>
      <c r="R1705" s="69"/>
    </row>
    <row r="1706" spans="1:20" ht="18.75" hidden="1" customHeight="1">
      <c r="A1706" s="16" t="s">
        <v>140</v>
      </c>
      <c r="B1706" s="14">
        <v>793</v>
      </c>
      <c r="C1706" s="15" t="s">
        <v>18</v>
      </c>
      <c r="D1706" s="15" t="s">
        <v>22</v>
      </c>
      <c r="E1706" s="15" t="s">
        <v>797</v>
      </c>
      <c r="F1706" s="15" t="s">
        <v>66</v>
      </c>
      <c r="G1706" s="70"/>
      <c r="H1706" s="70"/>
      <c r="I1706" s="70"/>
      <c r="J1706" s="172"/>
      <c r="K1706" s="69"/>
      <c r="L1706" s="69"/>
      <c r="M1706" s="69"/>
      <c r="N1706" s="69"/>
      <c r="O1706" s="69"/>
      <c r="P1706" s="69"/>
      <c r="Q1706" s="69"/>
      <c r="R1706" s="69"/>
    </row>
    <row r="1707" spans="1:20" s="28" customFormat="1" ht="24.75" hidden="1" customHeight="1">
      <c r="A1707" s="37" t="s">
        <v>163</v>
      </c>
      <c r="B1707" s="14">
        <v>793</v>
      </c>
      <c r="C1707" s="15" t="s">
        <v>18</v>
      </c>
      <c r="D1707" s="15" t="s">
        <v>22</v>
      </c>
      <c r="E1707" s="15" t="s">
        <v>228</v>
      </c>
      <c r="F1707" s="39"/>
      <c r="G1707" s="70">
        <f t="shared" ref="G1707:I1709" si="438">G1708</f>
        <v>0</v>
      </c>
      <c r="H1707" s="70">
        <f t="shared" si="438"/>
        <v>0</v>
      </c>
      <c r="I1707" s="70">
        <f t="shared" si="438"/>
        <v>0</v>
      </c>
      <c r="J1707" s="172"/>
      <c r="K1707" s="313"/>
      <c r="L1707" s="313"/>
      <c r="M1707" s="313"/>
      <c r="N1707" s="313"/>
      <c r="O1707" s="313"/>
      <c r="P1707" s="313"/>
      <c r="Q1707" s="313"/>
      <c r="R1707" s="313"/>
    </row>
    <row r="1708" spans="1:20" ht="26.4" hidden="1">
      <c r="A1708" s="37" t="s">
        <v>163</v>
      </c>
      <c r="B1708" s="14">
        <v>793</v>
      </c>
      <c r="C1708" s="15" t="s">
        <v>18</v>
      </c>
      <c r="D1708" s="15" t="s">
        <v>22</v>
      </c>
      <c r="E1708" s="15" t="s">
        <v>270</v>
      </c>
      <c r="F1708" s="14"/>
      <c r="G1708" s="70">
        <f t="shared" si="438"/>
        <v>0</v>
      </c>
      <c r="H1708" s="70">
        <f t="shared" si="438"/>
        <v>0</v>
      </c>
      <c r="I1708" s="70">
        <f t="shared" si="438"/>
        <v>0</v>
      </c>
      <c r="J1708" s="172"/>
      <c r="K1708" s="69"/>
      <c r="L1708" s="69"/>
      <c r="M1708" s="69"/>
      <c r="N1708" s="69"/>
      <c r="O1708" s="69"/>
      <c r="P1708" s="69"/>
      <c r="Q1708" s="69"/>
      <c r="R1708" s="69"/>
    </row>
    <row r="1709" spans="1:20" hidden="1">
      <c r="A1709" s="16" t="s">
        <v>152</v>
      </c>
      <c r="B1709" s="14">
        <v>793</v>
      </c>
      <c r="C1709" s="15" t="s">
        <v>18</v>
      </c>
      <c r="D1709" s="15" t="s">
        <v>22</v>
      </c>
      <c r="E1709" s="15" t="s">
        <v>270</v>
      </c>
      <c r="F1709" s="15" t="s">
        <v>153</v>
      </c>
      <c r="G1709" s="70">
        <f t="shared" si="438"/>
        <v>0</v>
      </c>
      <c r="H1709" s="70">
        <f t="shared" si="438"/>
        <v>0</v>
      </c>
      <c r="I1709" s="70">
        <f t="shared" si="438"/>
        <v>0</v>
      </c>
      <c r="J1709" s="172"/>
      <c r="K1709" s="69"/>
      <c r="L1709" s="69"/>
      <c r="M1709" s="69"/>
      <c r="N1709" s="69"/>
      <c r="O1709" s="69"/>
      <c r="P1709" s="69"/>
      <c r="Q1709" s="69"/>
      <c r="R1709" s="69"/>
    </row>
    <row r="1710" spans="1:20" hidden="1">
      <c r="A1710" s="16" t="s">
        <v>172</v>
      </c>
      <c r="B1710" s="14">
        <v>793</v>
      </c>
      <c r="C1710" s="15" t="s">
        <v>18</v>
      </c>
      <c r="D1710" s="15" t="s">
        <v>22</v>
      </c>
      <c r="E1710" s="15" t="s">
        <v>270</v>
      </c>
      <c r="F1710" s="15" t="s">
        <v>173</v>
      </c>
      <c r="G1710" s="70"/>
      <c r="H1710" s="70"/>
      <c r="I1710" s="70"/>
      <c r="J1710" s="172"/>
      <c r="K1710" s="69"/>
      <c r="L1710" s="69"/>
      <c r="M1710" s="69"/>
      <c r="N1710" s="69"/>
      <c r="O1710" s="69"/>
      <c r="P1710" s="69"/>
      <c r="Q1710" s="69"/>
      <c r="R1710" s="69"/>
    </row>
    <row r="1711" spans="1:20" s="146" customFormat="1" ht="26.25" customHeight="1">
      <c r="A1711" s="82" t="s">
        <v>158</v>
      </c>
      <c r="B1711" s="145">
        <v>793</v>
      </c>
      <c r="C1711" s="84" t="s">
        <v>18</v>
      </c>
      <c r="D1711" s="84" t="s">
        <v>22</v>
      </c>
      <c r="E1711" s="143" t="s">
        <v>204</v>
      </c>
      <c r="F1711" s="84"/>
      <c r="G1711" s="87">
        <f>G1716+G1725+G1731+G1736+G1747</f>
        <v>6264660.9500000002</v>
      </c>
      <c r="H1711" s="87">
        <f>H1736</f>
        <v>0</v>
      </c>
      <c r="I1711" s="87">
        <f>I1736</f>
        <v>0</v>
      </c>
      <c r="J1711" s="148">
        <v>1487719</v>
      </c>
      <c r="N1711" s="148"/>
      <c r="P1711" s="148"/>
      <c r="Q1711" s="148"/>
      <c r="R1711" s="148"/>
      <c r="S1711" s="148"/>
      <c r="T1711" s="148"/>
    </row>
    <row r="1712" spans="1:20" s="122" customFormat="1" ht="51.75" hidden="1" customHeight="1">
      <c r="A1712" s="82" t="s">
        <v>612</v>
      </c>
      <c r="B1712" s="145">
        <v>793</v>
      </c>
      <c r="C1712" s="84" t="s">
        <v>18</v>
      </c>
      <c r="D1712" s="84" t="s">
        <v>22</v>
      </c>
      <c r="E1712" s="84" t="s">
        <v>613</v>
      </c>
      <c r="F1712" s="84"/>
      <c r="G1712" s="87">
        <f t="shared" ref="G1712:I1713" si="439">G1713</f>
        <v>0</v>
      </c>
      <c r="H1712" s="87">
        <f t="shared" si="439"/>
        <v>0</v>
      </c>
      <c r="I1712" s="87">
        <f t="shared" si="439"/>
        <v>0</v>
      </c>
      <c r="J1712" s="121"/>
      <c r="P1712" s="121"/>
      <c r="Q1712" s="121"/>
      <c r="R1712" s="121"/>
      <c r="S1712" s="121"/>
      <c r="T1712" s="121"/>
    </row>
    <row r="1713" spans="1:20" s="122" customFormat="1" ht="26.25" hidden="1" customHeight="1">
      <c r="A1713" s="82" t="s">
        <v>316</v>
      </c>
      <c r="B1713" s="145">
        <v>793</v>
      </c>
      <c r="C1713" s="84" t="s">
        <v>18</v>
      </c>
      <c r="D1713" s="84" t="s">
        <v>22</v>
      </c>
      <c r="E1713" s="84" t="s">
        <v>613</v>
      </c>
      <c r="F1713" s="84" t="s">
        <v>36</v>
      </c>
      <c r="G1713" s="87">
        <f t="shared" si="439"/>
        <v>0</v>
      </c>
      <c r="H1713" s="87">
        <f t="shared" si="439"/>
        <v>0</v>
      </c>
      <c r="I1713" s="87">
        <f t="shared" si="439"/>
        <v>0</v>
      </c>
      <c r="J1713" s="121"/>
      <c r="P1713" s="121"/>
      <c r="Q1713" s="121"/>
      <c r="R1713" s="121"/>
      <c r="S1713" s="121"/>
      <c r="T1713" s="121"/>
    </row>
    <row r="1714" spans="1:20" s="122" customFormat="1" ht="26.25" hidden="1" customHeight="1">
      <c r="A1714" s="82" t="s">
        <v>37</v>
      </c>
      <c r="B1714" s="145">
        <v>793</v>
      </c>
      <c r="C1714" s="84" t="s">
        <v>18</v>
      </c>
      <c r="D1714" s="84" t="s">
        <v>22</v>
      </c>
      <c r="E1714" s="84" t="s">
        <v>613</v>
      </c>
      <c r="F1714" s="84" t="s">
        <v>38</v>
      </c>
      <c r="G1714" s="87">
        <f>прил4!G1351</f>
        <v>0</v>
      </c>
      <c r="H1714" s="87"/>
      <c r="I1714" s="87"/>
      <c r="J1714" s="121"/>
      <c r="P1714" s="121"/>
      <c r="Q1714" s="121"/>
      <c r="R1714" s="121"/>
      <c r="S1714" s="121"/>
      <c r="T1714" s="121"/>
    </row>
    <row r="1715" spans="1:20" s="122" customFormat="1" ht="26.25" hidden="1" customHeight="1">
      <c r="A1715" s="82"/>
      <c r="B1715" s="145"/>
      <c r="C1715" s="84"/>
      <c r="D1715" s="84"/>
      <c r="E1715" s="84"/>
      <c r="F1715" s="84"/>
      <c r="G1715" s="87"/>
      <c r="H1715" s="87"/>
      <c r="I1715" s="87"/>
      <c r="J1715" s="121"/>
      <c r="P1715" s="121"/>
      <c r="Q1715" s="121"/>
      <c r="R1715" s="121"/>
      <c r="S1715" s="121"/>
      <c r="T1715" s="121"/>
    </row>
    <row r="1716" spans="1:20" s="90" customFormat="1" ht="20.25" customHeight="1">
      <c r="A1716" s="82" t="s">
        <v>326</v>
      </c>
      <c r="B1716" s="145">
        <v>793</v>
      </c>
      <c r="C1716" s="84" t="s">
        <v>18</v>
      </c>
      <c r="D1716" s="84" t="s">
        <v>22</v>
      </c>
      <c r="E1716" s="84" t="s">
        <v>205</v>
      </c>
      <c r="F1716" s="84"/>
      <c r="G1716" s="87">
        <f>G1719+G1721</f>
        <v>1310908.81</v>
      </c>
      <c r="H1716" s="87">
        <f>H1721+H1757</f>
        <v>0</v>
      </c>
      <c r="I1716" s="87">
        <f>I1721+I1757</f>
        <v>0</v>
      </c>
      <c r="J1716" s="123"/>
      <c r="N1716" s="123"/>
      <c r="P1716" s="123"/>
      <c r="Q1716" s="123"/>
      <c r="R1716" s="123"/>
      <c r="S1716" s="123"/>
      <c r="T1716" s="123"/>
    </row>
    <row r="1717" spans="1:20" s="90" customFormat="1" ht="29.25" hidden="1" customHeight="1">
      <c r="A1717" s="16" t="s">
        <v>316</v>
      </c>
      <c r="B1717" s="84" t="s">
        <v>92</v>
      </c>
      <c r="C1717" s="84" t="s">
        <v>25</v>
      </c>
      <c r="D1717" s="84" t="s">
        <v>27</v>
      </c>
      <c r="E1717" s="84" t="s">
        <v>205</v>
      </c>
      <c r="F1717" s="84" t="s">
        <v>36</v>
      </c>
      <c r="G1717" s="87">
        <f>G1718</f>
        <v>0</v>
      </c>
      <c r="H1717" s="87"/>
      <c r="I1717" s="87"/>
      <c r="J1717" s="123"/>
      <c r="P1717" s="123"/>
      <c r="Q1717" s="123"/>
      <c r="R1717" s="123"/>
      <c r="S1717" s="123"/>
      <c r="T1717" s="123"/>
    </row>
    <row r="1718" spans="1:20" s="90" customFormat="1" ht="36.75" hidden="1" customHeight="1">
      <c r="A1718" s="16" t="s">
        <v>37</v>
      </c>
      <c r="B1718" s="84" t="s">
        <v>92</v>
      </c>
      <c r="C1718" s="84" t="s">
        <v>25</v>
      </c>
      <c r="D1718" s="84" t="s">
        <v>27</v>
      </c>
      <c r="E1718" s="84" t="s">
        <v>205</v>
      </c>
      <c r="F1718" s="84" t="s">
        <v>38</v>
      </c>
      <c r="G1718" s="87">
        <f>прил4!G3020</f>
        <v>0</v>
      </c>
      <c r="H1718" s="87"/>
      <c r="I1718" s="87"/>
      <c r="J1718" s="123"/>
      <c r="P1718" s="123"/>
      <c r="Q1718" s="123"/>
      <c r="R1718" s="123"/>
      <c r="S1718" s="123"/>
      <c r="T1718" s="123"/>
    </row>
    <row r="1719" spans="1:20" ht="17.25" customHeight="1">
      <c r="A1719" s="16" t="s">
        <v>316</v>
      </c>
      <c r="B1719" s="14">
        <v>793</v>
      </c>
      <c r="C1719" s="15" t="s">
        <v>18</v>
      </c>
      <c r="D1719" s="15" t="s">
        <v>22</v>
      </c>
      <c r="E1719" s="84" t="s">
        <v>205</v>
      </c>
      <c r="F1719" s="15" t="s">
        <v>36</v>
      </c>
      <c r="G1719" s="70">
        <f>G1720</f>
        <v>30000</v>
      </c>
      <c r="H1719" s="70">
        <f>H1720</f>
        <v>0</v>
      </c>
      <c r="I1719" s="70">
        <f>I1720</f>
        <v>0</v>
      </c>
      <c r="J1719" s="172"/>
      <c r="K1719" s="69"/>
      <c r="L1719" s="69"/>
      <c r="M1719" s="69"/>
      <c r="N1719" s="69"/>
      <c r="O1719" s="69"/>
      <c r="P1719" s="69"/>
      <c r="Q1719" s="69"/>
      <c r="R1719" s="69"/>
    </row>
    <row r="1720" spans="1:20" ht="24" customHeight="1">
      <c r="A1720" s="16" t="s">
        <v>37</v>
      </c>
      <c r="B1720" s="14">
        <v>793</v>
      </c>
      <c r="C1720" s="15" t="s">
        <v>18</v>
      </c>
      <c r="D1720" s="15" t="s">
        <v>22</v>
      </c>
      <c r="E1720" s="84" t="s">
        <v>205</v>
      </c>
      <c r="F1720" s="15" t="s">
        <v>38</v>
      </c>
      <c r="G1720" s="70">
        <v>30000</v>
      </c>
      <c r="H1720" s="70">
        <v>0</v>
      </c>
      <c r="I1720" s="70">
        <v>0</v>
      </c>
      <c r="J1720" s="172"/>
      <c r="K1720" s="69"/>
      <c r="L1720" s="69"/>
      <c r="M1720" s="69"/>
      <c r="N1720" s="69"/>
      <c r="O1720" s="69"/>
      <c r="P1720" s="69"/>
      <c r="Q1720" s="69"/>
      <c r="R1720" s="69"/>
    </row>
    <row r="1721" spans="1:20" s="90" customFormat="1">
      <c r="A1721" s="82" t="s">
        <v>62</v>
      </c>
      <c r="B1721" s="145">
        <v>793</v>
      </c>
      <c r="C1721" s="84" t="s">
        <v>18</v>
      </c>
      <c r="D1721" s="84" t="s">
        <v>22</v>
      </c>
      <c r="E1721" s="84" t="s">
        <v>205</v>
      </c>
      <c r="F1721" s="84" t="s">
        <v>63</v>
      </c>
      <c r="G1721" s="87">
        <f>G1722+G1724</f>
        <v>1280908.81</v>
      </c>
      <c r="H1721" s="87">
        <f t="shared" ref="H1721:I1721" si="440">H1722</f>
        <v>0</v>
      </c>
      <c r="I1721" s="87">
        <f t="shared" si="440"/>
        <v>0</v>
      </c>
      <c r="J1721" s="123"/>
      <c r="P1721" s="123"/>
      <c r="Q1721" s="123"/>
      <c r="R1721" s="123"/>
      <c r="S1721" s="123"/>
      <c r="T1721" s="123"/>
    </row>
    <row r="1722" spans="1:20" s="90" customFormat="1" ht="18.75" customHeight="1">
      <c r="A1722" s="82" t="s">
        <v>321</v>
      </c>
      <c r="B1722" s="145">
        <v>793</v>
      </c>
      <c r="C1722" s="84" t="s">
        <v>18</v>
      </c>
      <c r="D1722" s="84" t="s">
        <v>22</v>
      </c>
      <c r="E1722" s="84" t="s">
        <v>205</v>
      </c>
      <c r="F1722" s="84" t="s">
        <v>320</v>
      </c>
      <c r="G1722" s="87">
        <v>535644.24</v>
      </c>
      <c r="H1722" s="87">
        <f>прил4!H1160</f>
        <v>0</v>
      </c>
      <c r="I1722" s="87">
        <f>прил4!I1160</f>
        <v>0</v>
      </c>
      <c r="J1722" s="123"/>
      <c r="P1722" s="123"/>
      <c r="Q1722" s="123"/>
      <c r="R1722" s="123"/>
      <c r="S1722" s="123"/>
      <c r="T1722" s="123"/>
    </row>
    <row r="1723" spans="1:20" ht="18.75" hidden="1" customHeight="1">
      <c r="A1723" s="16"/>
      <c r="B1723" s="14"/>
      <c r="C1723" s="15"/>
      <c r="D1723" s="15"/>
      <c r="E1723" s="15"/>
      <c r="F1723" s="15"/>
      <c r="G1723" s="160"/>
      <c r="H1723" s="70"/>
      <c r="I1723" s="70"/>
      <c r="J1723" s="2"/>
      <c r="K1723" s="1"/>
      <c r="L1723" s="1"/>
      <c r="M1723" s="1"/>
      <c r="N1723" s="1"/>
      <c r="O1723" s="1"/>
      <c r="P1723" s="2"/>
      <c r="Q1723" s="2"/>
      <c r="R1723" s="2"/>
      <c r="S1723" s="2"/>
      <c r="T1723" s="2"/>
    </row>
    <row r="1724" spans="1:20" s="90" customFormat="1" ht="18.75" customHeight="1">
      <c r="A1724" s="82" t="s">
        <v>140</v>
      </c>
      <c r="B1724" s="145">
        <v>793</v>
      </c>
      <c r="C1724" s="84" t="s">
        <v>18</v>
      </c>
      <c r="D1724" s="84" t="s">
        <v>22</v>
      </c>
      <c r="E1724" s="84" t="s">
        <v>205</v>
      </c>
      <c r="F1724" s="84" t="s">
        <v>66</v>
      </c>
      <c r="G1724" s="70">
        <f>551119.57+370000-175855</f>
        <v>745264.57</v>
      </c>
      <c r="H1724" s="87">
        <f>прил4!H1162</f>
        <v>0</v>
      </c>
      <c r="I1724" s="87">
        <f>прил4!I1162</f>
        <v>0</v>
      </c>
      <c r="J1724" s="123"/>
      <c r="P1724" s="123"/>
      <c r="Q1724" s="123"/>
      <c r="R1724" s="123"/>
      <c r="S1724" s="123"/>
      <c r="T1724" s="123"/>
    </row>
    <row r="1725" spans="1:20" s="90" customFormat="1" ht="41.25" customHeight="1">
      <c r="A1725" s="82" t="s">
        <v>1313</v>
      </c>
      <c r="B1725" s="145">
        <v>793</v>
      </c>
      <c r="C1725" s="84" t="s">
        <v>18</v>
      </c>
      <c r="D1725" s="84" t="s">
        <v>22</v>
      </c>
      <c r="E1725" s="84" t="s">
        <v>1312</v>
      </c>
      <c r="F1725" s="84"/>
      <c r="G1725" s="87">
        <f>G1728</f>
        <v>9606.0400000000009</v>
      </c>
      <c r="H1725" s="87">
        <f>H1728+H1764</f>
        <v>0</v>
      </c>
      <c r="I1725" s="87">
        <f>I1728+I1764</f>
        <v>0</v>
      </c>
      <c r="J1725" s="123"/>
      <c r="N1725" s="123"/>
      <c r="P1725" s="123"/>
      <c r="Q1725" s="123"/>
      <c r="R1725" s="123"/>
      <c r="S1725" s="123"/>
      <c r="T1725" s="123"/>
    </row>
    <row r="1726" spans="1:20" s="90" customFormat="1" ht="29.25" hidden="1" customHeight="1">
      <c r="A1726" s="16" t="s">
        <v>316</v>
      </c>
      <c r="B1726" s="84" t="s">
        <v>92</v>
      </c>
      <c r="C1726" s="84" t="s">
        <v>25</v>
      </c>
      <c r="D1726" s="84" t="s">
        <v>27</v>
      </c>
      <c r="E1726" s="84" t="s">
        <v>205</v>
      </c>
      <c r="F1726" s="84" t="s">
        <v>36</v>
      </c>
      <c r="G1726" s="87">
        <f>G1727</f>
        <v>0</v>
      </c>
      <c r="H1726" s="87"/>
      <c r="I1726" s="87"/>
      <c r="J1726" s="123"/>
      <c r="P1726" s="123"/>
      <c r="Q1726" s="123"/>
      <c r="R1726" s="123"/>
      <c r="S1726" s="123"/>
      <c r="T1726" s="123"/>
    </row>
    <row r="1727" spans="1:20" s="90" customFormat="1" ht="36.75" hidden="1" customHeight="1">
      <c r="A1727" s="16" t="s">
        <v>37</v>
      </c>
      <c r="B1727" s="84" t="s">
        <v>92</v>
      </c>
      <c r="C1727" s="84" t="s">
        <v>25</v>
      </c>
      <c r="D1727" s="84" t="s">
        <v>27</v>
      </c>
      <c r="E1727" s="84" t="s">
        <v>205</v>
      </c>
      <c r="F1727" s="84" t="s">
        <v>38</v>
      </c>
      <c r="G1727" s="87">
        <f>прил4!G3027</f>
        <v>0</v>
      </c>
      <c r="H1727" s="87"/>
      <c r="I1727" s="87"/>
      <c r="J1727" s="123"/>
      <c r="P1727" s="123"/>
      <c r="Q1727" s="123"/>
      <c r="R1727" s="123"/>
      <c r="S1727" s="123"/>
      <c r="T1727" s="123"/>
    </row>
    <row r="1728" spans="1:20" s="90" customFormat="1">
      <c r="A1728" s="82" t="s">
        <v>62</v>
      </c>
      <c r="B1728" s="145">
        <v>793</v>
      </c>
      <c r="C1728" s="84" t="s">
        <v>18</v>
      </c>
      <c r="D1728" s="84" t="s">
        <v>22</v>
      </c>
      <c r="E1728" s="84" t="s">
        <v>1312</v>
      </c>
      <c r="F1728" s="84" t="s">
        <v>63</v>
      </c>
      <c r="G1728" s="87">
        <f>G1730</f>
        <v>9606.0400000000009</v>
      </c>
      <c r="H1728" s="87">
        <f t="shared" ref="H1728:I1728" si="441">H1730</f>
        <v>0</v>
      </c>
      <c r="I1728" s="87">
        <f t="shared" si="441"/>
        <v>0</v>
      </c>
      <c r="J1728" s="123"/>
      <c r="P1728" s="123"/>
      <c r="Q1728" s="123"/>
      <c r="R1728" s="123"/>
      <c r="S1728" s="123"/>
      <c r="T1728" s="123"/>
    </row>
    <row r="1729" spans="1:20" ht="18.75" hidden="1" customHeight="1">
      <c r="A1729" s="16"/>
      <c r="B1729" s="14"/>
      <c r="C1729" s="15"/>
      <c r="D1729" s="15"/>
      <c r="E1729" s="84" t="s">
        <v>1312</v>
      </c>
      <c r="F1729" s="15"/>
      <c r="G1729" s="160"/>
      <c r="H1729" s="70"/>
      <c r="I1729" s="70"/>
      <c r="J1729" s="2"/>
      <c r="K1729" s="1"/>
      <c r="L1729" s="1"/>
      <c r="M1729" s="1"/>
      <c r="N1729" s="1"/>
      <c r="O1729" s="1"/>
      <c r="P1729" s="2"/>
      <c r="Q1729" s="2"/>
      <c r="R1729" s="2"/>
      <c r="S1729" s="2"/>
      <c r="T1729" s="2"/>
    </row>
    <row r="1730" spans="1:20" s="90" customFormat="1" ht="18.75" customHeight="1">
      <c r="A1730" s="82" t="s">
        <v>140</v>
      </c>
      <c r="B1730" s="145">
        <v>793</v>
      </c>
      <c r="C1730" s="84" t="s">
        <v>18</v>
      </c>
      <c r="D1730" s="84" t="s">
        <v>22</v>
      </c>
      <c r="E1730" s="84" t="s">
        <v>1312</v>
      </c>
      <c r="F1730" s="84" t="s">
        <v>66</v>
      </c>
      <c r="G1730" s="87">
        <v>9606.0400000000009</v>
      </c>
      <c r="H1730" s="87">
        <v>0</v>
      </c>
      <c r="I1730" s="87">
        <v>0</v>
      </c>
      <c r="J1730" s="123"/>
      <c r="P1730" s="123"/>
      <c r="Q1730" s="123"/>
      <c r="R1730" s="123"/>
      <c r="S1730" s="123"/>
      <c r="T1730" s="123"/>
    </row>
    <row r="1731" spans="1:20" s="90" customFormat="1" ht="14.25" customHeight="1">
      <c r="A1731" s="82" t="s">
        <v>986</v>
      </c>
      <c r="B1731" s="145">
        <v>793</v>
      </c>
      <c r="C1731" s="84" t="s">
        <v>18</v>
      </c>
      <c r="D1731" s="84" t="s">
        <v>22</v>
      </c>
      <c r="E1731" s="84" t="s">
        <v>987</v>
      </c>
      <c r="F1731" s="84"/>
      <c r="G1731" s="87">
        <f>G1734</f>
        <v>150000</v>
      </c>
      <c r="H1731" s="87">
        <f>H1734+H1770</f>
        <v>0</v>
      </c>
      <c r="I1731" s="87">
        <f>I1734+I1770</f>
        <v>0</v>
      </c>
      <c r="J1731" s="123"/>
      <c r="N1731" s="123"/>
      <c r="P1731" s="123"/>
      <c r="Q1731" s="123"/>
      <c r="R1731" s="123"/>
      <c r="S1731" s="123"/>
      <c r="T1731" s="123"/>
    </row>
    <row r="1732" spans="1:20" s="90" customFormat="1" ht="29.25" hidden="1" customHeight="1">
      <c r="A1732" s="16" t="s">
        <v>316</v>
      </c>
      <c r="B1732" s="84" t="s">
        <v>92</v>
      </c>
      <c r="C1732" s="84" t="s">
        <v>25</v>
      </c>
      <c r="D1732" s="84" t="s">
        <v>27</v>
      </c>
      <c r="E1732" s="84" t="s">
        <v>205</v>
      </c>
      <c r="F1732" s="84" t="s">
        <v>36</v>
      </c>
      <c r="G1732" s="87">
        <f>G1733</f>
        <v>0</v>
      </c>
      <c r="H1732" s="87"/>
      <c r="I1732" s="87"/>
      <c r="J1732" s="123"/>
      <c r="P1732" s="123"/>
      <c r="Q1732" s="123"/>
      <c r="R1732" s="123"/>
      <c r="S1732" s="123"/>
      <c r="T1732" s="123"/>
    </row>
    <row r="1733" spans="1:20" s="90" customFormat="1" ht="36.75" hidden="1" customHeight="1">
      <c r="A1733" s="16" t="s">
        <v>37</v>
      </c>
      <c r="B1733" s="84" t="s">
        <v>92</v>
      </c>
      <c r="C1733" s="84" t="s">
        <v>25</v>
      </c>
      <c r="D1733" s="84" t="s">
        <v>27</v>
      </c>
      <c r="E1733" s="84" t="s">
        <v>205</v>
      </c>
      <c r="F1733" s="84" t="s">
        <v>38</v>
      </c>
      <c r="G1733" s="87">
        <f>прил4!G3033</f>
        <v>0</v>
      </c>
      <c r="H1733" s="87"/>
      <c r="I1733" s="87"/>
      <c r="J1733" s="123"/>
      <c r="P1733" s="123"/>
      <c r="Q1733" s="123"/>
      <c r="R1733" s="123"/>
      <c r="S1733" s="123"/>
      <c r="T1733" s="123"/>
    </row>
    <row r="1734" spans="1:20" s="90" customFormat="1">
      <c r="A1734" s="82" t="s">
        <v>62</v>
      </c>
      <c r="B1734" s="145">
        <v>793</v>
      </c>
      <c r="C1734" s="84" t="s">
        <v>18</v>
      </c>
      <c r="D1734" s="84" t="s">
        <v>22</v>
      </c>
      <c r="E1734" s="84" t="s">
        <v>987</v>
      </c>
      <c r="F1734" s="84" t="s">
        <v>63</v>
      </c>
      <c r="G1734" s="87">
        <f>G1735</f>
        <v>150000</v>
      </c>
      <c r="H1734" s="87">
        <f t="shared" ref="H1734:I1734" si="442">H1735</f>
        <v>0</v>
      </c>
      <c r="I1734" s="87">
        <f t="shared" si="442"/>
        <v>0</v>
      </c>
      <c r="J1734" s="123"/>
      <c r="P1734" s="123"/>
      <c r="Q1734" s="123"/>
      <c r="R1734" s="123"/>
      <c r="S1734" s="123"/>
      <c r="T1734" s="123"/>
    </row>
    <row r="1735" spans="1:20" s="90" customFormat="1" ht="18.75" customHeight="1">
      <c r="A1735" s="82" t="s">
        <v>321</v>
      </c>
      <c r="B1735" s="145">
        <v>793</v>
      </c>
      <c r="C1735" s="84" t="s">
        <v>18</v>
      </c>
      <c r="D1735" s="84" t="s">
        <v>22</v>
      </c>
      <c r="E1735" s="84" t="s">
        <v>987</v>
      </c>
      <c r="F1735" s="84" t="s">
        <v>320</v>
      </c>
      <c r="G1735" s="87">
        <f>150000</f>
        <v>150000</v>
      </c>
      <c r="H1735" s="87">
        <v>0</v>
      </c>
      <c r="I1735" s="87">
        <v>0</v>
      </c>
      <c r="J1735" s="123"/>
      <c r="P1735" s="123"/>
      <c r="Q1735" s="123"/>
      <c r="R1735" s="123"/>
      <c r="S1735" s="123"/>
      <c r="T1735" s="123"/>
    </row>
    <row r="1736" spans="1:20" ht="30" customHeight="1">
      <c r="A1736" s="16" t="s">
        <v>1271</v>
      </c>
      <c r="B1736" s="14">
        <v>793</v>
      </c>
      <c r="C1736" s="15" t="s">
        <v>18</v>
      </c>
      <c r="D1736" s="15" t="s">
        <v>22</v>
      </c>
      <c r="E1736" s="15" t="s">
        <v>1274</v>
      </c>
      <c r="F1736" s="15"/>
      <c r="G1736" s="70">
        <f>G1737+G1739+G1741</f>
        <v>160990.05000000028</v>
      </c>
      <c r="H1736" s="70">
        <f t="shared" ref="H1736:I1736" si="443">H1737+H1739</f>
        <v>0</v>
      </c>
      <c r="I1736" s="70">
        <f t="shared" si="443"/>
        <v>0</v>
      </c>
      <c r="J1736" s="2"/>
      <c r="K1736" s="1"/>
      <c r="L1736" s="1"/>
      <c r="M1736" s="1"/>
      <c r="N1736" s="1"/>
      <c r="O1736" s="1"/>
      <c r="P1736" s="2"/>
      <c r="Q1736" s="2"/>
      <c r="R1736" s="2"/>
      <c r="S1736" s="2"/>
      <c r="T1736" s="2"/>
    </row>
    <row r="1737" spans="1:20" ht="29.25" customHeight="1">
      <c r="A1737" s="16" t="s">
        <v>316</v>
      </c>
      <c r="B1737" s="15" t="s">
        <v>804</v>
      </c>
      <c r="C1737" s="15" t="s">
        <v>18</v>
      </c>
      <c r="D1737" s="15" t="s">
        <v>22</v>
      </c>
      <c r="E1737" s="15" t="s">
        <v>1274</v>
      </c>
      <c r="F1737" s="15" t="s">
        <v>57</v>
      </c>
      <c r="G1737" s="70">
        <f>G1738</f>
        <v>79533.36</v>
      </c>
      <c r="H1737" s="70"/>
      <c r="I1737" s="70"/>
      <c r="J1737" s="2"/>
      <c r="K1737" s="1"/>
      <c r="L1737" s="1"/>
      <c r="M1737" s="1"/>
      <c r="N1737" s="1"/>
      <c r="O1737" s="1"/>
      <c r="P1737" s="2"/>
      <c r="Q1737" s="2"/>
      <c r="R1737" s="2"/>
      <c r="S1737" s="2"/>
      <c r="T1737" s="2"/>
    </row>
    <row r="1738" spans="1:20" ht="36.75" customHeight="1">
      <c r="A1738" s="16" t="s">
        <v>37</v>
      </c>
      <c r="B1738" s="15" t="s">
        <v>804</v>
      </c>
      <c r="C1738" s="15" t="s">
        <v>18</v>
      </c>
      <c r="D1738" s="15" t="s">
        <v>22</v>
      </c>
      <c r="E1738" s="15" t="s">
        <v>1274</v>
      </c>
      <c r="F1738" s="15" t="s">
        <v>58</v>
      </c>
      <c r="G1738" s="70">
        <f>17662.96+13240.48+48629.92</f>
        <v>79533.36</v>
      </c>
      <c r="H1738" s="70"/>
      <c r="I1738" s="70"/>
      <c r="J1738" s="2"/>
      <c r="K1738" s="1"/>
      <c r="L1738" s="1"/>
      <c r="M1738" s="1"/>
      <c r="N1738" s="1"/>
      <c r="O1738" s="1"/>
      <c r="P1738" s="2"/>
      <c r="Q1738" s="2"/>
      <c r="R1738" s="2"/>
      <c r="S1738" s="2"/>
      <c r="T1738" s="2"/>
    </row>
    <row r="1739" spans="1:20">
      <c r="A1739" s="16" t="s">
        <v>316</v>
      </c>
      <c r="B1739" s="14">
        <v>793</v>
      </c>
      <c r="C1739" s="15" t="s">
        <v>18</v>
      </c>
      <c r="D1739" s="15" t="s">
        <v>22</v>
      </c>
      <c r="E1739" s="15" t="s">
        <v>1274</v>
      </c>
      <c r="F1739" s="15" t="s">
        <v>36</v>
      </c>
      <c r="G1739" s="70">
        <f t="shared" ref="G1739:I1741" si="444">G1740</f>
        <v>14415.050000000279</v>
      </c>
      <c r="H1739" s="70">
        <f t="shared" si="444"/>
        <v>0</v>
      </c>
      <c r="I1739" s="70">
        <f t="shared" si="444"/>
        <v>0</v>
      </c>
      <c r="J1739" s="2"/>
      <c r="K1739" s="1"/>
      <c r="L1739" s="1"/>
      <c r="M1739" s="1"/>
      <c r="N1739" s="1"/>
      <c r="O1739" s="1"/>
      <c r="P1739" s="2"/>
      <c r="Q1739" s="2"/>
      <c r="R1739" s="2"/>
      <c r="S1739" s="2"/>
      <c r="T1739" s="2"/>
    </row>
    <row r="1740" spans="1:20" ht="30" customHeight="1">
      <c r="A1740" s="16" t="s">
        <v>37</v>
      </c>
      <c r="B1740" s="14">
        <v>793</v>
      </c>
      <c r="C1740" s="15" t="s">
        <v>18</v>
      </c>
      <c r="D1740" s="15" t="s">
        <v>22</v>
      </c>
      <c r="E1740" s="15" t="s">
        <v>1274</v>
      </c>
      <c r="F1740" s="15" t="s">
        <v>38</v>
      </c>
      <c r="G1740" s="70">
        <f>1500000+1000000+853085.7-618201.26-279223.7-610772.22-6252-10197.75-36738.93-22475.79-899261.95-10507.38-119891-725148.67</f>
        <v>14415.050000000279</v>
      </c>
      <c r="H1740" s="70">
        <f>прил4!H1116</f>
        <v>0</v>
      </c>
      <c r="I1740" s="70">
        <f>прил4!I1116</f>
        <v>0</v>
      </c>
      <c r="J1740" s="2"/>
      <c r="K1740" s="1"/>
      <c r="L1740" s="1"/>
      <c r="M1740" s="1"/>
      <c r="N1740" s="1"/>
      <c r="O1740" s="1"/>
      <c r="P1740" s="2"/>
      <c r="Q1740" s="2"/>
      <c r="R1740" s="2"/>
      <c r="S1740" s="2"/>
      <c r="T1740" s="2"/>
    </row>
    <row r="1741" spans="1:20">
      <c r="A1741" s="82" t="s">
        <v>62</v>
      </c>
      <c r="B1741" s="14">
        <v>793</v>
      </c>
      <c r="C1741" s="15" t="s">
        <v>18</v>
      </c>
      <c r="D1741" s="15" t="s">
        <v>22</v>
      </c>
      <c r="E1741" s="15" t="s">
        <v>1274</v>
      </c>
      <c r="F1741" s="15" t="s">
        <v>63</v>
      </c>
      <c r="G1741" s="70">
        <f t="shared" si="444"/>
        <v>67041.64</v>
      </c>
      <c r="H1741" s="70">
        <f t="shared" si="444"/>
        <v>0</v>
      </c>
      <c r="I1741" s="70">
        <f t="shared" si="444"/>
        <v>0</v>
      </c>
      <c r="J1741" s="2"/>
      <c r="K1741" s="1"/>
      <c r="L1741" s="1"/>
      <c r="M1741" s="1"/>
      <c r="N1741" s="1"/>
      <c r="O1741" s="1"/>
      <c r="P1741" s="2"/>
      <c r="Q1741" s="2"/>
      <c r="R1741" s="2"/>
      <c r="S1741" s="2"/>
      <c r="T1741" s="2"/>
    </row>
    <row r="1742" spans="1:20" ht="18.75" customHeight="1">
      <c r="A1742" s="16" t="s">
        <v>140</v>
      </c>
      <c r="B1742" s="14">
        <v>793</v>
      </c>
      <c r="C1742" s="15" t="s">
        <v>18</v>
      </c>
      <c r="D1742" s="15" t="s">
        <v>22</v>
      </c>
      <c r="E1742" s="15" t="s">
        <v>1274</v>
      </c>
      <c r="F1742" s="15" t="s">
        <v>66</v>
      </c>
      <c r="G1742" s="70">
        <f>1292.87+65748.77</f>
        <v>67041.64</v>
      </c>
      <c r="H1742" s="70">
        <f>прил4!H1118</f>
        <v>0</v>
      </c>
      <c r="I1742" s="70">
        <f>прил4!I1118</f>
        <v>0</v>
      </c>
      <c r="J1742" s="2"/>
      <c r="K1742" s="1"/>
      <c r="L1742" s="1"/>
      <c r="M1742" s="1"/>
      <c r="N1742" s="1"/>
      <c r="O1742" s="1"/>
      <c r="P1742" s="2"/>
      <c r="Q1742" s="2"/>
      <c r="R1742" s="2"/>
      <c r="S1742" s="2"/>
      <c r="T1742" s="2"/>
    </row>
    <row r="1743" spans="1:20" s="122" customFormat="1" ht="51.75" hidden="1" customHeight="1">
      <c r="A1743" s="82" t="s">
        <v>140</v>
      </c>
      <c r="B1743" s="145">
        <v>793</v>
      </c>
      <c r="C1743" s="84" t="s">
        <v>18</v>
      </c>
      <c r="D1743" s="84" t="s">
        <v>22</v>
      </c>
      <c r="E1743" s="84" t="s">
        <v>613</v>
      </c>
      <c r="F1743" s="84"/>
      <c r="G1743" s="87">
        <f t="shared" ref="G1743:I1744" si="445">G1744</f>
        <v>0</v>
      </c>
      <c r="H1743" s="87">
        <f t="shared" si="445"/>
        <v>0</v>
      </c>
      <c r="I1743" s="87">
        <f t="shared" si="445"/>
        <v>0</v>
      </c>
      <c r="J1743" s="121"/>
      <c r="P1743" s="121"/>
      <c r="Q1743" s="121"/>
      <c r="R1743" s="121"/>
      <c r="S1743" s="121"/>
      <c r="T1743" s="121"/>
    </row>
    <row r="1744" spans="1:20" s="122" customFormat="1" ht="26.25" hidden="1" customHeight="1">
      <c r="A1744" s="82" t="s">
        <v>316</v>
      </c>
      <c r="B1744" s="145">
        <v>793</v>
      </c>
      <c r="C1744" s="84" t="s">
        <v>18</v>
      </c>
      <c r="D1744" s="84" t="s">
        <v>22</v>
      </c>
      <c r="E1744" s="84" t="s">
        <v>613</v>
      </c>
      <c r="F1744" s="84" t="s">
        <v>36</v>
      </c>
      <c r="G1744" s="87">
        <f t="shared" si="445"/>
        <v>0</v>
      </c>
      <c r="H1744" s="87">
        <f t="shared" si="445"/>
        <v>0</v>
      </c>
      <c r="I1744" s="87">
        <f t="shared" si="445"/>
        <v>0</v>
      </c>
      <c r="J1744" s="121"/>
      <c r="P1744" s="121"/>
      <c r="Q1744" s="121"/>
      <c r="R1744" s="121"/>
      <c r="S1744" s="121"/>
      <c r="T1744" s="121"/>
    </row>
    <row r="1745" spans="1:20" s="122" customFormat="1" ht="26.25" hidden="1" customHeight="1">
      <c r="A1745" s="82" t="s">
        <v>37</v>
      </c>
      <c r="B1745" s="145">
        <v>793</v>
      </c>
      <c r="C1745" s="84" t="s">
        <v>18</v>
      </c>
      <c r="D1745" s="84" t="s">
        <v>22</v>
      </c>
      <c r="E1745" s="84" t="s">
        <v>613</v>
      </c>
      <c r="F1745" s="84" t="s">
        <v>38</v>
      </c>
      <c r="G1745" s="87">
        <f>прил4!G1386</f>
        <v>0</v>
      </c>
      <c r="H1745" s="87"/>
      <c r="I1745" s="87"/>
      <c r="J1745" s="121"/>
      <c r="P1745" s="121"/>
      <c r="Q1745" s="121"/>
      <c r="R1745" s="121"/>
      <c r="S1745" s="121"/>
      <c r="T1745" s="121"/>
    </row>
    <row r="1746" spans="1:20" s="122" customFormat="1" ht="26.25" hidden="1" customHeight="1">
      <c r="A1746" s="82"/>
      <c r="B1746" s="145"/>
      <c r="C1746" s="84"/>
      <c r="D1746" s="84"/>
      <c r="E1746" s="84"/>
      <c r="F1746" s="84"/>
      <c r="G1746" s="87"/>
      <c r="H1746" s="87"/>
      <c r="I1746" s="87"/>
      <c r="J1746" s="121"/>
      <c r="P1746" s="121"/>
      <c r="Q1746" s="121"/>
      <c r="R1746" s="121"/>
      <c r="S1746" s="121"/>
      <c r="T1746" s="121"/>
    </row>
    <row r="1747" spans="1:20" s="90" customFormat="1" ht="51.6" customHeight="1">
      <c r="A1747" s="82" t="s">
        <v>1541</v>
      </c>
      <c r="B1747" s="145">
        <v>793</v>
      </c>
      <c r="C1747" s="84" t="s">
        <v>18</v>
      </c>
      <c r="D1747" s="84" t="s">
        <v>22</v>
      </c>
      <c r="E1747" s="84" t="s">
        <v>1464</v>
      </c>
      <c r="F1747" s="84"/>
      <c r="G1747" s="87">
        <f>G1750</f>
        <v>4633156.05</v>
      </c>
      <c r="H1747" s="87"/>
      <c r="I1747" s="87"/>
      <c r="J1747" s="123"/>
      <c r="N1747" s="123"/>
      <c r="P1747" s="123"/>
      <c r="Q1747" s="123"/>
      <c r="R1747" s="123"/>
      <c r="S1747" s="123"/>
      <c r="T1747" s="123"/>
    </row>
    <row r="1748" spans="1:20" s="90" customFormat="1" ht="29.25" hidden="1" customHeight="1">
      <c r="A1748" s="16" t="s">
        <v>316</v>
      </c>
      <c r="B1748" s="84" t="s">
        <v>92</v>
      </c>
      <c r="C1748" s="84" t="s">
        <v>25</v>
      </c>
      <c r="D1748" s="84" t="s">
        <v>27</v>
      </c>
      <c r="E1748" s="84" t="s">
        <v>205</v>
      </c>
      <c r="F1748" s="84" t="s">
        <v>36</v>
      </c>
      <c r="G1748" s="87">
        <f>G1749</f>
        <v>0</v>
      </c>
      <c r="H1748" s="87"/>
      <c r="I1748" s="87"/>
      <c r="J1748" s="123"/>
      <c r="P1748" s="123"/>
      <c r="Q1748" s="123"/>
      <c r="R1748" s="123"/>
      <c r="S1748" s="123"/>
      <c r="T1748" s="123"/>
    </row>
    <row r="1749" spans="1:20" s="90" customFormat="1" ht="36.75" hidden="1" customHeight="1">
      <c r="A1749" s="16" t="s">
        <v>37</v>
      </c>
      <c r="B1749" s="84" t="s">
        <v>92</v>
      </c>
      <c r="C1749" s="84" t="s">
        <v>25</v>
      </c>
      <c r="D1749" s="84" t="s">
        <v>27</v>
      </c>
      <c r="E1749" s="84" t="s">
        <v>205</v>
      </c>
      <c r="F1749" s="84" t="s">
        <v>38</v>
      </c>
      <c r="G1749" s="87">
        <f>прил4!G3052</f>
        <v>0</v>
      </c>
      <c r="H1749" s="87"/>
      <c r="I1749" s="87"/>
      <c r="J1749" s="123"/>
      <c r="P1749" s="123"/>
      <c r="Q1749" s="123"/>
      <c r="R1749" s="123"/>
      <c r="S1749" s="123"/>
      <c r="T1749" s="123"/>
    </row>
    <row r="1750" spans="1:20" ht="17.25" customHeight="1">
      <c r="A1750" s="16" t="s">
        <v>316</v>
      </c>
      <c r="B1750" s="14">
        <v>793</v>
      </c>
      <c r="C1750" s="15" t="s">
        <v>18</v>
      </c>
      <c r="D1750" s="15" t="s">
        <v>22</v>
      </c>
      <c r="E1750" s="84" t="s">
        <v>1464</v>
      </c>
      <c r="F1750" s="15" t="s">
        <v>36</v>
      </c>
      <c r="G1750" s="70">
        <f>G1751</f>
        <v>4633156.05</v>
      </c>
      <c r="H1750" s="70">
        <f>H1751</f>
        <v>0</v>
      </c>
      <c r="I1750" s="70">
        <f>I1751</f>
        <v>0</v>
      </c>
      <c r="J1750" s="172"/>
      <c r="K1750" s="69"/>
      <c r="L1750" s="69"/>
      <c r="M1750" s="69"/>
      <c r="N1750" s="69"/>
      <c r="O1750" s="69"/>
      <c r="P1750" s="69"/>
      <c r="Q1750" s="69"/>
      <c r="R1750" s="69"/>
    </row>
    <row r="1751" spans="1:20" ht="32.4" customHeight="1">
      <c r="A1751" s="16" t="s">
        <v>37</v>
      </c>
      <c r="B1751" s="14">
        <v>793</v>
      </c>
      <c r="C1751" s="15" t="s">
        <v>18</v>
      </c>
      <c r="D1751" s="15" t="s">
        <v>22</v>
      </c>
      <c r="E1751" s="84" t="s">
        <v>1464</v>
      </c>
      <c r="F1751" s="15" t="s">
        <v>38</v>
      </c>
      <c r="G1751" s="70">
        <v>4633156.05</v>
      </c>
      <c r="H1751" s="70">
        <v>0</v>
      </c>
      <c r="I1751" s="70">
        <v>0</v>
      </c>
      <c r="J1751" s="172"/>
      <c r="K1751" s="69"/>
      <c r="L1751" s="69"/>
      <c r="M1751" s="69"/>
      <c r="N1751" s="69"/>
      <c r="O1751" s="69"/>
      <c r="P1751" s="69"/>
      <c r="Q1751" s="69"/>
      <c r="R1751" s="69"/>
    </row>
    <row r="1752" spans="1:20">
      <c r="A1752" s="47" t="s">
        <v>159</v>
      </c>
      <c r="B1752" s="311">
        <v>793</v>
      </c>
      <c r="C1752" s="20" t="s">
        <v>27</v>
      </c>
      <c r="D1752" s="20"/>
      <c r="E1752" s="20"/>
      <c r="F1752" s="20"/>
      <c r="G1752" s="12">
        <f>G1753</f>
        <v>2532476.0500000003</v>
      </c>
      <c r="H1752" s="12">
        <f t="shared" ref="H1752:I1752" si="446">H1753</f>
        <v>2638640.5499999998</v>
      </c>
      <c r="I1752" s="12">
        <f t="shared" si="446"/>
        <v>2732975.8</v>
      </c>
      <c r="J1752" s="312">
        <f>G1767+G1769</f>
        <v>2523257.5500000003</v>
      </c>
      <c r="K1752" s="69"/>
      <c r="L1752" s="69"/>
      <c r="M1752" s="69"/>
      <c r="N1752" s="69"/>
      <c r="O1752" s="69"/>
      <c r="P1752" s="69"/>
      <c r="Q1752" s="69"/>
      <c r="R1752" s="69"/>
    </row>
    <row r="1753" spans="1:20">
      <c r="A1753" s="40" t="s">
        <v>160</v>
      </c>
      <c r="B1753" s="14">
        <v>793</v>
      </c>
      <c r="C1753" s="15" t="s">
        <v>27</v>
      </c>
      <c r="D1753" s="15" t="s">
        <v>69</v>
      </c>
      <c r="E1753" s="15"/>
      <c r="F1753" s="15"/>
      <c r="G1753" s="70">
        <f>G1763+G1754</f>
        <v>2532476.0500000003</v>
      </c>
      <c r="H1753" s="70">
        <f>H1763</f>
        <v>2638640.5499999998</v>
      </c>
      <c r="I1753" s="70">
        <f>I1763</f>
        <v>2732975.8</v>
      </c>
      <c r="J1753" s="172"/>
      <c r="K1753" s="69"/>
      <c r="L1753" s="69"/>
      <c r="M1753" s="69"/>
      <c r="N1753" s="69"/>
      <c r="O1753" s="69"/>
      <c r="P1753" s="69"/>
      <c r="Q1753" s="69"/>
      <c r="R1753" s="69"/>
    </row>
    <row r="1754" spans="1:20" s="146" customFormat="1" ht="26.25" customHeight="1">
      <c r="A1754" s="82" t="s">
        <v>158</v>
      </c>
      <c r="B1754" s="145">
        <v>793</v>
      </c>
      <c r="C1754" s="15" t="s">
        <v>27</v>
      </c>
      <c r="D1754" s="15" t="s">
        <v>69</v>
      </c>
      <c r="E1754" s="143" t="s">
        <v>204</v>
      </c>
      <c r="F1754" s="84"/>
      <c r="G1754" s="87">
        <f>G1758</f>
        <v>9218.5</v>
      </c>
      <c r="H1754" s="87">
        <f t="shared" ref="H1754:I1754" si="447">H1758</f>
        <v>0</v>
      </c>
      <c r="I1754" s="87">
        <f t="shared" si="447"/>
        <v>0</v>
      </c>
      <c r="J1754" s="148">
        <v>1487719</v>
      </c>
      <c r="P1754" s="148"/>
      <c r="Q1754" s="148"/>
      <c r="R1754" s="148"/>
      <c r="S1754" s="148"/>
      <c r="T1754" s="148"/>
    </row>
    <row r="1755" spans="1:20" s="122" customFormat="1" ht="51.75" hidden="1" customHeight="1">
      <c r="A1755" s="82" t="s">
        <v>612</v>
      </c>
      <c r="B1755" s="145">
        <v>793</v>
      </c>
      <c r="C1755" s="15" t="s">
        <v>27</v>
      </c>
      <c r="D1755" s="15" t="s">
        <v>69</v>
      </c>
      <c r="E1755" s="84" t="s">
        <v>613</v>
      </c>
      <c r="F1755" s="84"/>
      <c r="G1755" s="87">
        <f t="shared" ref="G1755:I1756" si="448">G1756</f>
        <v>30810525.050000001</v>
      </c>
      <c r="H1755" s="87">
        <f t="shared" si="448"/>
        <v>0</v>
      </c>
      <c r="I1755" s="87">
        <f t="shared" si="448"/>
        <v>0</v>
      </c>
      <c r="J1755" s="121"/>
      <c r="P1755" s="121"/>
      <c r="Q1755" s="121"/>
      <c r="R1755" s="121"/>
      <c r="S1755" s="121"/>
      <c r="T1755" s="121"/>
    </row>
    <row r="1756" spans="1:20" s="122" customFormat="1" ht="26.25" hidden="1" customHeight="1">
      <c r="A1756" s="82" t="s">
        <v>316</v>
      </c>
      <c r="B1756" s="145">
        <v>793</v>
      </c>
      <c r="C1756" s="15" t="s">
        <v>27</v>
      </c>
      <c r="D1756" s="15" t="s">
        <v>69</v>
      </c>
      <c r="E1756" s="84" t="s">
        <v>613</v>
      </c>
      <c r="F1756" s="84" t="s">
        <v>36</v>
      </c>
      <c r="G1756" s="87">
        <f t="shared" si="448"/>
        <v>30810525.050000001</v>
      </c>
      <c r="H1756" s="87">
        <f t="shared" si="448"/>
        <v>0</v>
      </c>
      <c r="I1756" s="87">
        <f t="shared" si="448"/>
        <v>0</v>
      </c>
      <c r="J1756" s="121"/>
      <c r="P1756" s="121"/>
      <c r="Q1756" s="121"/>
      <c r="R1756" s="121"/>
      <c r="S1756" s="121"/>
      <c r="T1756" s="121"/>
    </row>
    <row r="1757" spans="1:20" s="122" customFormat="1" ht="26.25" hidden="1" customHeight="1">
      <c r="A1757" s="82" t="s">
        <v>37</v>
      </c>
      <c r="B1757" s="145">
        <v>793</v>
      </c>
      <c r="C1757" s="15" t="s">
        <v>27</v>
      </c>
      <c r="D1757" s="15" t="s">
        <v>69</v>
      </c>
      <c r="E1757" s="84" t="s">
        <v>613</v>
      </c>
      <c r="F1757" s="84" t="s">
        <v>38</v>
      </c>
      <c r="G1757" s="87">
        <f>прил4!G1365</f>
        <v>30810525.050000001</v>
      </c>
      <c r="H1757" s="87"/>
      <c r="I1757" s="87"/>
      <c r="J1757" s="121"/>
      <c r="P1757" s="121"/>
      <c r="Q1757" s="121"/>
      <c r="R1757" s="121"/>
      <c r="S1757" s="121"/>
      <c r="T1757" s="121"/>
    </row>
    <row r="1758" spans="1:20" ht="39" customHeight="1">
      <c r="A1758" s="16" t="s">
        <v>1271</v>
      </c>
      <c r="B1758" s="14">
        <v>793</v>
      </c>
      <c r="C1758" s="15" t="s">
        <v>27</v>
      </c>
      <c r="D1758" s="15" t="s">
        <v>69</v>
      </c>
      <c r="E1758" s="15" t="s">
        <v>1274</v>
      </c>
      <c r="F1758" s="15"/>
      <c r="G1758" s="70">
        <f>G1759+G1761</f>
        <v>9218.5</v>
      </c>
      <c r="H1758" s="70">
        <f t="shared" ref="H1758:I1758" si="449">H1759+H1761</f>
        <v>0</v>
      </c>
      <c r="I1758" s="70">
        <f t="shared" si="449"/>
        <v>0</v>
      </c>
      <c r="J1758" s="2"/>
      <c r="K1758" s="1"/>
      <c r="L1758" s="1"/>
      <c r="M1758" s="1"/>
      <c r="N1758" s="1"/>
      <c r="O1758" s="1"/>
      <c r="P1758" s="2"/>
      <c r="Q1758" s="2"/>
      <c r="R1758" s="2"/>
      <c r="S1758" s="2"/>
      <c r="T1758" s="2"/>
    </row>
    <row r="1759" spans="1:20" ht="29.25" hidden="1" customHeight="1">
      <c r="A1759" s="16" t="s">
        <v>316</v>
      </c>
      <c r="B1759" s="15" t="s">
        <v>92</v>
      </c>
      <c r="C1759" s="15" t="s">
        <v>27</v>
      </c>
      <c r="D1759" s="15" t="s">
        <v>69</v>
      </c>
      <c r="E1759" s="15" t="s">
        <v>205</v>
      </c>
      <c r="F1759" s="15" t="s">
        <v>36</v>
      </c>
      <c r="G1759" s="70">
        <f>G1760</f>
        <v>0</v>
      </c>
      <c r="H1759" s="70"/>
      <c r="I1759" s="70"/>
      <c r="J1759" s="2"/>
      <c r="K1759" s="1"/>
      <c r="L1759" s="1"/>
      <c r="M1759" s="1"/>
      <c r="N1759" s="1"/>
      <c r="O1759" s="1"/>
      <c r="P1759" s="2"/>
      <c r="Q1759" s="2"/>
      <c r="R1759" s="2"/>
      <c r="S1759" s="2"/>
      <c r="T1759" s="2"/>
    </row>
    <row r="1760" spans="1:20" ht="36.75" hidden="1" customHeight="1">
      <c r="A1760" s="16" t="s">
        <v>37</v>
      </c>
      <c r="B1760" s="15" t="s">
        <v>92</v>
      </c>
      <c r="C1760" s="15" t="s">
        <v>27</v>
      </c>
      <c r="D1760" s="15" t="s">
        <v>69</v>
      </c>
      <c r="E1760" s="15" t="s">
        <v>205</v>
      </c>
      <c r="F1760" s="15" t="s">
        <v>38</v>
      </c>
      <c r="G1760" s="70">
        <f>прил4!G3002</f>
        <v>0</v>
      </c>
      <c r="H1760" s="70"/>
      <c r="I1760" s="70"/>
      <c r="J1760" s="2"/>
      <c r="K1760" s="1"/>
      <c r="L1760" s="1"/>
      <c r="M1760" s="1"/>
      <c r="N1760" s="1"/>
      <c r="O1760" s="1"/>
      <c r="P1760" s="2"/>
      <c r="Q1760" s="2"/>
      <c r="R1760" s="2"/>
      <c r="S1760" s="2"/>
      <c r="T1760" s="2"/>
    </row>
    <row r="1761" spans="1:20">
      <c r="A1761" s="16" t="s">
        <v>316</v>
      </c>
      <c r="B1761" s="14">
        <v>793</v>
      </c>
      <c r="C1761" s="15" t="s">
        <v>27</v>
      </c>
      <c r="D1761" s="15" t="s">
        <v>69</v>
      </c>
      <c r="E1761" s="15" t="s">
        <v>1274</v>
      </c>
      <c r="F1761" s="15" t="s">
        <v>57</v>
      </c>
      <c r="G1761" s="70">
        <f t="shared" ref="G1761:I1761" si="450">G1762</f>
        <v>9218.5</v>
      </c>
      <c r="H1761" s="70">
        <f t="shared" si="450"/>
        <v>0</v>
      </c>
      <c r="I1761" s="70">
        <f t="shared" si="450"/>
        <v>0</v>
      </c>
      <c r="J1761" s="2"/>
      <c r="K1761" s="1"/>
      <c r="L1761" s="1"/>
      <c r="M1761" s="1"/>
      <c r="N1761" s="1"/>
      <c r="O1761" s="1"/>
      <c r="P1761" s="2"/>
      <c r="Q1761" s="2"/>
      <c r="R1761" s="2"/>
      <c r="S1761" s="2"/>
      <c r="T1761" s="2"/>
    </row>
    <row r="1762" spans="1:20" ht="18.75" customHeight="1">
      <c r="A1762" s="16" t="s">
        <v>37</v>
      </c>
      <c r="B1762" s="14">
        <v>793</v>
      </c>
      <c r="C1762" s="15" t="s">
        <v>27</v>
      </c>
      <c r="D1762" s="15" t="s">
        <v>69</v>
      </c>
      <c r="E1762" s="15" t="s">
        <v>1274</v>
      </c>
      <c r="F1762" s="15" t="s">
        <v>58</v>
      </c>
      <c r="G1762" s="70">
        <f>10197.75-979.25</f>
        <v>9218.5</v>
      </c>
      <c r="H1762" s="70">
        <v>0</v>
      </c>
      <c r="I1762" s="70">
        <v>0</v>
      </c>
      <c r="J1762" s="2"/>
      <c r="K1762" s="1"/>
      <c r="L1762" s="1"/>
      <c r="M1762" s="1"/>
      <c r="N1762" s="1"/>
      <c r="O1762" s="1"/>
      <c r="P1762" s="2"/>
      <c r="Q1762" s="2"/>
      <c r="R1762" s="2"/>
      <c r="S1762" s="2"/>
      <c r="T1762" s="2"/>
    </row>
    <row r="1763" spans="1:20" s="28" customFormat="1">
      <c r="A1763" s="16" t="s">
        <v>1123</v>
      </c>
      <c r="B1763" s="145">
        <v>793</v>
      </c>
      <c r="C1763" s="15" t="s">
        <v>27</v>
      </c>
      <c r="D1763" s="15" t="s">
        <v>69</v>
      </c>
      <c r="E1763" s="15" t="s">
        <v>1121</v>
      </c>
      <c r="F1763" s="39"/>
      <c r="G1763" s="70">
        <f>G1765</f>
        <v>2523257.5500000003</v>
      </c>
      <c r="H1763" s="70">
        <f>H1765</f>
        <v>2638640.5499999998</v>
      </c>
      <c r="I1763" s="70">
        <f>I1765</f>
        <v>2732975.8</v>
      </c>
      <c r="J1763" s="172"/>
      <c r="K1763" s="313"/>
      <c r="L1763" s="313"/>
      <c r="M1763" s="313"/>
      <c r="N1763" s="313"/>
      <c r="O1763" s="313"/>
      <c r="P1763" s="313"/>
      <c r="Q1763" s="313"/>
      <c r="R1763" s="313"/>
    </row>
    <row r="1764" spans="1:20" s="46" customFormat="1" ht="41.25" hidden="1" customHeight="1">
      <c r="A1764" s="16"/>
      <c r="B1764" s="145"/>
      <c r="C1764" s="15"/>
      <c r="D1764" s="15"/>
      <c r="E1764" s="15"/>
      <c r="F1764" s="15"/>
      <c r="G1764" s="70"/>
      <c r="H1764" s="70"/>
      <c r="I1764" s="70"/>
      <c r="J1764" s="172"/>
      <c r="K1764" s="58"/>
      <c r="L1764" s="58"/>
      <c r="M1764" s="58"/>
      <c r="N1764" s="58"/>
      <c r="O1764" s="58"/>
      <c r="P1764" s="58"/>
      <c r="Q1764" s="58"/>
      <c r="R1764" s="58"/>
    </row>
    <row r="1765" spans="1:20" s="28" customFormat="1" ht="26.4">
      <c r="A1765" s="16" t="s">
        <v>161</v>
      </c>
      <c r="B1765" s="145">
        <v>793</v>
      </c>
      <c r="C1765" s="15" t="s">
        <v>27</v>
      </c>
      <c r="D1765" s="15" t="s">
        <v>69</v>
      </c>
      <c r="E1765" s="15" t="s">
        <v>1122</v>
      </c>
      <c r="F1765" s="39"/>
      <c r="G1765" s="70">
        <f>G1766+G1768</f>
        <v>2523257.5500000003</v>
      </c>
      <c r="H1765" s="70">
        <f t="shared" ref="H1765" si="451">H1766+H1768</f>
        <v>2638640.5499999998</v>
      </c>
      <c r="I1765" s="70">
        <f t="shared" ref="I1765" si="452">I1766+I1768</f>
        <v>2732975.8</v>
      </c>
      <c r="J1765" s="172"/>
      <c r="K1765" s="313"/>
      <c r="L1765" s="313"/>
      <c r="M1765" s="313"/>
      <c r="N1765" s="313"/>
      <c r="O1765" s="313"/>
      <c r="P1765" s="313"/>
      <c r="Q1765" s="313"/>
      <c r="R1765" s="313"/>
    </row>
    <row r="1766" spans="1:20" ht="22.5" customHeight="1">
      <c r="A1766" s="82" t="s">
        <v>55</v>
      </c>
      <c r="B1766" s="145">
        <v>793</v>
      </c>
      <c r="C1766" s="15" t="s">
        <v>27</v>
      </c>
      <c r="D1766" s="15" t="s">
        <v>69</v>
      </c>
      <c r="E1766" s="15" t="s">
        <v>1122</v>
      </c>
      <c r="F1766" s="15" t="s">
        <v>57</v>
      </c>
      <c r="G1766" s="70">
        <f t="shared" ref="G1766:I1768" si="453">G1767</f>
        <v>2473883.4700000002</v>
      </c>
      <c r="H1766" s="70">
        <f t="shared" si="453"/>
        <v>2392297.6999999997</v>
      </c>
      <c r="I1766" s="70">
        <f t="shared" si="453"/>
        <v>2392199.9499999997</v>
      </c>
      <c r="J1766" s="172"/>
      <c r="K1766" s="69"/>
      <c r="L1766" s="69"/>
      <c r="M1766" s="69"/>
      <c r="N1766" s="69"/>
      <c r="O1766" s="69"/>
      <c r="P1766" s="69"/>
      <c r="Q1766" s="69"/>
      <c r="R1766" s="69"/>
    </row>
    <row r="1767" spans="1:20">
      <c r="A1767" s="82" t="s">
        <v>316</v>
      </c>
      <c r="B1767" s="145">
        <v>793</v>
      </c>
      <c r="C1767" s="15" t="s">
        <v>27</v>
      </c>
      <c r="D1767" s="15" t="s">
        <v>69</v>
      </c>
      <c r="E1767" s="15" t="s">
        <v>1122</v>
      </c>
      <c r="F1767" s="15" t="s">
        <v>58</v>
      </c>
      <c r="G1767" s="70">
        <f>2210982.95+262900.52</f>
        <v>2473883.4700000002</v>
      </c>
      <c r="H1767" s="70">
        <f>1394393.64+929595.76+68308.3</f>
        <v>2392297.6999999997</v>
      </c>
      <c r="I1767" s="70">
        <f>1394393.64+929595.76+68210.55</f>
        <v>2392199.9499999997</v>
      </c>
      <c r="J1767" s="172"/>
      <c r="K1767" s="69"/>
      <c r="L1767" s="69"/>
      <c r="M1767" s="69"/>
      <c r="N1767" s="69"/>
      <c r="O1767" s="69"/>
      <c r="P1767" s="69"/>
      <c r="Q1767" s="69"/>
      <c r="R1767" s="69"/>
    </row>
    <row r="1768" spans="1:20" ht="22.5" customHeight="1">
      <c r="A1768" s="82" t="s">
        <v>55</v>
      </c>
      <c r="B1768" s="145">
        <v>793</v>
      </c>
      <c r="C1768" s="15" t="s">
        <v>27</v>
      </c>
      <c r="D1768" s="15" t="s">
        <v>69</v>
      </c>
      <c r="E1768" s="15" t="s">
        <v>1122</v>
      </c>
      <c r="F1768" s="84" t="s">
        <v>36</v>
      </c>
      <c r="G1768" s="70">
        <f t="shared" si="453"/>
        <v>49374.079999999958</v>
      </c>
      <c r="H1768" s="70">
        <f t="shared" si="453"/>
        <v>246342.84999999998</v>
      </c>
      <c r="I1768" s="70">
        <f t="shared" si="453"/>
        <v>340775.85</v>
      </c>
      <c r="J1768" s="172"/>
      <c r="K1768" s="69"/>
      <c r="L1768" s="69"/>
      <c r="M1768" s="69"/>
      <c r="N1768" s="69"/>
      <c r="O1768" s="69"/>
      <c r="P1768" s="69"/>
      <c r="Q1768" s="69"/>
      <c r="R1768" s="69"/>
    </row>
    <row r="1769" spans="1:20">
      <c r="A1769" s="82" t="s">
        <v>316</v>
      </c>
      <c r="B1769" s="145">
        <v>793</v>
      </c>
      <c r="C1769" s="15" t="s">
        <v>27</v>
      </c>
      <c r="D1769" s="15" t="s">
        <v>69</v>
      </c>
      <c r="E1769" s="15" t="s">
        <v>1122</v>
      </c>
      <c r="F1769" s="84" t="s">
        <v>38</v>
      </c>
      <c r="G1769" s="70">
        <f>312274.6-262900.52</f>
        <v>49374.079999999958</v>
      </c>
      <c r="H1769" s="70">
        <f>147805.71+98537.14</f>
        <v>246342.84999999998</v>
      </c>
      <c r="I1769" s="70">
        <f>204465.51+136310.34</f>
        <v>340775.85</v>
      </c>
      <c r="J1769" s="172"/>
      <c r="K1769" s="69"/>
      <c r="L1769" s="69"/>
      <c r="M1769" s="69"/>
      <c r="N1769" s="69"/>
      <c r="O1769" s="69"/>
      <c r="P1769" s="69"/>
      <c r="Q1769" s="69"/>
      <c r="R1769" s="69"/>
    </row>
    <row r="1770" spans="1:20" ht="16.8" hidden="1">
      <c r="A1770" s="307"/>
      <c r="B1770" s="311"/>
      <c r="C1770" s="308"/>
      <c r="D1770" s="308"/>
      <c r="E1770" s="308"/>
      <c r="F1770" s="308"/>
      <c r="G1770" s="309"/>
      <c r="H1770" s="309"/>
      <c r="I1770" s="309"/>
      <c r="J1770" s="310"/>
      <c r="K1770" s="241"/>
      <c r="L1770" s="69"/>
      <c r="M1770" s="69"/>
      <c r="N1770" s="69"/>
      <c r="O1770" s="69"/>
      <c r="P1770" s="69"/>
      <c r="Q1770" s="69"/>
      <c r="R1770" s="69"/>
    </row>
    <row r="1771" spans="1:20" hidden="1">
      <c r="A1771" s="47"/>
      <c r="B1771" s="14"/>
      <c r="C1771" s="20"/>
      <c r="D1771" s="20"/>
      <c r="E1771" s="20"/>
      <c r="F1771" s="20"/>
      <c r="G1771" s="12"/>
      <c r="H1771" s="12"/>
      <c r="I1771" s="12"/>
      <c r="J1771" s="312"/>
      <c r="K1771" s="69"/>
      <c r="L1771" s="69"/>
      <c r="M1771" s="69"/>
      <c r="N1771" s="69"/>
      <c r="O1771" s="69"/>
      <c r="P1771" s="69"/>
      <c r="Q1771" s="69"/>
      <c r="R1771" s="69"/>
    </row>
    <row r="1772" spans="1:20" hidden="1">
      <c r="A1772" s="40"/>
      <c r="B1772" s="14"/>
      <c r="C1772" s="15"/>
      <c r="D1772" s="15"/>
      <c r="E1772" s="15"/>
      <c r="F1772" s="15"/>
      <c r="G1772" s="70"/>
      <c r="H1772" s="70"/>
      <c r="I1772" s="70"/>
      <c r="J1772" s="172"/>
      <c r="K1772" s="69"/>
      <c r="L1772" s="69"/>
      <c r="M1772" s="69"/>
      <c r="N1772" s="69"/>
      <c r="O1772" s="69"/>
      <c r="P1772" s="69"/>
      <c r="Q1772" s="69"/>
      <c r="R1772" s="69"/>
    </row>
    <row r="1773" spans="1:20" s="28" customFormat="1" hidden="1">
      <c r="A1773" s="16"/>
      <c r="B1773" s="14"/>
      <c r="C1773" s="15"/>
      <c r="D1773" s="15"/>
      <c r="E1773" s="15"/>
      <c r="F1773" s="39"/>
      <c r="G1773" s="70"/>
      <c r="H1773" s="70"/>
      <c r="I1773" s="70"/>
      <c r="J1773" s="172"/>
      <c r="K1773" s="313"/>
      <c r="L1773" s="313"/>
      <c r="M1773" s="313"/>
      <c r="N1773" s="313"/>
      <c r="O1773" s="313"/>
      <c r="P1773" s="313"/>
      <c r="Q1773" s="313"/>
      <c r="R1773" s="313"/>
    </row>
    <row r="1774" spans="1:20" s="46" customFormat="1" ht="41.25" hidden="1" customHeight="1">
      <c r="A1774" s="16"/>
      <c r="B1774" s="14"/>
      <c r="C1774" s="15"/>
      <c r="D1774" s="15"/>
      <c r="E1774" s="15"/>
      <c r="F1774" s="15"/>
      <c r="G1774" s="70"/>
      <c r="H1774" s="70"/>
      <c r="I1774" s="70"/>
      <c r="J1774" s="172"/>
      <c r="K1774" s="58"/>
      <c r="L1774" s="58"/>
      <c r="M1774" s="58"/>
      <c r="N1774" s="58"/>
      <c r="O1774" s="58"/>
      <c r="P1774" s="58"/>
      <c r="Q1774" s="58"/>
      <c r="R1774" s="58"/>
    </row>
    <row r="1775" spans="1:20" s="28" customFormat="1" hidden="1">
      <c r="A1775" s="16"/>
      <c r="B1775" s="14"/>
      <c r="C1775" s="15"/>
      <c r="D1775" s="15"/>
      <c r="E1775" s="15"/>
      <c r="F1775" s="39"/>
      <c r="G1775" s="70"/>
      <c r="H1775" s="70"/>
      <c r="I1775" s="70"/>
      <c r="J1775" s="172"/>
      <c r="K1775" s="313"/>
      <c r="L1775" s="313"/>
      <c r="M1775" s="313"/>
      <c r="N1775" s="313"/>
      <c r="O1775" s="313"/>
      <c r="P1775" s="313"/>
      <c r="Q1775" s="313"/>
      <c r="R1775" s="313"/>
    </row>
    <row r="1776" spans="1:20" ht="22.5" hidden="1" customHeight="1">
      <c r="A1776" s="16"/>
      <c r="B1776" s="14"/>
      <c r="C1776" s="15"/>
      <c r="D1776" s="15"/>
      <c r="E1776" s="15"/>
      <c r="F1776" s="15"/>
      <c r="G1776" s="70"/>
      <c r="H1776" s="70"/>
      <c r="I1776" s="70"/>
      <c r="J1776" s="172"/>
      <c r="K1776" s="69"/>
      <c r="L1776" s="69"/>
      <c r="M1776" s="69"/>
      <c r="N1776" s="69"/>
      <c r="O1776" s="69"/>
      <c r="P1776" s="69"/>
      <c r="Q1776" s="69"/>
      <c r="R1776" s="69"/>
    </row>
    <row r="1777" spans="1:18" hidden="1">
      <c r="A1777" s="16"/>
      <c r="B1777" s="14"/>
      <c r="C1777" s="15"/>
      <c r="D1777" s="15"/>
      <c r="E1777" s="15"/>
      <c r="F1777" s="15"/>
      <c r="G1777" s="70"/>
      <c r="H1777" s="70"/>
      <c r="I1777" s="70"/>
      <c r="J1777" s="172"/>
      <c r="K1777" s="69"/>
      <c r="L1777" s="69"/>
      <c r="M1777" s="69"/>
      <c r="N1777" s="69"/>
      <c r="O1777" s="69"/>
      <c r="P1777" s="69"/>
      <c r="Q1777" s="69"/>
      <c r="R1777" s="69"/>
    </row>
    <row r="1778" spans="1:18" s="22" customFormat="1" hidden="1">
      <c r="A1778" s="317"/>
      <c r="B1778" s="14"/>
      <c r="C1778" s="20"/>
      <c r="D1778" s="20"/>
      <c r="E1778" s="20"/>
      <c r="F1778" s="20"/>
      <c r="G1778" s="12"/>
      <c r="H1778" s="12"/>
      <c r="I1778" s="12"/>
      <c r="J1778" s="312"/>
      <c r="K1778" s="61"/>
      <c r="L1778" s="61"/>
      <c r="M1778" s="61"/>
      <c r="N1778" s="61"/>
      <c r="O1778" s="61"/>
      <c r="P1778" s="61"/>
      <c r="Q1778" s="61"/>
      <c r="R1778" s="61"/>
    </row>
    <row r="1779" spans="1:18" ht="38.4" customHeight="1">
      <c r="A1779" s="11" t="s">
        <v>162</v>
      </c>
      <c r="B1779" s="6">
        <v>793</v>
      </c>
      <c r="C1779" s="7" t="s">
        <v>69</v>
      </c>
      <c r="D1779" s="7"/>
      <c r="E1779" s="7"/>
      <c r="F1779" s="7"/>
      <c r="G1779" s="38">
        <f>G1780+G1887+G1816</f>
        <v>18168503.240000002</v>
      </c>
      <c r="H1779" s="38">
        <f>H1780+H1887+H1816</f>
        <v>2480000</v>
      </c>
      <c r="I1779" s="38">
        <f>I1780+I1887+I1816</f>
        <v>2480000</v>
      </c>
      <c r="J1779" s="328">
        <f>G1828+G1839+G1865+G1894+G1901</f>
        <v>7860430.3499999996</v>
      </c>
      <c r="K1779" s="69"/>
      <c r="L1779" s="69"/>
      <c r="M1779" s="69"/>
      <c r="N1779" s="69"/>
      <c r="O1779" s="69"/>
      <c r="P1779" s="241"/>
      <c r="Q1779" s="241"/>
      <c r="R1779" s="69"/>
    </row>
    <row r="1780" spans="1:18" s="46" customFormat="1" ht="32.25" customHeight="1">
      <c r="A1780" s="40" t="s">
        <v>757</v>
      </c>
      <c r="B1780" s="14">
        <v>793</v>
      </c>
      <c r="C1780" s="15" t="s">
        <v>69</v>
      </c>
      <c r="D1780" s="15" t="s">
        <v>120</v>
      </c>
      <c r="E1780" s="15"/>
      <c r="F1780" s="15"/>
      <c r="G1780" s="70">
        <f>G1781+G1805+G1802+G1812</f>
        <v>323000</v>
      </c>
      <c r="H1780" s="70">
        <f t="shared" ref="H1780:I1780" si="454">H1781+H1805+H1802</f>
        <v>365000</v>
      </c>
      <c r="I1780" s="70">
        <f t="shared" si="454"/>
        <v>365000</v>
      </c>
      <c r="J1780" s="172"/>
      <c r="K1780" s="58"/>
      <c r="L1780" s="58"/>
      <c r="M1780" s="58"/>
      <c r="N1780" s="58"/>
      <c r="O1780" s="58"/>
      <c r="P1780" s="58"/>
      <c r="Q1780" s="58"/>
      <c r="R1780" s="58"/>
    </row>
    <row r="1781" spans="1:18" s="28" customFormat="1" ht="66">
      <c r="A1781" s="40" t="s">
        <v>1143</v>
      </c>
      <c r="B1781" s="14">
        <v>793</v>
      </c>
      <c r="C1781" s="15" t="s">
        <v>69</v>
      </c>
      <c r="D1781" s="15" t="s">
        <v>120</v>
      </c>
      <c r="E1781" s="15" t="s">
        <v>246</v>
      </c>
      <c r="F1781" s="39"/>
      <c r="G1781" s="70">
        <f>G1785+G1790+G1796+G1799+G1784+G1793+G1809</f>
        <v>323000</v>
      </c>
      <c r="H1781" s="70">
        <f t="shared" ref="H1781:I1781" si="455">H1785+H1790+H1796+H1799+H1784</f>
        <v>365000</v>
      </c>
      <c r="I1781" s="70">
        <f t="shared" si="455"/>
        <v>365000</v>
      </c>
      <c r="J1781" s="172"/>
      <c r="K1781" s="172"/>
      <c r="L1781" s="172"/>
      <c r="M1781" s="172"/>
      <c r="N1781" s="172"/>
      <c r="O1781" s="172"/>
      <c r="P1781" s="313"/>
      <c r="Q1781" s="331"/>
      <c r="R1781" s="313"/>
    </row>
    <row r="1782" spans="1:18" s="28" customFormat="1" ht="67.5" hidden="1" customHeight="1">
      <c r="A1782" s="40" t="s">
        <v>327</v>
      </c>
      <c r="B1782" s="14">
        <v>793</v>
      </c>
      <c r="C1782" s="15" t="s">
        <v>69</v>
      </c>
      <c r="D1782" s="15" t="s">
        <v>120</v>
      </c>
      <c r="E1782" s="15" t="s">
        <v>134</v>
      </c>
      <c r="F1782" s="39"/>
      <c r="G1782" s="70">
        <f>G1783</f>
        <v>0</v>
      </c>
      <c r="H1782" s="70">
        <f t="shared" ref="H1782:I1782" si="456">H1783</f>
        <v>0</v>
      </c>
      <c r="I1782" s="70">
        <f t="shared" si="456"/>
        <v>0</v>
      </c>
      <c r="J1782" s="172"/>
      <c r="K1782" s="313"/>
      <c r="L1782" s="313"/>
      <c r="M1782" s="313"/>
      <c r="N1782" s="313"/>
      <c r="O1782" s="313"/>
      <c r="P1782" s="313"/>
      <c r="Q1782" s="313"/>
      <c r="R1782" s="313"/>
    </row>
    <row r="1783" spans="1:18" s="28" customFormat="1" hidden="1">
      <c r="A1783" s="16" t="s">
        <v>316</v>
      </c>
      <c r="B1783" s="14">
        <v>793</v>
      </c>
      <c r="C1783" s="15" t="s">
        <v>69</v>
      </c>
      <c r="D1783" s="15" t="s">
        <v>120</v>
      </c>
      <c r="E1783" s="15" t="s">
        <v>134</v>
      </c>
      <c r="F1783" s="15" t="s">
        <v>36</v>
      </c>
      <c r="G1783" s="70">
        <f>G1784</f>
        <v>0</v>
      </c>
      <c r="H1783" s="70">
        <f t="shared" ref="H1783:I1783" si="457">H1784</f>
        <v>0</v>
      </c>
      <c r="I1783" s="70">
        <f t="shared" si="457"/>
        <v>0</v>
      </c>
      <c r="J1783" s="172"/>
      <c r="K1783" s="313"/>
      <c r="L1783" s="313"/>
      <c r="M1783" s="313"/>
      <c r="N1783" s="313"/>
      <c r="O1783" s="313"/>
      <c r="P1783" s="313"/>
      <c r="Q1783" s="313"/>
      <c r="R1783" s="313"/>
    </row>
    <row r="1784" spans="1:18" s="28" customFormat="1" ht="26.4" hidden="1">
      <c r="A1784" s="16" t="s">
        <v>37</v>
      </c>
      <c r="B1784" s="14">
        <v>793</v>
      </c>
      <c r="C1784" s="15" t="s">
        <v>69</v>
      </c>
      <c r="D1784" s="15" t="s">
        <v>120</v>
      </c>
      <c r="E1784" s="15" t="s">
        <v>134</v>
      </c>
      <c r="F1784" s="15" t="s">
        <v>38</v>
      </c>
      <c r="G1784" s="70">
        <v>0</v>
      </c>
      <c r="H1784" s="27"/>
      <c r="I1784" s="27"/>
      <c r="J1784" s="242"/>
      <c r="K1784" s="313"/>
      <c r="L1784" s="313"/>
      <c r="M1784" s="313"/>
      <c r="N1784" s="313"/>
      <c r="O1784" s="313"/>
      <c r="P1784" s="313"/>
      <c r="Q1784" s="313"/>
      <c r="R1784" s="313"/>
    </row>
    <row r="1785" spans="1:18" ht="53.25" hidden="1" customHeight="1">
      <c r="A1785" s="57" t="s">
        <v>751</v>
      </c>
      <c r="B1785" s="14">
        <v>793</v>
      </c>
      <c r="C1785" s="15" t="s">
        <v>69</v>
      </c>
      <c r="D1785" s="15" t="s">
        <v>120</v>
      </c>
      <c r="E1785" s="15" t="s">
        <v>247</v>
      </c>
      <c r="F1785" s="15"/>
      <c r="G1785" s="70">
        <f>G1786</f>
        <v>0</v>
      </c>
      <c r="H1785" s="70">
        <f>H1786+H1788</f>
        <v>0</v>
      </c>
      <c r="I1785" s="70">
        <f>I1786+I1788</f>
        <v>0</v>
      </c>
      <c r="J1785" s="172"/>
      <c r="K1785" s="69"/>
      <c r="L1785" s="69"/>
      <c r="M1785" s="69"/>
      <c r="N1785" s="69"/>
      <c r="O1785" s="69"/>
      <c r="P1785" s="69"/>
      <c r="Q1785" s="69"/>
      <c r="R1785" s="69"/>
    </row>
    <row r="1786" spans="1:18" hidden="1">
      <c r="A1786" s="16" t="s">
        <v>316</v>
      </c>
      <c r="B1786" s="14">
        <v>793</v>
      </c>
      <c r="C1786" s="15" t="s">
        <v>69</v>
      </c>
      <c r="D1786" s="15" t="s">
        <v>120</v>
      </c>
      <c r="E1786" s="15" t="s">
        <v>247</v>
      </c>
      <c r="F1786" s="15" t="s">
        <v>36</v>
      </c>
      <c r="G1786" s="70">
        <f>G1787</f>
        <v>0</v>
      </c>
      <c r="H1786" s="70">
        <f t="shared" ref="H1786:I1786" si="458">H1787</f>
        <v>0</v>
      </c>
      <c r="I1786" s="70">
        <f t="shared" si="458"/>
        <v>0</v>
      </c>
      <c r="J1786" s="172"/>
      <c r="K1786" s="69"/>
      <c r="L1786" s="69"/>
      <c r="M1786" s="69"/>
      <c r="N1786" s="69"/>
      <c r="O1786" s="69"/>
      <c r="P1786" s="69"/>
      <c r="Q1786" s="69"/>
      <c r="R1786" s="69"/>
    </row>
    <row r="1787" spans="1:18" ht="26.4" hidden="1">
      <c r="A1787" s="16" t="s">
        <v>37</v>
      </c>
      <c r="B1787" s="14">
        <v>793</v>
      </c>
      <c r="C1787" s="15" t="s">
        <v>69</v>
      </c>
      <c r="D1787" s="15" t="s">
        <v>120</v>
      </c>
      <c r="E1787" s="15" t="s">
        <v>247</v>
      </c>
      <c r="F1787" s="15" t="s">
        <v>38</v>
      </c>
      <c r="G1787" s="70">
        <v>0</v>
      </c>
      <c r="H1787" s="70">
        <v>0</v>
      </c>
      <c r="I1787" s="70">
        <v>0</v>
      </c>
      <c r="J1787" s="172"/>
      <c r="K1787" s="69"/>
      <c r="L1787" s="69"/>
      <c r="M1787" s="69"/>
      <c r="N1787" s="69"/>
      <c r="O1787" s="69"/>
      <c r="P1787" s="69"/>
      <c r="Q1787" s="69"/>
      <c r="R1787" s="69"/>
    </row>
    <row r="1788" spans="1:18" ht="17.25" hidden="1" customHeight="1">
      <c r="A1788" s="16" t="s">
        <v>62</v>
      </c>
      <c r="B1788" s="14">
        <v>793</v>
      </c>
      <c r="C1788" s="15" t="s">
        <v>69</v>
      </c>
      <c r="D1788" s="15" t="s">
        <v>120</v>
      </c>
      <c r="E1788" s="15" t="s">
        <v>248</v>
      </c>
      <c r="F1788" s="15" t="s">
        <v>63</v>
      </c>
      <c r="G1788" s="70">
        <f>G1789</f>
        <v>0</v>
      </c>
      <c r="H1788" s="70">
        <f t="shared" ref="H1788:I1788" si="459">H1789</f>
        <v>0</v>
      </c>
      <c r="I1788" s="70">
        <f t="shared" si="459"/>
        <v>0</v>
      </c>
      <c r="J1788" s="172"/>
      <c r="K1788" s="69"/>
      <c r="L1788" s="69"/>
      <c r="M1788" s="69"/>
      <c r="N1788" s="69"/>
      <c r="O1788" s="69"/>
      <c r="P1788" s="69"/>
      <c r="Q1788" s="69"/>
      <c r="R1788" s="69"/>
    </row>
    <row r="1789" spans="1:18" ht="13.5" hidden="1" customHeight="1">
      <c r="A1789" s="16" t="s">
        <v>174</v>
      </c>
      <c r="B1789" s="14">
        <v>793</v>
      </c>
      <c r="C1789" s="15" t="s">
        <v>69</v>
      </c>
      <c r="D1789" s="15" t="s">
        <v>120</v>
      </c>
      <c r="E1789" s="15" t="s">
        <v>248</v>
      </c>
      <c r="F1789" s="15" t="s">
        <v>175</v>
      </c>
      <c r="G1789" s="70">
        <v>0</v>
      </c>
      <c r="H1789" s="70"/>
      <c r="I1789" s="70">
        <v>0</v>
      </c>
      <c r="J1789" s="172"/>
      <c r="K1789" s="69"/>
      <c r="L1789" s="69"/>
      <c r="M1789" s="69"/>
      <c r="N1789" s="69"/>
      <c r="O1789" s="69"/>
      <c r="P1789" s="69"/>
      <c r="Q1789" s="69"/>
      <c r="R1789" s="69"/>
    </row>
    <row r="1790" spans="1:18" ht="38.25" customHeight="1">
      <c r="A1790" s="16" t="s">
        <v>432</v>
      </c>
      <c r="B1790" s="14">
        <v>793</v>
      </c>
      <c r="C1790" s="15" t="s">
        <v>69</v>
      </c>
      <c r="D1790" s="15" t="s">
        <v>120</v>
      </c>
      <c r="E1790" s="15" t="s">
        <v>433</v>
      </c>
      <c r="F1790" s="15"/>
      <c r="G1790" s="70">
        <f>G1791</f>
        <v>323000</v>
      </c>
      <c r="H1790" s="70">
        <f t="shared" ref="H1790:I1790" si="460">H1791</f>
        <v>365000</v>
      </c>
      <c r="I1790" s="70">
        <f t="shared" si="460"/>
        <v>365000</v>
      </c>
      <c r="J1790" s="172"/>
      <c r="K1790" s="69"/>
      <c r="L1790" s="69"/>
      <c r="M1790" s="69"/>
      <c r="N1790" s="69"/>
      <c r="O1790" s="69"/>
      <c r="P1790" s="69"/>
      <c r="Q1790" s="69"/>
      <c r="R1790" s="69"/>
    </row>
    <row r="1791" spans="1:18" ht="28.5" customHeight="1">
      <c r="A1791" s="16" t="s">
        <v>37</v>
      </c>
      <c r="B1791" s="14">
        <v>793</v>
      </c>
      <c r="C1791" s="15" t="s">
        <v>69</v>
      </c>
      <c r="D1791" s="15" t="s">
        <v>120</v>
      </c>
      <c r="E1791" s="15" t="s">
        <v>433</v>
      </c>
      <c r="F1791" s="15" t="s">
        <v>36</v>
      </c>
      <c r="G1791" s="70">
        <f>G1792</f>
        <v>323000</v>
      </c>
      <c r="H1791" s="70">
        <f t="shared" ref="H1791:I1791" si="461">H1792</f>
        <v>365000</v>
      </c>
      <c r="I1791" s="70">
        <f t="shared" si="461"/>
        <v>365000</v>
      </c>
      <c r="J1791" s="172"/>
      <c r="K1791" s="69"/>
      <c r="L1791" s="69"/>
      <c r="M1791" s="69"/>
      <c r="N1791" s="69"/>
      <c r="O1791" s="69"/>
      <c r="P1791" s="69"/>
      <c r="Q1791" s="69"/>
      <c r="R1791" s="69"/>
    </row>
    <row r="1792" spans="1:18" ht="26.4">
      <c r="A1792" s="16" t="s">
        <v>37</v>
      </c>
      <c r="B1792" s="14">
        <v>793</v>
      </c>
      <c r="C1792" s="15" t="s">
        <v>69</v>
      </c>
      <c r="D1792" s="15" t="s">
        <v>120</v>
      </c>
      <c r="E1792" s="15" t="s">
        <v>433</v>
      </c>
      <c r="F1792" s="15" t="s">
        <v>38</v>
      </c>
      <c r="G1792" s="70">
        <f>365000-38900-3100</f>
        <v>323000</v>
      </c>
      <c r="H1792" s="70">
        <v>365000</v>
      </c>
      <c r="I1792" s="70">
        <v>365000</v>
      </c>
      <c r="J1792" s="172"/>
      <c r="K1792" s="69"/>
      <c r="L1792" s="69"/>
      <c r="M1792" s="69"/>
      <c r="N1792" s="69"/>
      <c r="O1792" s="69"/>
      <c r="P1792" s="69"/>
      <c r="Q1792" s="69"/>
      <c r="R1792" s="69"/>
    </row>
    <row r="1793" spans="1:18" ht="38.25" hidden="1" customHeight="1">
      <c r="A1793" s="16" t="s">
        <v>760</v>
      </c>
      <c r="B1793" s="14">
        <v>793</v>
      </c>
      <c r="C1793" s="15" t="s">
        <v>69</v>
      </c>
      <c r="D1793" s="15" t="s">
        <v>120</v>
      </c>
      <c r="E1793" s="15" t="s">
        <v>759</v>
      </c>
      <c r="F1793" s="15"/>
      <c r="G1793" s="70">
        <f>G1794</f>
        <v>0</v>
      </c>
      <c r="H1793" s="70">
        <f t="shared" ref="H1793:I1794" si="462">H1794</f>
        <v>0</v>
      </c>
      <c r="I1793" s="70">
        <f t="shared" si="462"/>
        <v>0</v>
      </c>
      <c r="J1793" s="172"/>
      <c r="K1793" s="69"/>
      <c r="L1793" s="69"/>
      <c r="M1793" s="69"/>
      <c r="N1793" s="69"/>
      <c r="O1793" s="69"/>
      <c r="P1793" s="69"/>
      <c r="Q1793" s="69"/>
      <c r="R1793" s="69"/>
    </row>
    <row r="1794" spans="1:18" ht="28.5" hidden="1" customHeight="1">
      <c r="A1794" s="16" t="s">
        <v>37</v>
      </c>
      <c r="B1794" s="14">
        <v>793</v>
      </c>
      <c r="C1794" s="15" t="s">
        <v>69</v>
      </c>
      <c r="D1794" s="15" t="s">
        <v>120</v>
      </c>
      <c r="E1794" s="15" t="s">
        <v>759</v>
      </c>
      <c r="F1794" s="15" t="s">
        <v>36</v>
      </c>
      <c r="G1794" s="70">
        <f>G1795</f>
        <v>0</v>
      </c>
      <c r="H1794" s="70">
        <f t="shared" si="462"/>
        <v>0</v>
      </c>
      <c r="I1794" s="70">
        <f t="shared" si="462"/>
        <v>0</v>
      </c>
      <c r="J1794" s="172"/>
      <c r="K1794" s="69"/>
      <c r="L1794" s="69"/>
      <c r="M1794" s="69"/>
      <c r="N1794" s="69"/>
      <c r="O1794" s="69"/>
      <c r="P1794" s="69"/>
      <c r="Q1794" s="69"/>
      <c r="R1794" s="69"/>
    </row>
    <row r="1795" spans="1:18" ht="26.4" hidden="1">
      <c r="A1795" s="16" t="s">
        <v>37</v>
      </c>
      <c r="B1795" s="14">
        <v>793</v>
      </c>
      <c r="C1795" s="15" t="s">
        <v>69</v>
      </c>
      <c r="D1795" s="15" t="s">
        <v>120</v>
      </c>
      <c r="E1795" s="15" t="s">
        <v>759</v>
      </c>
      <c r="F1795" s="15" t="s">
        <v>38</v>
      </c>
      <c r="G1795" s="70"/>
      <c r="H1795" s="70"/>
      <c r="I1795" s="70"/>
      <c r="J1795" s="172"/>
      <c r="K1795" s="69"/>
      <c r="L1795" s="69"/>
      <c r="M1795" s="69"/>
      <c r="N1795" s="69"/>
      <c r="O1795" s="69"/>
      <c r="P1795" s="69"/>
      <c r="Q1795" s="69"/>
      <c r="R1795" s="69"/>
    </row>
    <row r="1796" spans="1:18" ht="46.5" hidden="1" customHeight="1">
      <c r="A1796" s="57" t="s">
        <v>470</v>
      </c>
      <c r="B1796" s="14">
        <v>793</v>
      </c>
      <c r="C1796" s="15" t="s">
        <v>69</v>
      </c>
      <c r="D1796" s="15" t="s">
        <v>120</v>
      </c>
      <c r="E1796" s="15" t="s">
        <v>469</v>
      </c>
      <c r="F1796" s="15"/>
      <c r="G1796" s="70">
        <f>G1797</f>
        <v>0</v>
      </c>
      <c r="H1796" s="70">
        <f t="shared" ref="H1796:I1796" si="463">H1797</f>
        <v>0</v>
      </c>
      <c r="I1796" s="70">
        <f t="shared" si="463"/>
        <v>0</v>
      </c>
      <c r="J1796" s="172"/>
      <c r="K1796" s="69"/>
      <c r="L1796" s="69"/>
      <c r="M1796" s="69"/>
      <c r="N1796" s="69"/>
      <c r="O1796" s="69"/>
      <c r="P1796" s="69"/>
      <c r="Q1796" s="69"/>
      <c r="R1796" s="69"/>
    </row>
    <row r="1797" spans="1:18" ht="25.5" hidden="1" customHeight="1">
      <c r="A1797" s="16" t="s">
        <v>316</v>
      </c>
      <c r="B1797" s="14">
        <v>793</v>
      </c>
      <c r="C1797" s="15" t="s">
        <v>69</v>
      </c>
      <c r="D1797" s="15" t="s">
        <v>120</v>
      </c>
      <c r="E1797" s="15" t="s">
        <v>469</v>
      </c>
      <c r="F1797" s="15" t="s">
        <v>36</v>
      </c>
      <c r="G1797" s="70">
        <f>G1798</f>
        <v>0</v>
      </c>
      <c r="H1797" s="70">
        <f t="shared" ref="H1797:I1797" si="464">H1798</f>
        <v>0</v>
      </c>
      <c r="I1797" s="70">
        <f t="shared" si="464"/>
        <v>0</v>
      </c>
      <c r="J1797" s="172"/>
      <c r="K1797" s="69"/>
      <c r="L1797" s="69"/>
      <c r="M1797" s="69"/>
      <c r="N1797" s="69"/>
      <c r="O1797" s="69"/>
      <c r="P1797" s="69"/>
      <c r="Q1797" s="69"/>
      <c r="R1797" s="69"/>
    </row>
    <row r="1798" spans="1:18" ht="25.5" hidden="1" customHeight="1">
      <c r="A1798" s="16" t="s">
        <v>37</v>
      </c>
      <c r="B1798" s="14">
        <v>793</v>
      </c>
      <c r="C1798" s="15" t="s">
        <v>69</v>
      </c>
      <c r="D1798" s="15" t="s">
        <v>120</v>
      </c>
      <c r="E1798" s="15" t="s">
        <v>469</v>
      </c>
      <c r="F1798" s="15" t="s">
        <v>38</v>
      </c>
      <c r="G1798" s="70">
        <v>0</v>
      </c>
      <c r="H1798" s="70"/>
      <c r="I1798" s="70">
        <v>0</v>
      </c>
      <c r="J1798" s="172"/>
      <c r="K1798" s="69"/>
      <c r="L1798" s="69"/>
      <c r="M1798" s="69"/>
      <c r="N1798" s="69"/>
      <c r="O1798" s="69"/>
      <c r="P1798" s="69"/>
      <c r="Q1798" s="69"/>
      <c r="R1798" s="69"/>
    </row>
    <row r="1799" spans="1:18" ht="46.5" hidden="1" customHeight="1">
      <c r="A1799" s="57" t="s">
        <v>472</v>
      </c>
      <c r="B1799" s="14">
        <v>793</v>
      </c>
      <c r="C1799" s="15" t="s">
        <v>69</v>
      </c>
      <c r="D1799" s="15" t="s">
        <v>120</v>
      </c>
      <c r="E1799" s="15" t="s">
        <v>471</v>
      </c>
      <c r="F1799" s="15"/>
      <c r="G1799" s="70">
        <f>G1800</f>
        <v>0</v>
      </c>
      <c r="H1799" s="70">
        <f t="shared" ref="H1799:I1799" si="465">H1800</f>
        <v>0</v>
      </c>
      <c r="I1799" s="70">
        <f t="shared" si="465"/>
        <v>0</v>
      </c>
      <c r="J1799" s="172"/>
      <c r="K1799" s="69"/>
      <c r="L1799" s="69"/>
      <c r="M1799" s="69"/>
      <c r="N1799" s="69"/>
      <c r="O1799" s="69"/>
      <c r="P1799" s="69"/>
      <c r="Q1799" s="69"/>
      <c r="R1799" s="69"/>
    </row>
    <row r="1800" spans="1:18" hidden="1">
      <c r="A1800" s="16" t="s">
        <v>316</v>
      </c>
      <c r="B1800" s="14">
        <v>793</v>
      </c>
      <c r="C1800" s="15" t="s">
        <v>69</v>
      </c>
      <c r="D1800" s="15" t="s">
        <v>120</v>
      </c>
      <c r="E1800" s="15" t="s">
        <v>471</v>
      </c>
      <c r="F1800" s="15" t="s">
        <v>36</v>
      </c>
      <c r="G1800" s="70">
        <f>G1801</f>
        <v>0</v>
      </c>
      <c r="H1800" s="70">
        <f>H1801</f>
        <v>0</v>
      </c>
      <c r="I1800" s="70">
        <f>I1801</f>
        <v>0</v>
      </c>
      <c r="J1800" s="172"/>
      <c r="K1800" s="69"/>
      <c r="L1800" s="69"/>
      <c r="M1800" s="69"/>
      <c r="N1800" s="69"/>
      <c r="O1800" s="69"/>
      <c r="P1800" s="69"/>
      <c r="Q1800" s="69"/>
      <c r="R1800" s="69"/>
    </row>
    <row r="1801" spans="1:18" ht="26.4" hidden="1">
      <c r="A1801" s="16" t="s">
        <v>37</v>
      </c>
      <c r="B1801" s="14">
        <v>793</v>
      </c>
      <c r="C1801" s="15" t="s">
        <v>69</v>
      </c>
      <c r="D1801" s="15" t="s">
        <v>120</v>
      </c>
      <c r="E1801" s="15" t="s">
        <v>471</v>
      </c>
      <c r="F1801" s="15" t="s">
        <v>38</v>
      </c>
      <c r="G1801" s="70">
        <f>60000-60000</f>
        <v>0</v>
      </c>
      <c r="H1801" s="70">
        <f>90000-90000</f>
        <v>0</v>
      </c>
      <c r="I1801" s="70">
        <v>0</v>
      </c>
      <c r="J1801" s="172"/>
      <c r="K1801" s="69"/>
      <c r="L1801" s="69"/>
      <c r="M1801" s="69"/>
      <c r="N1801" s="69"/>
      <c r="O1801" s="69"/>
      <c r="P1801" s="69"/>
      <c r="Q1801" s="69"/>
      <c r="R1801" s="69"/>
    </row>
    <row r="1802" spans="1:18" ht="30.75" hidden="1" customHeight="1">
      <c r="A1802" s="16" t="s">
        <v>267</v>
      </c>
      <c r="B1802" s="14">
        <v>793</v>
      </c>
      <c r="C1802" s="15" t="s">
        <v>69</v>
      </c>
      <c r="D1802" s="15" t="s">
        <v>120</v>
      </c>
      <c r="E1802" s="15" t="s">
        <v>544</v>
      </c>
      <c r="F1802" s="15"/>
      <c r="G1802" s="70">
        <f>G1803</f>
        <v>0</v>
      </c>
      <c r="H1802" s="70">
        <v>0</v>
      </c>
      <c r="I1802" s="70">
        <v>0</v>
      </c>
      <c r="J1802" s="172"/>
      <c r="K1802" s="69"/>
      <c r="L1802" s="69"/>
      <c r="M1802" s="69"/>
      <c r="N1802" s="69"/>
      <c r="O1802" s="69"/>
      <c r="P1802" s="69"/>
      <c r="Q1802" s="69"/>
      <c r="R1802" s="69"/>
    </row>
    <row r="1803" spans="1:18" ht="30.75" hidden="1" customHeight="1">
      <c r="A1803" s="16" t="s">
        <v>144</v>
      </c>
      <c r="B1803" s="14">
        <v>793</v>
      </c>
      <c r="C1803" s="15" t="s">
        <v>69</v>
      </c>
      <c r="D1803" s="15" t="s">
        <v>120</v>
      </c>
      <c r="E1803" s="15" t="s">
        <v>544</v>
      </c>
      <c r="F1803" s="15" t="s">
        <v>145</v>
      </c>
      <c r="G1803" s="70">
        <f>G1804</f>
        <v>0</v>
      </c>
      <c r="H1803" s="70">
        <v>0</v>
      </c>
      <c r="I1803" s="70">
        <v>0</v>
      </c>
      <c r="J1803" s="172"/>
      <c r="K1803" s="69"/>
      <c r="L1803" s="69"/>
      <c r="M1803" s="69"/>
      <c r="N1803" s="69"/>
      <c r="O1803" s="69"/>
      <c r="P1803" s="69"/>
      <c r="Q1803" s="69"/>
      <c r="R1803" s="69"/>
    </row>
    <row r="1804" spans="1:18" ht="30.75" hidden="1" customHeight="1">
      <c r="A1804" s="16" t="s">
        <v>146</v>
      </c>
      <c r="B1804" s="14">
        <v>793</v>
      </c>
      <c r="C1804" s="15" t="s">
        <v>69</v>
      </c>
      <c r="D1804" s="15" t="s">
        <v>120</v>
      </c>
      <c r="E1804" s="15" t="s">
        <v>544</v>
      </c>
      <c r="F1804" s="15" t="s">
        <v>147</v>
      </c>
      <c r="G1804" s="70"/>
      <c r="H1804" s="70">
        <v>0</v>
      </c>
      <c r="I1804" s="70">
        <v>0</v>
      </c>
      <c r="J1804" s="172"/>
      <c r="K1804" s="69"/>
      <c r="L1804" s="69"/>
      <c r="M1804" s="69"/>
      <c r="N1804" s="69"/>
      <c r="O1804" s="69"/>
      <c r="P1804" s="69"/>
      <c r="Q1804" s="69"/>
      <c r="R1804" s="69"/>
    </row>
    <row r="1805" spans="1:18" ht="26.4" hidden="1">
      <c r="A1805" s="16" t="s">
        <v>163</v>
      </c>
      <c r="B1805" s="14">
        <v>793</v>
      </c>
      <c r="C1805" s="15" t="s">
        <v>69</v>
      </c>
      <c r="D1805" s="15" t="s">
        <v>120</v>
      </c>
      <c r="E1805" s="15" t="s">
        <v>228</v>
      </c>
      <c r="F1805" s="15"/>
      <c r="G1805" s="70">
        <f>G1806</f>
        <v>0</v>
      </c>
      <c r="H1805" s="70"/>
      <c r="I1805" s="70"/>
      <c r="J1805" s="172"/>
      <c r="K1805" s="69"/>
      <c r="L1805" s="69"/>
      <c r="M1805" s="69"/>
      <c r="N1805" s="69"/>
      <c r="O1805" s="69"/>
      <c r="P1805" s="69"/>
      <c r="Q1805" s="69"/>
      <c r="R1805" s="69"/>
    </row>
    <row r="1806" spans="1:18" ht="26.4" hidden="1">
      <c r="A1806" s="16" t="s">
        <v>163</v>
      </c>
      <c r="B1806" s="14">
        <v>793</v>
      </c>
      <c r="C1806" s="15" t="s">
        <v>69</v>
      </c>
      <c r="D1806" s="15" t="s">
        <v>120</v>
      </c>
      <c r="E1806" s="15" t="s">
        <v>270</v>
      </c>
      <c r="F1806" s="15"/>
      <c r="G1806" s="70">
        <f>G1807</f>
        <v>0</v>
      </c>
      <c r="H1806" s="70"/>
      <c r="I1806" s="70"/>
      <c r="J1806" s="172"/>
      <c r="K1806" s="69"/>
      <c r="L1806" s="69"/>
      <c r="M1806" s="69"/>
      <c r="N1806" s="69"/>
      <c r="O1806" s="69"/>
      <c r="P1806" s="69"/>
      <c r="Q1806" s="69"/>
      <c r="R1806" s="69"/>
    </row>
    <row r="1807" spans="1:18" hidden="1">
      <c r="A1807" s="16" t="s">
        <v>316</v>
      </c>
      <c r="B1807" s="14">
        <v>793</v>
      </c>
      <c r="C1807" s="15" t="s">
        <v>69</v>
      </c>
      <c r="D1807" s="15" t="s">
        <v>120</v>
      </c>
      <c r="E1807" s="15" t="s">
        <v>270</v>
      </c>
      <c r="F1807" s="15" t="s">
        <v>36</v>
      </c>
      <c r="G1807" s="70">
        <f>G1808</f>
        <v>0</v>
      </c>
      <c r="H1807" s="70"/>
      <c r="I1807" s="70"/>
      <c r="J1807" s="172"/>
      <c r="K1807" s="69"/>
      <c r="L1807" s="69"/>
      <c r="M1807" s="69"/>
      <c r="N1807" s="69"/>
      <c r="O1807" s="69"/>
      <c r="P1807" s="69"/>
      <c r="Q1807" s="69"/>
      <c r="R1807" s="69"/>
    </row>
    <row r="1808" spans="1:18" ht="26.4" hidden="1">
      <c r="A1808" s="16" t="s">
        <v>37</v>
      </c>
      <c r="B1808" s="14">
        <v>793</v>
      </c>
      <c r="C1808" s="15" t="s">
        <v>69</v>
      </c>
      <c r="D1808" s="15" t="s">
        <v>120</v>
      </c>
      <c r="E1808" s="15" t="s">
        <v>270</v>
      </c>
      <c r="F1808" s="15" t="s">
        <v>38</v>
      </c>
      <c r="G1808" s="70"/>
      <c r="H1808" s="70">
        <v>0</v>
      </c>
      <c r="I1808" s="70">
        <v>0</v>
      </c>
      <c r="J1808" s="172"/>
      <c r="K1808" s="69"/>
      <c r="L1808" s="69"/>
      <c r="M1808" s="69"/>
      <c r="N1808" s="69"/>
      <c r="O1808" s="69"/>
      <c r="P1808" s="69"/>
      <c r="Q1808" s="69"/>
      <c r="R1808" s="69"/>
    </row>
    <row r="1809" spans="1:18" ht="38.25" hidden="1" customHeight="1">
      <c r="A1809" s="16" t="s">
        <v>1010</v>
      </c>
      <c r="B1809" s="14">
        <v>793</v>
      </c>
      <c r="C1809" s="15" t="s">
        <v>69</v>
      </c>
      <c r="D1809" s="15" t="s">
        <v>120</v>
      </c>
      <c r="E1809" s="15" t="s">
        <v>1007</v>
      </c>
      <c r="F1809" s="15"/>
      <c r="G1809" s="70">
        <f>G1810</f>
        <v>0</v>
      </c>
      <c r="H1809" s="70">
        <f t="shared" ref="H1809:I1810" si="466">H1810</f>
        <v>0</v>
      </c>
      <c r="I1809" s="70">
        <f t="shared" si="466"/>
        <v>0</v>
      </c>
      <c r="J1809" s="172"/>
      <c r="K1809" s="69"/>
      <c r="L1809" s="69"/>
      <c r="M1809" s="69"/>
      <c r="N1809" s="69"/>
      <c r="O1809" s="69"/>
      <c r="P1809" s="69"/>
      <c r="Q1809" s="69"/>
      <c r="R1809" s="69"/>
    </row>
    <row r="1810" spans="1:18" ht="28.5" hidden="1" customHeight="1">
      <c r="A1810" s="16" t="s">
        <v>37</v>
      </c>
      <c r="B1810" s="14">
        <v>793</v>
      </c>
      <c r="C1810" s="15" t="s">
        <v>69</v>
      </c>
      <c r="D1810" s="15" t="s">
        <v>120</v>
      </c>
      <c r="E1810" s="15" t="s">
        <v>1007</v>
      </c>
      <c r="F1810" s="15" t="s">
        <v>36</v>
      </c>
      <c r="G1810" s="70">
        <f>G1811</f>
        <v>0</v>
      </c>
      <c r="H1810" s="70">
        <f t="shared" si="466"/>
        <v>0</v>
      </c>
      <c r="I1810" s="70">
        <f t="shared" si="466"/>
        <v>0</v>
      </c>
      <c r="J1810" s="172"/>
      <c r="K1810" s="69"/>
      <c r="L1810" s="69"/>
      <c r="M1810" s="69"/>
      <c r="N1810" s="69"/>
      <c r="O1810" s="69"/>
      <c r="P1810" s="69"/>
      <c r="Q1810" s="69"/>
      <c r="R1810" s="69"/>
    </row>
    <row r="1811" spans="1:18" ht="26.4" hidden="1">
      <c r="A1811" s="16" t="s">
        <v>37</v>
      </c>
      <c r="B1811" s="14">
        <v>793</v>
      </c>
      <c r="C1811" s="15" t="s">
        <v>69</v>
      </c>
      <c r="D1811" s="15" t="s">
        <v>120</v>
      </c>
      <c r="E1811" s="15" t="s">
        <v>1007</v>
      </c>
      <c r="F1811" s="15" t="s">
        <v>38</v>
      </c>
      <c r="G1811" s="70"/>
      <c r="H1811" s="70">
        <v>0</v>
      </c>
      <c r="I1811" s="70">
        <v>0</v>
      </c>
      <c r="J1811" s="172"/>
      <c r="K1811" s="69"/>
      <c r="L1811" s="69"/>
      <c r="M1811" s="69"/>
      <c r="N1811" s="69"/>
      <c r="O1811" s="69"/>
      <c r="P1811" s="69"/>
      <c r="Q1811" s="69"/>
      <c r="R1811" s="69"/>
    </row>
    <row r="1812" spans="1:18" ht="30.75" hidden="1" customHeight="1">
      <c r="A1812" s="136" t="s">
        <v>1278</v>
      </c>
      <c r="B1812" s="14">
        <v>793</v>
      </c>
      <c r="C1812" s="15" t="s">
        <v>69</v>
      </c>
      <c r="D1812" s="15" t="s">
        <v>120</v>
      </c>
      <c r="E1812" s="84" t="s">
        <v>228</v>
      </c>
      <c r="F1812" s="15"/>
      <c r="G1812" s="70">
        <f>G1813</f>
        <v>0</v>
      </c>
      <c r="H1812" s="70">
        <v>0</v>
      </c>
      <c r="I1812" s="70">
        <v>0</v>
      </c>
      <c r="J1812" s="172"/>
      <c r="K1812" s="69"/>
      <c r="L1812" s="69"/>
      <c r="M1812" s="69"/>
      <c r="N1812" s="69"/>
      <c r="O1812" s="69"/>
      <c r="P1812" s="69"/>
      <c r="Q1812" s="69"/>
      <c r="R1812" s="69"/>
    </row>
    <row r="1813" spans="1:18" ht="30.75" hidden="1" customHeight="1">
      <c r="A1813" s="136" t="s">
        <v>1278</v>
      </c>
      <c r="B1813" s="14">
        <v>793</v>
      </c>
      <c r="C1813" s="15" t="s">
        <v>69</v>
      </c>
      <c r="D1813" s="15" t="s">
        <v>120</v>
      </c>
      <c r="E1813" s="84" t="s">
        <v>270</v>
      </c>
      <c r="F1813" s="15"/>
      <c r="G1813" s="70">
        <f>G1814</f>
        <v>0</v>
      </c>
      <c r="H1813" s="70">
        <v>0</v>
      </c>
      <c r="I1813" s="70">
        <v>0</v>
      </c>
      <c r="J1813" s="172"/>
      <c r="K1813" s="69"/>
      <c r="L1813" s="69"/>
      <c r="M1813" s="69"/>
      <c r="N1813" s="69"/>
      <c r="O1813" s="69"/>
      <c r="P1813" s="69"/>
      <c r="Q1813" s="69"/>
      <c r="R1813" s="69"/>
    </row>
    <row r="1814" spans="1:18" s="3" customFormat="1" hidden="1">
      <c r="A1814" s="16" t="s">
        <v>316</v>
      </c>
      <c r="B1814" s="14">
        <v>793</v>
      </c>
      <c r="C1814" s="15" t="s">
        <v>69</v>
      </c>
      <c r="D1814" s="15" t="s">
        <v>120</v>
      </c>
      <c r="E1814" s="84" t="s">
        <v>270</v>
      </c>
      <c r="F1814" s="84" t="s">
        <v>36</v>
      </c>
      <c r="G1814" s="70">
        <f t="shared" ref="G1814:I1814" si="467">G1815</f>
        <v>0</v>
      </c>
      <c r="H1814" s="87">
        <f t="shared" si="467"/>
        <v>0</v>
      </c>
      <c r="I1814" s="87">
        <f t="shared" si="467"/>
        <v>0</v>
      </c>
      <c r="J1814" s="173"/>
      <c r="K1814" s="194"/>
      <c r="L1814" s="194"/>
      <c r="M1814" s="194"/>
      <c r="N1814" s="194"/>
      <c r="O1814" s="194"/>
      <c r="P1814" s="194"/>
      <c r="Q1814" s="194"/>
      <c r="R1814" s="194"/>
    </row>
    <row r="1815" spans="1:18" s="3" customFormat="1" ht="26.4" hidden="1">
      <c r="A1815" s="16" t="s">
        <v>37</v>
      </c>
      <c r="B1815" s="14">
        <v>793</v>
      </c>
      <c r="C1815" s="15" t="s">
        <v>69</v>
      </c>
      <c r="D1815" s="15" t="s">
        <v>120</v>
      </c>
      <c r="E1815" s="84" t="s">
        <v>270</v>
      </c>
      <c r="F1815" s="84" t="s">
        <v>38</v>
      </c>
      <c r="G1815" s="70"/>
      <c r="H1815" s="87">
        <v>0</v>
      </c>
      <c r="I1815" s="87">
        <v>0</v>
      </c>
      <c r="J1815" s="173"/>
      <c r="K1815" s="194"/>
      <c r="L1815" s="194"/>
      <c r="M1815" s="194"/>
      <c r="N1815" s="194"/>
      <c r="O1815" s="194"/>
      <c r="P1815" s="194"/>
      <c r="Q1815" s="194"/>
      <c r="R1815" s="194"/>
    </row>
    <row r="1816" spans="1:18" s="22" customFormat="1" ht="42" customHeight="1">
      <c r="A1816" s="16" t="s">
        <v>758</v>
      </c>
      <c r="B1816" s="14">
        <v>793</v>
      </c>
      <c r="C1816" s="15" t="s">
        <v>69</v>
      </c>
      <c r="D1816" s="15" t="s">
        <v>68</v>
      </c>
      <c r="E1816" s="15"/>
      <c r="F1816" s="15"/>
      <c r="G1816" s="70">
        <f>G1817+G1866+G1878+G1882+G1877</f>
        <v>17667951.530000001</v>
      </c>
      <c r="H1816" s="70">
        <f t="shared" ref="H1816:I1816" si="468">H1817</f>
        <v>1885000</v>
      </c>
      <c r="I1816" s="70">
        <f t="shared" si="468"/>
        <v>1885000</v>
      </c>
      <c r="J1816" s="323"/>
      <c r="K1816" s="61"/>
      <c r="L1816" s="61"/>
      <c r="M1816" s="61"/>
      <c r="N1816" s="61"/>
      <c r="O1816" s="61"/>
      <c r="P1816" s="243"/>
      <c r="Q1816" s="243"/>
      <c r="R1816" s="61"/>
    </row>
    <row r="1817" spans="1:18" s="28" customFormat="1" ht="71.25" customHeight="1">
      <c r="A1817" s="40" t="s">
        <v>1143</v>
      </c>
      <c r="B1817" s="14">
        <v>793</v>
      </c>
      <c r="C1817" s="15" t="s">
        <v>69</v>
      </c>
      <c r="D1817" s="15" t="s">
        <v>68</v>
      </c>
      <c r="E1817" s="15" t="s">
        <v>246</v>
      </c>
      <c r="F1817" s="39"/>
      <c r="G1817" s="70">
        <f>G1823+G1818+G1828+G1833+G1839+G1840+G1834+G1843+G1846+G1847+G1862+G1850+G1858+G1855+G1861</f>
        <v>17352298.050000001</v>
      </c>
      <c r="H1817" s="70">
        <f t="shared" ref="H1817:I1817" si="469">H1823+H1818+H1828+H1833+H1839+H1840+H1834+H1843+H1846+H1847</f>
        <v>1885000</v>
      </c>
      <c r="I1817" s="70">
        <f t="shared" si="469"/>
        <v>1885000</v>
      </c>
      <c r="J1817" s="172"/>
      <c r="K1817" s="313"/>
      <c r="L1817" s="313"/>
      <c r="M1817" s="313"/>
      <c r="N1817" s="313"/>
      <c r="O1817" s="313"/>
      <c r="P1817" s="313"/>
      <c r="Q1817" s="313"/>
      <c r="R1817" s="313"/>
    </row>
    <row r="1818" spans="1:18" s="28" customFormat="1" ht="26.4" hidden="1">
      <c r="A1818" s="40" t="s">
        <v>592</v>
      </c>
      <c r="B1818" s="14">
        <v>793</v>
      </c>
      <c r="C1818" s="15" t="s">
        <v>69</v>
      </c>
      <c r="D1818" s="15" t="s">
        <v>68</v>
      </c>
      <c r="E1818" s="15" t="s">
        <v>627</v>
      </c>
      <c r="F1818" s="39"/>
      <c r="G1818" s="70">
        <f>G1821+G1819</f>
        <v>0</v>
      </c>
      <c r="H1818" s="70"/>
      <c r="I1818" s="70"/>
      <c r="J1818" s="172"/>
      <c r="K1818" s="313"/>
      <c r="L1818" s="313"/>
      <c r="M1818" s="313"/>
      <c r="N1818" s="313"/>
      <c r="O1818" s="313"/>
      <c r="P1818" s="313"/>
      <c r="Q1818" s="313"/>
      <c r="R1818" s="313"/>
    </row>
    <row r="1819" spans="1:18" s="28" customFormat="1" hidden="1">
      <c r="A1819" s="16" t="s">
        <v>152</v>
      </c>
      <c r="B1819" s="14">
        <v>793</v>
      </c>
      <c r="C1819" s="15" t="s">
        <v>69</v>
      </c>
      <c r="D1819" s="15" t="s">
        <v>68</v>
      </c>
      <c r="E1819" s="15" t="s">
        <v>627</v>
      </c>
      <c r="F1819" s="15" t="s">
        <v>153</v>
      </c>
      <c r="G1819" s="70">
        <f>G1820</f>
        <v>0</v>
      </c>
      <c r="H1819" s="70"/>
      <c r="I1819" s="70"/>
      <c r="J1819" s="172"/>
      <c r="K1819" s="313"/>
      <c r="L1819" s="313"/>
      <c r="M1819" s="313"/>
      <c r="N1819" s="313"/>
      <c r="O1819" s="313"/>
      <c r="P1819" s="313"/>
      <c r="Q1819" s="313"/>
      <c r="R1819" s="313"/>
    </row>
    <row r="1820" spans="1:18" s="28" customFormat="1" hidden="1">
      <c r="A1820" s="16" t="s">
        <v>164</v>
      </c>
      <c r="B1820" s="14">
        <v>793</v>
      </c>
      <c r="C1820" s="15" t="s">
        <v>69</v>
      </c>
      <c r="D1820" s="15" t="s">
        <v>68</v>
      </c>
      <c r="E1820" s="15" t="s">
        <v>627</v>
      </c>
      <c r="F1820" s="15" t="s">
        <v>165</v>
      </c>
      <c r="G1820" s="70"/>
      <c r="H1820" s="70"/>
      <c r="I1820" s="70"/>
      <c r="J1820" s="172"/>
      <c r="K1820" s="313"/>
      <c r="L1820" s="313"/>
      <c r="M1820" s="313"/>
      <c r="N1820" s="313"/>
      <c r="O1820" s="313"/>
      <c r="P1820" s="313"/>
      <c r="Q1820" s="313"/>
      <c r="R1820" s="313"/>
    </row>
    <row r="1821" spans="1:18" ht="17.25" hidden="1" customHeight="1">
      <c r="A1821" s="16" t="s">
        <v>62</v>
      </c>
      <c r="B1821" s="14">
        <v>793</v>
      </c>
      <c r="C1821" s="15" t="s">
        <v>69</v>
      </c>
      <c r="D1821" s="15" t="s">
        <v>68</v>
      </c>
      <c r="E1821" s="15" t="s">
        <v>591</v>
      </c>
      <c r="F1821" s="15" t="s">
        <v>63</v>
      </c>
      <c r="G1821" s="70">
        <f>G1822</f>
        <v>0</v>
      </c>
      <c r="H1821" s="70">
        <f>H1822</f>
        <v>0</v>
      </c>
      <c r="I1821" s="70">
        <f>I1822</f>
        <v>0</v>
      </c>
      <c r="J1821" s="172"/>
      <c r="K1821" s="69"/>
      <c r="L1821" s="69"/>
      <c r="M1821" s="69"/>
      <c r="N1821" s="69"/>
      <c r="O1821" s="69"/>
      <c r="P1821" s="69"/>
      <c r="Q1821" s="69"/>
      <c r="R1821" s="69"/>
    </row>
    <row r="1822" spans="1:18" ht="13.5" hidden="1" customHeight="1">
      <c r="A1822" s="16" t="s">
        <v>174</v>
      </c>
      <c r="B1822" s="14">
        <v>793</v>
      </c>
      <c r="C1822" s="15" t="s">
        <v>69</v>
      </c>
      <c r="D1822" s="15" t="s">
        <v>68</v>
      </c>
      <c r="E1822" s="15" t="s">
        <v>591</v>
      </c>
      <c r="F1822" s="15" t="s">
        <v>175</v>
      </c>
      <c r="G1822" s="70">
        <f>2715000-2715000</f>
        <v>0</v>
      </c>
      <c r="H1822" s="70"/>
      <c r="I1822" s="70"/>
      <c r="J1822" s="172"/>
      <c r="K1822" s="69"/>
      <c r="L1822" s="69"/>
      <c r="M1822" s="69"/>
      <c r="N1822" s="69"/>
      <c r="O1822" s="69"/>
      <c r="P1822" s="69"/>
      <c r="Q1822" s="69"/>
      <c r="R1822" s="69"/>
    </row>
    <row r="1823" spans="1:18" ht="21" hidden="1" customHeight="1">
      <c r="A1823" s="16" t="s">
        <v>180</v>
      </c>
      <c r="B1823" s="14">
        <v>793</v>
      </c>
      <c r="C1823" s="15" t="s">
        <v>69</v>
      </c>
      <c r="D1823" s="15" t="s">
        <v>68</v>
      </c>
      <c r="E1823" s="15" t="s">
        <v>133</v>
      </c>
      <c r="F1823" s="15"/>
      <c r="G1823" s="70">
        <f t="shared" ref="G1823:I1824" si="470">G1824</f>
        <v>0</v>
      </c>
      <c r="H1823" s="70">
        <f t="shared" si="470"/>
        <v>0</v>
      </c>
      <c r="I1823" s="70">
        <f t="shared" si="470"/>
        <v>0</v>
      </c>
      <c r="J1823" s="172"/>
      <c r="K1823" s="69"/>
      <c r="L1823" s="69"/>
      <c r="M1823" s="69"/>
      <c r="N1823" s="69"/>
      <c r="O1823" s="69"/>
      <c r="P1823" s="69"/>
      <c r="Q1823" s="69"/>
      <c r="R1823" s="69"/>
    </row>
    <row r="1824" spans="1:18" ht="24.75" hidden="1" customHeight="1">
      <c r="A1824" s="16" t="s">
        <v>316</v>
      </c>
      <c r="B1824" s="14">
        <v>793</v>
      </c>
      <c r="C1824" s="15" t="s">
        <v>69</v>
      </c>
      <c r="D1824" s="15" t="s">
        <v>68</v>
      </c>
      <c r="E1824" s="15" t="s">
        <v>133</v>
      </c>
      <c r="F1824" s="15" t="s">
        <v>36</v>
      </c>
      <c r="G1824" s="70">
        <f t="shared" si="470"/>
        <v>0</v>
      </c>
      <c r="H1824" s="70">
        <f t="shared" si="470"/>
        <v>0</v>
      </c>
      <c r="I1824" s="70">
        <f t="shared" si="470"/>
        <v>0</v>
      </c>
      <c r="J1824" s="172"/>
      <c r="K1824" s="69"/>
      <c r="L1824" s="69"/>
      <c r="M1824" s="69"/>
      <c r="N1824" s="69"/>
      <c r="O1824" s="69"/>
      <c r="P1824" s="69"/>
      <c r="Q1824" s="69"/>
      <c r="R1824" s="69"/>
    </row>
    <row r="1825" spans="1:18" ht="26.4" hidden="1">
      <c r="A1825" s="16" t="s">
        <v>37</v>
      </c>
      <c r="B1825" s="14">
        <v>793</v>
      </c>
      <c r="C1825" s="15" t="s">
        <v>69</v>
      </c>
      <c r="D1825" s="15" t="s">
        <v>68</v>
      </c>
      <c r="E1825" s="15" t="s">
        <v>133</v>
      </c>
      <c r="F1825" s="15" t="s">
        <v>38</v>
      </c>
      <c r="G1825" s="70"/>
      <c r="H1825" s="70"/>
      <c r="I1825" s="70"/>
      <c r="J1825" s="172"/>
      <c r="K1825" s="69"/>
      <c r="L1825" s="69"/>
      <c r="M1825" s="69"/>
      <c r="N1825" s="69"/>
      <c r="O1825" s="69"/>
      <c r="P1825" s="69"/>
      <c r="Q1825" s="69"/>
      <c r="R1825" s="69"/>
    </row>
    <row r="1826" spans="1:18" s="28" customFormat="1" ht="67.5" hidden="1" customHeight="1">
      <c r="A1826" s="40" t="s">
        <v>327</v>
      </c>
      <c r="B1826" s="14">
        <v>793</v>
      </c>
      <c r="C1826" s="15" t="s">
        <v>69</v>
      </c>
      <c r="D1826" s="15" t="s">
        <v>68</v>
      </c>
      <c r="E1826" s="15" t="s">
        <v>134</v>
      </c>
      <c r="F1826" s="39"/>
      <c r="G1826" s="70">
        <f>G1827</f>
        <v>0</v>
      </c>
      <c r="H1826" s="70">
        <f t="shared" ref="H1826:I1827" si="471">H1827</f>
        <v>0</v>
      </c>
      <c r="I1826" s="70">
        <f t="shared" si="471"/>
        <v>0</v>
      </c>
      <c r="J1826" s="172"/>
      <c r="K1826" s="313"/>
      <c r="L1826" s="313"/>
      <c r="M1826" s="313"/>
      <c r="N1826" s="313"/>
      <c r="O1826" s="313"/>
      <c r="P1826" s="313"/>
      <c r="Q1826" s="313"/>
      <c r="R1826" s="313"/>
    </row>
    <row r="1827" spans="1:18" s="28" customFormat="1" hidden="1">
      <c r="A1827" s="16" t="s">
        <v>316</v>
      </c>
      <c r="B1827" s="14">
        <v>793</v>
      </c>
      <c r="C1827" s="15" t="s">
        <v>69</v>
      </c>
      <c r="D1827" s="15" t="s">
        <v>68</v>
      </c>
      <c r="E1827" s="15" t="s">
        <v>134</v>
      </c>
      <c r="F1827" s="15" t="s">
        <v>36</v>
      </c>
      <c r="G1827" s="70">
        <f>G1828</f>
        <v>0</v>
      </c>
      <c r="H1827" s="70">
        <f t="shared" si="471"/>
        <v>0</v>
      </c>
      <c r="I1827" s="70">
        <f t="shared" si="471"/>
        <v>0</v>
      </c>
      <c r="J1827" s="172"/>
      <c r="K1827" s="313"/>
      <c r="L1827" s="313"/>
      <c r="M1827" s="313"/>
      <c r="N1827" s="313"/>
      <c r="O1827" s="313"/>
      <c r="P1827" s="313"/>
      <c r="Q1827" s="313"/>
      <c r="R1827" s="313"/>
    </row>
    <row r="1828" spans="1:18" s="28" customFormat="1" ht="26.4" hidden="1">
      <c r="A1828" s="16" t="s">
        <v>37</v>
      </c>
      <c r="B1828" s="14">
        <v>793</v>
      </c>
      <c r="C1828" s="15" t="s">
        <v>69</v>
      </c>
      <c r="D1828" s="15" t="s">
        <v>68</v>
      </c>
      <c r="E1828" s="15" t="s">
        <v>134</v>
      </c>
      <c r="F1828" s="15" t="s">
        <v>38</v>
      </c>
      <c r="G1828" s="70"/>
      <c r="H1828" s="70"/>
      <c r="I1828" s="70"/>
      <c r="J1828" s="242"/>
      <c r="K1828" s="313"/>
      <c r="L1828" s="313"/>
      <c r="M1828" s="313"/>
      <c r="N1828" s="313"/>
      <c r="O1828" s="313"/>
      <c r="P1828" s="313"/>
      <c r="Q1828" s="313"/>
      <c r="R1828" s="313"/>
    </row>
    <row r="1829" spans="1:18" ht="53.25" hidden="1" customHeight="1">
      <c r="A1829" s="57" t="s">
        <v>470</v>
      </c>
      <c r="B1829" s="14">
        <v>793</v>
      </c>
      <c r="C1829" s="15" t="s">
        <v>69</v>
      </c>
      <c r="D1829" s="15" t="s">
        <v>68</v>
      </c>
      <c r="E1829" s="15" t="s">
        <v>247</v>
      </c>
      <c r="F1829" s="15"/>
      <c r="G1829" s="70">
        <f>G1832+G1830</f>
        <v>0</v>
      </c>
      <c r="H1829" s="70">
        <f t="shared" ref="H1829:I1829" si="472">H1832+H1830</f>
        <v>0</v>
      </c>
      <c r="I1829" s="70">
        <f t="shared" si="472"/>
        <v>0</v>
      </c>
      <c r="J1829" s="172"/>
      <c r="K1829" s="69"/>
      <c r="L1829" s="69"/>
      <c r="M1829" s="69"/>
      <c r="N1829" s="69"/>
      <c r="O1829" s="69"/>
      <c r="P1829" s="69"/>
      <c r="Q1829" s="69"/>
      <c r="R1829" s="69"/>
    </row>
    <row r="1830" spans="1:18" hidden="1">
      <c r="A1830" s="16" t="s">
        <v>316</v>
      </c>
      <c r="B1830" s="14">
        <v>793</v>
      </c>
      <c r="C1830" s="15" t="s">
        <v>69</v>
      </c>
      <c r="D1830" s="15" t="s">
        <v>68</v>
      </c>
      <c r="E1830" s="15" t="s">
        <v>247</v>
      </c>
      <c r="F1830" s="15" t="s">
        <v>36</v>
      </c>
      <c r="G1830" s="70">
        <f>G1831</f>
        <v>0</v>
      </c>
      <c r="H1830" s="70">
        <f>H1831</f>
        <v>0</v>
      </c>
      <c r="I1830" s="70">
        <f>I1831</f>
        <v>0</v>
      </c>
      <c r="J1830" s="172"/>
      <c r="K1830" s="69"/>
      <c r="L1830" s="69"/>
      <c r="M1830" s="69"/>
      <c r="N1830" s="69"/>
      <c r="O1830" s="69"/>
      <c r="P1830" s="69"/>
      <c r="Q1830" s="69"/>
      <c r="R1830" s="69"/>
    </row>
    <row r="1831" spans="1:18" ht="26.4" hidden="1">
      <c r="A1831" s="16" t="s">
        <v>37</v>
      </c>
      <c r="B1831" s="14">
        <v>793</v>
      </c>
      <c r="C1831" s="15" t="s">
        <v>69</v>
      </c>
      <c r="D1831" s="15" t="s">
        <v>68</v>
      </c>
      <c r="E1831" s="15" t="s">
        <v>247</v>
      </c>
      <c r="F1831" s="15" t="s">
        <v>38</v>
      </c>
      <c r="G1831" s="70">
        <f>30000-30000</f>
        <v>0</v>
      </c>
      <c r="H1831" s="70"/>
      <c r="I1831" s="70"/>
      <c r="J1831" s="172"/>
      <c r="K1831" s="69"/>
      <c r="L1831" s="69"/>
      <c r="M1831" s="69"/>
      <c r="N1831" s="69"/>
      <c r="O1831" s="69"/>
      <c r="P1831" s="69"/>
      <c r="Q1831" s="69"/>
      <c r="R1831" s="69"/>
    </row>
    <row r="1832" spans="1:18" ht="17.25" hidden="1" customHeight="1">
      <c r="A1832" s="16" t="s">
        <v>62</v>
      </c>
      <c r="B1832" s="14">
        <v>793</v>
      </c>
      <c r="C1832" s="15" t="s">
        <v>69</v>
      </c>
      <c r="D1832" s="15" t="s">
        <v>68</v>
      </c>
      <c r="E1832" s="15" t="s">
        <v>248</v>
      </c>
      <c r="F1832" s="15" t="s">
        <v>63</v>
      </c>
      <c r="G1832" s="70">
        <f>G1833</f>
        <v>0</v>
      </c>
      <c r="H1832" s="70">
        <f>H1833</f>
        <v>0</v>
      </c>
      <c r="I1832" s="70">
        <f>I1833</f>
        <v>0</v>
      </c>
      <c r="J1832" s="172"/>
      <c r="K1832" s="69"/>
      <c r="L1832" s="69"/>
      <c r="M1832" s="69"/>
      <c r="N1832" s="69"/>
      <c r="O1832" s="69"/>
      <c r="P1832" s="69"/>
      <c r="Q1832" s="69"/>
      <c r="R1832" s="69"/>
    </row>
    <row r="1833" spans="1:18" ht="13.5" hidden="1" customHeight="1">
      <c r="A1833" s="16" t="s">
        <v>174</v>
      </c>
      <c r="B1833" s="14">
        <v>793</v>
      </c>
      <c r="C1833" s="15" t="s">
        <v>69</v>
      </c>
      <c r="D1833" s="15" t="s">
        <v>68</v>
      </c>
      <c r="E1833" s="15" t="s">
        <v>248</v>
      </c>
      <c r="F1833" s="15" t="s">
        <v>175</v>
      </c>
      <c r="G1833" s="70"/>
      <c r="H1833" s="70"/>
      <c r="I1833" s="70"/>
      <c r="J1833" s="172"/>
      <c r="K1833" s="69"/>
      <c r="L1833" s="69"/>
      <c r="M1833" s="69"/>
      <c r="N1833" s="69"/>
      <c r="O1833" s="69"/>
      <c r="P1833" s="69"/>
      <c r="Q1833" s="69"/>
      <c r="R1833" s="69"/>
    </row>
    <row r="1834" spans="1:18" ht="38.25" hidden="1" customHeight="1">
      <c r="A1834" s="16" t="s">
        <v>1010</v>
      </c>
      <c r="B1834" s="14">
        <v>793</v>
      </c>
      <c r="C1834" s="15" t="s">
        <v>69</v>
      </c>
      <c r="D1834" s="15" t="s">
        <v>120</v>
      </c>
      <c r="E1834" s="15" t="s">
        <v>1007</v>
      </c>
      <c r="F1834" s="15"/>
      <c r="G1834" s="70">
        <f>G1835</f>
        <v>0</v>
      </c>
      <c r="H1834" s="70">
        <f t="shared" ref="H1834:I1835" si="473">H1835</f>
        <v>0</v>
      </c>
      <c r="I1834" s="70">
        <f t="shared" si="473"/>
        <v>0</v>
      </c>
      <c r="J1834" s="172"/>
      <c r="K1834" s="69"/>
      <c r="L1834" s="69"/>
      <c r="M1834" s="69"/>
      <c r="N1834" s="69"/>
      <c r="O1834" s="69"/>
      <c r="P1834" s="69"/>
      <c r="Q1834" s="69"/>
      <c r="R1834" s="69"/>
    </row>
    <row r="1835" spans="1:18" ht="28.5" hidden="1" customHeight="1">
      <c r="A1835" s="16" t="s">
        <v>37</v>
      </c>
      <c r="B1835" s="14">
        <v>793</v>
      </c>
      <c r="C1835" s="15" t="s">
        <v>69</v>
      </c>
      <c r="D1835" s="15" t="s">
        <v>120</v>
      </c>
      <c r="E1835" s="15" t="s">
        <v>1007</v>
      </c>
      <c r="F1835" s="15" t="s">
        <v>36</v>
      </c>
      <c r="G1835" s="70">
        <f>G1836</f>
        <v>0</v>
      </c>
      <c r="H1835" s="70">
        <f t="shared" si="473"/>
        <v>0</v>
      </c>
      <c r="I1835" s="70">
        <f t="shared" si="473"/>
        <v>0</v>
      </c>
      <c r="J1835" s="172"/>
      <c r="K1835" s="69"/>
      <c r="L1835" s="69"/>
      <c r="M1835" s="69"/>
      <c r="N1835" s="69"/>
      <c r="O1835" s="69"/>
      <c r="P1835" s="69"/>
      <c r="Q1835" s="69"/>
      <c r="R1835" s="69"/>
    </row>
    <row r="1836" spans="1:18" ht="26.4" hidden="1">
      <c r="A1836" s="16" t="s">
        <v>37</v>
      </c>
      <c r="B1836" s="14">
        <v>793</v>
      </c>
      <c r="C1836" s="15" t="s">
        <v>69</v>
      </c>
      <c r="D1836" s="15" t="s">
        <v>120</v>
      </c>
      <c r="E1836" s="15" t="s">
        <v>1007</v>
      </c>
      <c r="F1836" s="15" t="s">
        <v>38</v>
      </c>
      <c r="G1836" s="70"/>
      <c r="H1836" s="70">
        <v>0</v>
      </c>
      <c r="I1836" s="70">
        <v>0</v>
      </c>
      <c r="J1836" s="172"/>
      <c r="K1836" s="69"/>
      <c r="L1836" s="69"/>
      <c r="M1836" s="69"/>
      <c r="N1836" s="69"/>
      <c r="O1836" s="69"/>
      <c r="P1836" s="69"/>
      <c r="Q1836" s="69"/>
      <c r="R1836" s="69"/>
    </row>
    <row r="1837" spans="1:18" ht="46.5" customHeight="1">
      <c r="A1837" s="57" t="s">
        <v>751</v>
      </c>
      <c r="B1837" s="14">
        <v>793</v>
      </c>
      <c r="C1837" s="15" t="s">
        <v>69</v>
      </c>
      <c r="D1837" s="15" t="s">
        <v>68</v>
      </c>
      <c r="E1837" s="15" t="s">
        <v>469</v>
      </c>
      <c r="F1837" s="15"/>
      <c r="G1837" s="70">
        <f>G1838</f>
        <v>7802878.6399999997</v>
      </c>
      <c r="H1837" s="70">
        <f t="shared" ref="H1837:I1837" si="474">H1838</f>
        <v>476200</v>
      </c>
      <c r="I1837" s="70">
        <f t="shared" si="474"/>
        <v>476200</v>
      </c>
      <c r="J1837" s="172"/>
      <c r="K1837" s="172"/>
      <c r="L1837" s="172"/>
      <c r="M1837" s="172"/>
      <c r="N1837" s="172"/>
      <c r="O1837" s="172"/>
      <c r="P1837" s="69"/>
      <c r="Q1837" s="69"/>
      <c r="R1837" s="69"/>
    </row>
    <row r="1838" spans="1:18">
      <c r="A1838" s="16" t="s">
        <v>316</v>
      </c>
      <c r="B1838" s="14">
        <v>793</v>
      </c>
      <c r="C1838" s="15" t="s">
        <v>69</v>
      </c>
      <c r="D1838" s="15" t="s">
        <v>68</v>
      </c>
      <c r="E1838" s="15" t="s">
        <v>469</v>
      </c>
      <c r="F1838" s="15" t="s">
        <v>36</v>
      </c>
      <c r="G1838" s="70">
        <f>G1839</f>
        <v>7802878.6399999997</v>
      </c>
      <c r="H1838" s="70">
        <f>H1839</f>
        <v>476200</v>
      </c>
      <c r="I1838" s="70">
        <f>I1839</f>
        <v>476200</v>
      </c>
      <c r="J1838" s="172"/>
      <c r="K1838" s="69"/>
      <c r="L1838" s="69"/>
      <c r="M1838" s="69"/>
      <c r="N1838" s="69"/>
      <c r="O1838" s="69"/>
      <c r="P1838" s="69"/>
      <c r="Q1838" s="69"/>
      <c r="R1838" s="69"/>
    </row>
    <row r="1839" spans="1:18" ht="26.4">
      <c r="A1839" s="16" t="s">
        <v>37</v>
      </c>
      <c r="B1839" s="14">
        <v>793</v>
      </c>
      <c r="C1839" s="15" t="s">
        <v>69</v>
      </c>
      <c r="D1839" s="15" t="s">
        <v>68</v>
      </c>
      <c r="E1839" s="15" t="s">
        <v>469</v>
      </c>
      <c r="F1839" s="15" t="s">
        <v>38</v>
      </c>
      <c r="G1839" s="70">
        <f>8239768.56-400000-36889.92</f>
        <v>7802878.6399999997</v>
      </c>
      <c r="H1839" s="70">
        <f>2000000-1773800+250000</f>
        <v>476200</v>
      </c>
      <c r="I1839" s="70">
        <f>2000000-1773800+250000</f>
        <v>476200</v>
      </c>
      <c r="J1839" s="172"/>
      <c r="K1839" s="69"/>
      <c r="L1839" s="69"/>
      <c r="M1839" s="69"/>
      <c r="N1839" s="69"/>
      <c r="O1839" s="69"/>
      <c r="P1839" s="69"/>
      <c r="Q1839" s="69"/>
      <c r="R1839" s="69"/>
    </row>
    <row r="1840" spans="1:18" ht="79.5" hidden="1" customHeight="1">
      <c r="A1840" s="57" t="s">
        <v>955</v>
      </c>
      <c r="B1840" s="14">
        <v>793</v>
      </c>
      <c r="C1840" s="15" t="s">
        <v>69</v>
      </c>
      <c r="D1840" s="15" t="s">
        <v>68</v>
      </c>
      <c r="E1840" s="15" t="s">
        <v>471</v>
      </c>
      <c r="F1840" s="15"/>
      <c r="G1840" s="70">
        <f>G1841</f>
        <v>0</v>
      </c>
      <c r="H1840" s="70">
        <f t="shared" ref="H1840:I1840" si="475">H1841</f>
        <v>0</v>
      </c>
      <c r="I1840" s="70">
        <f t="shared" si="475"/>
        <v>0</v>
      </c>
      <c r="J1840" s="172"/>
      <c r="K1840" s="172"/>
      <c r="L1840" s="172"/>
      <c r="M1840" s="172"/>
      <c r="N1840" s="172"/>
      <c r="O1840" s="172"/>
      <c r="P1840" s="69"/>
      <c r="Q1840" s="69"/>
      <c r="R1840" s="69"/>
    </row>
    <row r="1841" spans="1:18" hidden="1">
      <c r="A1841" s="16" t="s">
        <v>316</v>
      </c>
      <c r="B1841" s="14">
        <v>793</v>
      </c>
      <c r="C1841" s="15" t="s">
        <v>69</v>
      </c>
      <c r="D1841" s="15" t="s">
        <v>68</v>
      </c>
      <c r="E1841" s="15" t="s">
        <v>471</v>
      </c>
      <c r="F1841" s="15" t="s">
        <v>153</v>
      </c>
      <c r="G1841" s="70">
        <f>G1842</f>
        <v>0</v>
      </c>
      <c r="H1841" s="70">
        <f>H1842</f>
        <v>0</v>
      </c>
      <c r="I1841" s="70">
        <f>I1842</f>
        <v>0</v>
      </c>
      <c r="J1841" s="172"/>
      <c r="K1841" s="69"/>
      <c r="L1841" s="69"/>
      <c r="M1841" s="69"/>
      <c r="N1841" s="69"/>
      <c r="O1841" s="69"/>
      <c r="P1841" s="69"/>
      <c r="Q1841" s="69"/>
      <c r="R1841" s="69"/>
    </row>
    <row r="1842" spans="1:18" ht="26.4" hidden="1">
      <c r="A1842" s="16" t="s">
        <v>37</v>
      </c>
      <c r="B1842" s="14">
        <v>793</v>
      </c>
      <c r="C1842" s="15" t="s">
        <v>69</v>
      </c>
      <c r="D1842" s="15" t="s">
        <v>68</v>
      </c>
      <c r="E1842" s="15" t="s">
        <v>471</v>
      </c>
      <c r="F1842" s="15" t="s">
        <v>173</v>
      </c>
      <c r="G1842" s="70"/>
      <c r="H1842" s="70"/>
      <c r="I1842" s="70"/>
      <c r="J1842" s="172"/>
      <c r="K1842" s="69"/>
      <c r="L1842" s="69"/>
      <c r="M1842" s="69"/>
      <c r="N1842" s="69"/>
      <c r="O1842" s="69"/>
      <c r="P1842" s="69"/>
      <c r="Q1842" s="69"/>
      <c r="R1842" s="69"/>
    </row>
    <row r="1843" spans="1:18" s="18" customFormat="1" ht="39" hidden="1" customHeight="1">
      <c r="A1843" s="16" t="s">
        <v>1107</v>
      </c>
      <c r="B1843" s="49">
        <v>793</v>
      </c>
      <c r="C1843" s="15" t="s">
        <v>69</v>
      </c>
      <c r="D1843" s="15" t="s">
        <v>68</v>
      </c>
      <c r="E1843" s="15" t="s">
        <v>1106</v>
      </c>
      <c r="F1843" s="15"/>
      <c r="G1843" s="70">
        <f>G1864</f>
        <v>0</v>
      </c>
      <c r="H1843" s="70">
        <f>H1864</f>
        <v>0</v>
      </c>
      <c r="I1843" s="70">
        <f>I1864</f>
        <v>0</v>
      </c>
      <c r="J1843" s="172"/>
      <c r="K1843" s="180"/>
      <c r="L1843" s="180"/>
      <c r="M1843" s="180"/>
      <c r="N1843" s="180"/>
      <c r="O1843" s="180"/>
      <c r="P1843" s="180"/>
      <c r="Q1843" s="180"/>
      <c r="R1843" s="180"/>
    </row>
    <row r="1844" spans="1:18" ht="24" customHeight="1">
      <c r="A1844" s="57" t="s">
        <v>1178</v>
      </c>
      <c r="B1844" s="14">
        <v>793</v>
      </c>
      <c r="C1844" s="15" t="s">
        <v>69</v>
      </c>
      <c r="D1844" s="15" t="s">
        <v>68</v>
      </c>
      <c r="E1844" s="15" t="s">
        <v>1177</v>
      </c>
      <c r="F1844" s="15"/>
      <c r="G1844" s="70">
        <f>G1845</f>
        <v>829300</v>
      </c>
      <c r="H1844" s="70">
        <f t="shared" ref="H1844:I1844" si="476">H1845</f>
        <v>1358800</v>
      </c>
      <c r="I1844" s="70">
        <f t="shared" si="476"/>
        <v>1358800</v>
      </c>
      <c r="J1844" s="172"/>
      <c r="K1844" s="172"/>
      <c r="L1844" s="172"/>
      <c r="M1844" s="172"/>
      <c r="N1844" s="172"/>
      <c r="O1844" s="172"/>
      <c r="P1844" s="69"/>
      <c r="Q1844" s="69"/>
      <c r="R1844" s="69"/>
    </row>
    <row r="1845" spans="1:18">
      <c r="A1845" s="16" t="s">
        <v>316</v>
      </c>
      <c r="B1845" s="14">
        <v>793</v>
      </c>
      <c r="C1845" s="15" t="s">
        <v>69</v>
      </c>
      <c r="D1845" s="15" t="s">
        <v>68</v>
      </c>
      <c r="E1845" s="15" t="s">
        <v>1177</v>
      </c>
      <c r="F1845" s="15" t="s">
        <v>36</v>
      </c>
      <c r="G1845" s="70">
        <f>G1846</f>
        <v>829300</v>
      </c>
      <c r="H1845" s="70">
        <f>H1846</f>
        <v>1358800</v>
      </c>
      <c r="I1845" s="70">
        <f>I1846</f>
        <v>1358800</v>
      </c>
      <c r="J1845" s="172"/>
      <c r="K1845" s="69"/>
      <c r="L1845" s="69"/>
      <c r="M1845" s="69"/>
      <c r="N1845" s="69"/>
      <c r="O1845" s="69"/>
      <c r="P1845" s="69"/>
      <c r="Q1845" s="69"/>
      <c r="R1845" s="69"/>
    </row>
    <row r="1846" spans="1:18" ht="26.4">
      <c r="A1846" s="16" t="s">
        <v>37</v>
      </c>
      <c r="B1846" s="14">
        <v>793</v>
      </c>
      <c r="C1846" s="15" t="s">
        <v>69</v>
      </c>
      <c r="D1846" s="15" t="s">
        <v>68</v>
      </c>
      <c r="E1846" s="15" t="s">
        <v>1177</v>
      </c>
      <c r="F1846" s="15" t="s">
        <v>38</v>
      </c>
      <c r="G1846" s="70">
        <f>1358800-529500</f>
        <v>829300</v>
      </c>
      <c r="H1846" s="70">
        <v>1358800</v>
      </c>
      <c r="I1846" s="70">
        <v>1358800</v>
      </c>
      <c r="J1846" s="172"/>
      <c r="K1846" s="69"/>
      <c r="L1846" s="69"/>
      <c r="M1846" s="69"/>
      <c r="N1846" s="69"/>
      <c r="O1846" s="69"/>
      <c r="P1846" s="69"/>
      <c r="Q1846" s="69"/>
      <c r="R1846" s="69"/>
    </row>
    <row r="1847" spans="1:18" ht="24" customHeight="1">
      <c r="A1847" s="57" t="s">
        <v>1180</v>
      </c>
      <c r="B1847" s="14">
        <v>793</v>
      </c>
      <c r="C1847" s="15" t="s">
        <v>69</v>
      </c>
      <c r="D1847" s="15" t="s">
        <v>68</v>
      </c>
      <c r="E1847" s="15" t="s">
        <v>1179</v>
      </c>
      <c r="F1847" s="15"/>
      <c r="G1847" s="70">
        <f>G1848</f>
        <v>48300</v>
      </c>
      <c r="H1847" s="70">
        <f t="shared" ref="H1847:I1847" si="477">H1848</f>
        <v>50000</v>
      </c>
      <c r="I1847" s="70">
        <f t="shared" si="477"/>
        <v>50000</v>
      </c>
      <c r="J1847" s="172"/>
      <c r="K1847" s="172"/>
      <c r="L1847" s="172"/>
      <c r="M1847" s="172"/>
      <c r="N1847" s="172"/>
      <c r="O1847" s="172"/>
      <c r="P1847" s="69"/>
      <c r="Q1847" s="69"/>
      <c r="R1847" s="69"/>
    </row>
    <row r="1848" spans="1:18">
      <c r="A1848" s="16" t="s">
        <v>316</v>
      </c>
      <c r="B1848" s="14">
        <v>793</v>
      </c>
      <c r="C1848" s="15" t="s">
        <v>69</v>
      </c>
      <c r="D1848" s="15" t="s">
        <v>68</v>
      </c>
      <c r="E1848" s="15" t="s">
        <v>1179</v>
      </c>
      <c r="F1848" s="15" t="s">
        <v>36</v>
      </c>
      <c r="G1848" s="70">
        <f>G1849</f>
        <v>48300</v>
      </c>
      <c r="H1848" s="70">
        <f>H1849</f>
        <v>50000</v>
      </c>
      <c r="I1848" s="70">
        <f>I1849</f>
        <v>50000</v>
      </c>
      <c r="J1848" s="172"/>
      <c r="K1848" s="69"/>
      <c r="L1848" s="69"/>
      <c r="M1848" s="69"/>
      <c r="N1848" s="69"/>
      <c r="O1848" s="69"/>
      <c r="P1848" s="69"/>
      <c r="Q1848" s="69"/>
      <c r="R1848" s="69"/>
    </row>
    <row r="1849" spans="1:18" ht="26.4">
      <c r="A1849" s="16" t="s">
        <v>37</v>
      </c>
      <c r="B1849" s="14">
        <v>793</v>
      </c>
      <c r="C1849" s="15" t="s">
        <v>69</v>
      </c>
      <c r="D1849" s="15" t="s">
        <v>68</v>
      </c>
      <c r="E1849" s="15" t="s">
        <v>1179</v>
      </c>
      <c r="F1849" s="15" t="s">
        <v>38</v>
      </c>
      <c r="G1849" s="70">
        <f>50000-1700</f>
        <v>48300</v>
      </c>
      <c r="H1849" s="70">
        <v>50000</v>
      </c>
      <c r="I1849" s="70">
        <v>50000</v>
      </c>
      <c r="J1849" s="172"/>
      <c r="K1849" s="69"/>
      <c r="L1849" s="69"/>
      <c r="M1849" s="69"/>
      <c r="N1849" s="69"/>
      <c r="O1849" s="69"/>
      <c r="P1849" s="69"/>
      <c r="Q1849" s="69"/>
      <c r="R1849" s="69"/>
    </row>
    <row r="1850" spans="1:18" ht="24" hidden="1" customHeight="1">
      <c r="A1850" s="57" t="s">
        <v>1315</v>
      </c>
      <c r="B1850" s="14">
        <v>793</v>
      </c>
      <c r="C1850" s="15" t="s">
        <v>69</v>
      </c>
      <c r="D1850" s="15" t="s">
        <v>68</v>
      </c>
      <c r="E1850" s="15" t="s">
        <v>1314</v>
      </c>
      <c r="F1850" s="15"/>
      <c r="G1850" s="70">
        <f>G1851</f>
        <v>0</v>
      </c>
      <c r="H1850" s="70">
        <f t="shared" ref="H1850:I1850" si="478">H1851</f>
        <v>0</v>
      </c>
      <c r="I1850" s="70">
        <f t="shared" si="478"/>
        <v>0</v>
      </c>
      <c r="J1850" s="172"/>
      <c r="K1850" s="172"/>
      <c r="L1850" s="172"/>
      <c r="M1850" s="172"/>
      <c r="N1850" s="172"/>
      <c r="O1850" s="172"/>
      <c r="P1850" s="69"/>
      <c r="Q1850" s="69"/>
      <c r="R1850" s="69"/>
    </row>
    <row r="1851" spans="1:18" hidden="1">
      <c r="A1851" s="16" t="s">
        <v>316</v>
      </c>
      <c r="B1851" s="14">
        <v>793</v>
      </c>
      <c r="C1851" s="15" t="s">
        <v>69</v>
      </c>
      <c r="D1851" s="15" t="s">
        <v>68</v>
      </c>
      <c r="E1851" s="15" t="s">
        <v>1314</v>
      </c>
      <c r="F1851" s="15" t="s">
        <v>36</v>
      </c>
      <c r="G1851" s="70">
        <f>G1852</f>
        <v>0</v>
      </c>
      <c r="H1851" s="70">
        <f>H1852</f>
        <v>0</v>
      </c>
      <c r="I1851" s="70">
        <f>I1852</f>
        <v>0</v>
      </c>
      <c r="J1851" s="172"/>
      <c r="K1851" s="69"/>
      <c r="L1851" s="69"/>
      <c r="M1851" s="69"/>
      <c r="N1851" s="69"/>
      <c r="O1851" s="69"/>
      <c r="P1851" s="69"/>
      <c r="Q1851" s="69"/>
      <c r="R1851" s="69"/>
    </row>
    <row r="1852" spans="1:18" ht="26.4" hidden="1">
      <c r="A1852" s="16" t="s">
        <v>37</v>
      </c>
      <c r="B1852" s="14">
        <v>793</v>
      </c>
      <c r="C1852" s="15" t="s">
        <v>69</v>
      </c>
      <c r="D1852" s="15" t="s">
        <v>68</v>
      </c>
      <c r="E1852" s="15" t="s">
        <v>1314</v>
      </c>
      <c r="F1852" s="15" t="s">
        <v>38</v>
      </c>
      <c r="G1852" s="70"/>
      <c r="H1852" s="70">
        <v>0</v>
      </c>
      <c r="I1852" s="70">
        <v>0</v>
      </c>
      <c r="J1852" s="172"/>
      <c r="K1852" s="69"/>
      <c r="L1852" s="69"/>
      <c r="M1852" s="69"/>
      <c r="N1852" s="69"/>
      <c r="O1852" s="69"/>
      <c r="P1852" s="69"/>
      <c r="Q1852" s="69"/>
      <c r="R1852" s="69"/>
    </row>
    <row r="1853" spans="1:18" ht="24" hidden="1" customHeight="1">
      <c r="A1853" s="57" t="s">
        <v>592</v>
      </c>
      <c r="B1853" s="14">
        <v>793</v>
      </c>
      <c r="C1853" s="15" t="s">
        <v>69</v>
      </c>
      <c r="D1853" s="15" t="s">
        <v>68</v>
      </c>
      <c r="E1853" s="15" t="s">
        <v>1316</v>
      </c>
      <c r="F1853" s="15"/>
      <c r="G1853" s="70">
        <f>G1854</f>
        <v>0</v>
      </c>
      <c r="H1853" s="70">
        <f t="shared" ref="H1853:I1853" si="479">H1854</f>
        <v>0</v>
      </c>
      <c r="I1853" s="70">
        <f t="shared" si="479"/>
        <v>0</v>
      </c>
      <c r="J1853" s="172"/>
      <c r="K1853" s="172"/>
      <c r="L1853" s="172"/>
      <c r="M1853" s="172"/>
      <c r="N1853" s="172"/>
      <c r="O1853" s="172"/>
      <c r="P1853" s="69"/>
      <c r="Q1853" s="69"/>
      <c r="R1853" s="69"/>
    </row>
    <row r="1854" spans="1:18" hidden="1">
      <c r="A1854" s="16" t="s">
        <v>316</v>
      </c>
      <c r="B1854" s="14">
        <v>793</v>
      </c>
      <c r="C1854" s="15" t="s">
        <v>69</v>
      </c>
      <c r="D1854" s="15" t="s">
        <v>68</v>
      </c>
      <c r="E1854" s="15" t="s">
        <v>1316</v>
      </c>
      <c r="F1854" s="15" t="s">
        <v>36</v>
      </c>
      <c r="G1854" s="70">
        <f>G1855</f>
        <v>0</v>
      </c>
      <c r="H1854" s="70">
        <f>H1855</f>
        <v>0</v>
      </c>
      <c r="I1854" s="70">
        <f>I1855</f>
        <v>0</v>
      </c>
      <c r="J1854" s="172"/>
      <c r="K1854" s="69"/>
      <c r="L1854" s="69"/>
      <c r="M1854" s="69"/>
      <c r="N1854" s="69"/>
      <c r="O1854" s="69"/>
      <c r="P1854" s="69"/>
      <c r="Q1854" s="69"/>
      <c r="R1854" s="69"/>
    </row>
    <row r="1855" spans="1:18" ht="26.4" hidden="1">
      <c r="A1855" s="16" t="s">
        <v>37</v>
      </c>
      <c r="B1855" s="14">
        <v>793</v>
      </c>
      <c r="C1855" s="15" t="s">
        <v>69</v>
      </c>
      <c r="D1855" s="15" t="s">
        <v>68</v>
      </c>
      <c r="E1855" s="15" t="s">
        <v>1316</v>
      </c>
      <c r="F1855" s="15" t="s">
        <v>38</v>
      </c>
      <c r="G1855" s="70"/>
      <c r="H1855" s="70">
        <v>0</v>
      </c>
      <c r="I1855" s="70">
        <v>0</v>
      </c>
      <c r="J1855" s="172"/>
      <c r="K1855" s="69"/>
      <c r="L1855" s="69"/>
      <c r="M1855" s="69"/>
      <c r="N1855" s="69"/>
      <c r="O1855" s="69"/>
      <c r="P1855" s="69"/>
      <c r="Q1855" s="69"/>
      <c r="R1855" s="69"/>
    </row>
    <row r="1856" spans="1:18" ht="24" customHeight="1">
      <c r="A1856" s="57" t="s">
        <v>592</v>
      </c>
      <c r="B1856" s="14">
        <v>793</v>
      </c>
      <c r="C1856" s="15" t="s">
        <v>69</v>
      </c>
      <c r="D1856" s="15" t="s">
        <v>68</v>
      </c>
      <c r="E1856" s="15" t="s">
        <v>627</v>
      </c>
      <c r="F1856" s="15"/>
      <c r="G1856" s="70">
        <f>G1857</f>
        <v>4516518.7200000007</v>
      </c>
      <c r="H1856" s="70">
        <f t="shared" ref="H1856:I1856" si="480">H1857</f>
        <v>0</v>
      </c>
      <c r="I1856" s="70">
        <f t="shared" si="480"/>
        <v>0</v>
      </c>
      <c r="J1856" s="172"/>
      <c r="K1856" s="172"/>
      <c r="L1856" s="172"/>
      <c r="M1856" s="172"/>
      <c r="N1856" s="172"/>
      <c r="O1856" s="172"/>
      <c r="P1856" s="69"/>
      <c r="Q1856" s="69"/>
      <c r="R1856" s="69"/>
    </row>
    <row r="1857" spans="1:18">
      <c r="A1857" s="16" t="s">
        <v>316</v>
      </c>
      <c r="B1857" s="14">
        <v>793</v>
      </c>
      <c r="C1857" s="15" t="s">
        <v>69</v>
      </c>
      <c r="D1857" s="15" t="s">
        <v>68</v>
      </c>
      <c r="E1857" s="15" t="s">
        <v>627</v>
      </c>
      <c r="F1857" s="15" t="s">
        <v>36</v>
      </c>
      <c r="G1857" s="70">
        <f>G1858</f>
        <v>4516518.7200000007</v>
      </c>
      <c r="H1857" s="70">
        <f>H1858</f>
        <v>0</v>
      </c>
      <c r="I1857" s="70">
        <f>I1858</f>
        <v>0</v>
      </c>
      <c r="J1857" s="172"/>
      <c r="K1857" s="69"/>
      <c r="L1857" s="69"/>
      <c r="M1857" s="69"/>
      <c r="N1857" s="69"/>
      <c r="O1857" s="69"/>
      <c r="P1857" s="69"/>
      <c r="Q1857" s="69"/>
      <c r="R1857" s="69"/>
    </row>
    <row r="1858" spans="1:18" ht="26.4">
      <c r="A1858" s="16" t="s">
        <v>37</v>
      </c>
      <c r="B1858" s="14">
        <v>793</v>
      </c>
      <c r="C1858" s="15" t="s">
        <v>69</v>
      </c>
      <c r="D1858" s="15" t="s">
        <v>68</v>
      </c>
      <c r="E1858" s="15" t="s">
        <v>627</v>
      </c>
      <c r="F1858" s="15" t="s">
        <v>38</v>
      </c>
      <c r="G1858" s="70">
        <f>4590032.03-73513.31</f>
        <v>4516518.7200000007</v>
      </c>
      <c r="H1858" s="70">
        <v>0</v>
      </c>
      <c r="I1858" s="70">
        <v>0</v>
      </c>
      <c r="J1858" s="172"/>
      <c r="K1858" s="69"/>
      <c r="L1858" s="69"/>
      <c r="M1858" s="69"/>
      <c r="N1858" s="69"/>
      <c r="O1858" s="69"/>
      <c r="P1858" s="69"/>
      <c r="Q1858" s="69"/>
      <c r="R1858" s="69"/>
    </row>
    <row r="1859" spans="1:18" ht="24" customHeight="1">
      <c r="A1859" s="57" t="s">
        <v>1315</v>
      </c>
      <c r="B1859" s="14">
        <v>793</v>
      </c>
      <c r="C1859" s="15" t="s">
        <v>69</v>
      </c>
      <c r="D1859" s="15" t="s">
        <v>68</v>
      </c>
      <c r="E1859" s="15" t="s">
        <v>1385</v>
      </c>
      <c r="F1859" s="15"/>
      <c r="G1859" s="70">
        <f>G1860</f>
        <v>519628.23</v>
      </c>
      <c r="H1859" s="70">
        <f t="shared" ref="H1859:I1859" si="481">H1860</f>
        <v>0</v>
      </c>
      <c r="I1859" s="70">
        <f t="shared" si="481"/>
        <v>0</v>
      </c>
      <c r="J1859" s="172"/>
      <c r="K1859" s="172"/>
      <c r="L1859" s="172"/>
      <c r="M1859" s="172"/>
      <c r="N1859" s="172"/>
      <c r="O1859" s="172"/>
      <c r="P1859" s="69"/>
      <c r="Q1859" s="69"/>
      <c r="R1859" s="69"/>
    </row>
    <row r="1860" spans="1:18">
      <c r="A1860" s="16" t="s">
        <v>316</v>
      </c>
      <c r="B1860" s="14">
        <v>793</v>
      </c>
      <c r="C1860" s="15" t="s">
        <v>69</v>
      </c>
      <c r="D1860" s="15" t="s">
        <v>68</v>
      </c>
      <c r="E1860" s="15" t="s">
        <v>1385</v>
      </c>
      <c r="F1860" s="15" t="s">
        <v>36</v>
      </c>
      <c r="G1860" s="70">
        <f>G1861</f>
        <v>519628.23</v>
      </c>
      <c r="H1860" s="70">
        <f>H1861</f>
        <v>0</v>
      </c>
      <c r="I1860" s="70">
        <f>I1861</f>
        <v>0</v>
      </c>
      <c r="J1860" s="172"/>
      <c r="K1860" s="69"/>
      <c r="L1860" s="69"/>
      <c r="M1860" s="69"/>
      <c r="N1860" s="69"/>
      <c r="O1860" s="69"/>
      <c r="P1860" s="69"/>
      <c r="Q1860" s="69"/>
      <c r="R1860" s="69"/>
    </row>
    <row r="1861" spans="1:18" ht="26.4">
      <c r="A1861" s="16" t="s">
        <v>37</v>
      </c>
      <c r="B1861" s="14">
        <v>793</v>
      </c>
      <c r="C1861" s="15" t="s">
        <v>69</v>
      </c>
      <c r="D1861" s="15" t="s">
        <v>68</v>
      </c>
      <c r="E1861" s="15" t="s">
        <v>1385</v>
      </c>
      <c r="F1861" s="15" t="s">
        <v>38</v>
      </c>
      <c r="G1861" s="70">
        <f>522361.69-2733.46</f>
        <v>519628.23</v>
      </c>
      <c r="H1861" s="70">
        <v>0</v>
      </c>
      <c r="I1861" s="70">
        <v>0</v>
      </c>
      <c r="J1861" s="172"/>
      <c r="K1861" s="69"/>
      <c r="L1861" s="69"/>
      <c r="M1861" s="69"/>
      <c r="N1861" s="69"/>
      <c r="O1861" s="69"/>
      <c r="P1861" s="69"/>
      <c r="Q1861" s="69"/>
      <c r="R1861" s="69"/>
    </row>
    <row r="1862" spans="1:18" s="18" customFormat="1" ht="92.25" customHeight="1">
      <c r="A1862" s="16" t="s">
        <v>1542</v>
      </c>
      <c r="B1862" s="49">
        <v>793</v>
      </c>
      <c r="C1862" s="15" t="s">
        <v>69</v>
      </c>
      <c r="D1862" s="15" t="s">
        <v>68</v>
      </c>
      <c r="E1862" s="15" t="s">
        <v>1246</v>
      </c>
      <c r="F1862" s="15"/>
      <c r="G1862" s="70">
        <f>G1864+G1873</f>
        <v>3635672.46</v>
      </c>
      <c r="H1862" s="70">
        <f t="shared" ref="H1862:I1862" si="482">H1864</f>
        <v>0</v>
      </c>
      <c r="I1862" s="70">
        <f t="shared" si="482"/>
        <v>0</v>
      </c>
      <c r="J1862" s="172"/>
      <c r="K1862" s="180"/>
      <c r="L1862" s="180"/>
      <c r="M1862" s="180"/>
      <c r="N1862" s="180"/>
      <c r="O1862" s="180"/>
      <c r="P1862" s="180"/>
      <c r="Q1862" s="180"/>
      <c r="R1862" s="180"/>
    </row>
    <row r="1863" spans="1:18" s="18" customFormat="1" ht="71.25" hidden="1" customHeight="1">
      <c r="A1863" s="16" t="s">
        <v>1277</v>
      </c>
      <c r="B1863" s="49">
        <v>793</v>
      </c>
      <c r="C1863" s="15" t="s">
        <v>69</v>
      </c>
      <c r="D1863" s="15" t="s">
        <v>68</v>
      </c>
      <c r="E1863" s="15" t="s">
        <v>1246</v>
      </c>
      <c r="F1863" s="15"/>
      <c r="G1863" s="70">
        <f>G1873</f>
        <v>3635672.46</v>
      </c>
      <c r="H1863" s="70">
        <v>0</v>
      </c>
      <c r="I1863" s="70">
        <v>0</v>
      </c>
      <c r="J1863" s="172"/>
      <c r="K1863" s="180"/>
      <c r="L1863" s="180"/>
      <c r="M1863" s="180"/>
      <c r="N1863" s="180"/>
      <c r="O1863" s="180"/>
      <c r="P1863" s="180"/>
      <c r="Q1863" s="180"/>
      <c r="R1863" s="180"/>
    </row>
    <row r="1864" spans="1:18" ht="30.75" hidden="1" customHeight="1">
      <c r="A1864" s="16" t="s">
        <v>35</v>
      </c>
      <c r="B1864" s="49">
        <v>793</v>
      </c>
      <c r="C1864" s="15" t="s">
        <v>69</v>
      </c>
      <c r="D1864" s="15" t="s">
        <v>68</v>
      </c>
      <c r="E1864" s="15" t="s">
        <v>1246</v>
      </c>
      <c r="F1864" s="15" t="s">
        <v>36</v>
      </c>
      <c r="G1864" s="70">
        <f t="shared" ref="G1864:I1864" si="483">G1865</f>
        <v>0</v>
      </c>
      <c r="H1864" s="70">
        <f t="shared" si="483"/>
        <v>0</v>
      </c>
      <c r="I1864" s="70">
        <f t="shared" si="483"/>
        <v>0</v>
      </c>
      <c r="J1864" s="172"/>
      <c r="K1864" s="69"/>
      <c r="L1864" s="69"/>
      <c r="M1864" s="69"/>
      <c r="N1864" s="69"/>
      <c r="O1864" s="69"/>
      <c r="P1864" s="69"/>
      <c r="Q1864" s="69"/>
      <c r="R1864" s="69"/>
    </row>
    <row r="1865" spans="1:18" s="18" customFormat="1" ht="34.5" hidden="1" customHeight="1">
      <c r="A1865" s="16" t="s">
        <v>37</v>
      </c>
      <c r="B1865" s="49">
        <v>793</v>
      </c>
      <c r="C1865" s="15" t="s">
        <v>69</v>
      </c>
      <c r="D1865" s="15" t="s">
        <v>68</v>
      </c>
      <c r="E1865" s="15" t="s">
        <v>1246</v>
      </c>
      <c r="F1865" s="15" t="s">
        <v>38</v>
      </c>
      <c r="G1865" s="70">
        <f>3650580-3650580</f>
        <v>0</v>
      </c>
      <c r="H1865" s="70">
        <v>0</v>
      </c>
      <c r="I1865" s="70">
        <v>0</v>
      </c>
      <c r="J1865" s="172"/>
      <c r="K1865" s="180"/>
      <c r="L1865" s="180"/>
      <c r="M1865" s="180"/>
      <c r="N1865" s="180"/>
      <c r="O1865" s="180"/>
      <c r="P1865" s="180"/>
      <c r="Q1865" s="180"/>
      <c r="R1865" s="180"/>
    </row>
    <row r="1866" spans="1:18" s="28" customFormat="1" ht="24.75" hidden="1" customHeight="1">
      <c r="A1866" s="37" t="s">
        <v>163</v>
      </c>
      <c r="B1866" s="14">
        <v>793</v>
      </c>
      <c r="C1866" s="15" t="s">
        <v>69</v>
      </c>
      <c r="D1866" s="15" t="s">
        <v>68</v>
      </c>
      <c r="E1866" s="15" t="s">
        <v>228</v>
      </c>
      <c r="F1866" s="15"/>
      <c r="G1866" s="70">
        <f t="shared" ref="G1866:I1870" si="484">G1867</f>
        <v>0</v>
      </c>
      <c r="H1866" s="70">
        <f t="shared" si="484"/>
        <v>0</v>
      </c>
      <c r="I1866" s="70">
        <f t="shared" si="484"/>
        <v>0</v>
      </c>
      <c r="J1866" s="172"/>
      <c r="K1866" s="313"/>
      <c r="L1866" s="313"/>
      <c r="M1866" s="313"/>
      <c r="N1866" s="313"/>
      <c r="O1866" s="313"/>
      <c r="P1866" s="313"/>
      <c r="Q1866" s="313"/>
      <c r="R1866" s="313"/>
    </row>
    <row r="1867" spans="1:18" ht="26.4" hidden="1">
      <c r="A1867" s="37" t="s">
        <v>163</v>
      </c>
      <c r="B1867" s="14">
        <v>793</v>
      </c>
      <c r="C1867" s="15" t="s">
        <v>69</v>
      </c>
      <c r="D1867" s="15" t="s">
        <v>68</v>
      </c>
      <c r="E1867" s="15" t="s">
        <v>270</v>
      </c>
      <c r="F1867" s="14"/>
      <c r="G1867" s="70">
        <f>G1870+G1868</f>
        <v>0</v>
      </c>
      <c r="H1867" s="70">
        <f>H1870</f>
        <v>0</v>
      </c>
      <c r="I1867" s="70">
        <f>I1870</f>
        <v>0</v>
      </c>
      <c r="J1867" s="172"/>
      <c r="K1867" s="69"/>
      <c r="L1867" s="69"/>
      <c r="M1867" s="69"/>
      <c r="N1867" s="69"/>
      <c r="O1867" s="69"/>
      <c r="P1867" s="69"/>
      <c r="Q1867" s="69"/>
      <c r="R1867" s="69"/>
    </row>
    <row r="1868" spans="1:18" hidden="1">
      <c r="A1868" s="16" t="s">
        <v>316</v>
      </c>
      <c r="B1868" s="14">
        <v>793</v>
      </c>
      <c r="C1868" s="15" t="s">
        <v>69</v>
      </c>
      <c r="D1868" s="15" t="s">
        <v>68</v>
      </c>
      <c r="E1868" s="15" t="s">
        <v>270</v>
      </c>
      <c r="F1868" s="15" t="s">
        <v>36</v>
      </c>
      <c r="G1868" s="70">
        <f>G1869</f>
        <v>0</v>
      </c>
      <c r="H1868" s="70"/>
      <c r="I1868" s="70"/>
      <c r="J1868" s="172"/>
      <c r="K1868" s="69"/>
      <c r="L1868" s="69"/>
      <c r="M1868" s="69"/>
      <c r="N1868" s="69"/>
      <c r="O1868" s="69"/>
      <c r="P1868" s="69"/>
      <c r="Q1868" s="69"/>
      <c r="R1868" s="69"/>
    </row>
    <row r="1869" spans="1:18" ht="26.4" hidden="1">
      <c r="A1869" s="16" t="s">
        <v>37</v>
      </c>
      <c r="B1869" s="14">
        <v>793</v>
      </c>
      <c r="C1869" s="15" t="s">
        <v>69</v>
      </c>
      <c r="D1869" s="15" t="s">
        <v>68</v>
      </c>
      <c r="E1869" s="15" t="s">
        <v>270</v>
      </c>
      <c r="F1869" s="15" t="s">
        <v>38</v>
      </c>
      <c r="G1869" s="70"/>
      <c r="H1869" s="70"/>
      <c r="I1869" s="70"/>
      <c r="J1869" s="172"/>
      <c r="K1869" s="69"/>
      <c r="L1869" s="69"/>
      <c r="M1869" s="69"/>
      <c r="N1869" s="69"/>
      <c r="O1869" s="69"/>
      <c r="P1869" s="69"/>
      <c r="Q1869" s="69"/>
      <c r="R1869" s="69"/>
    </row>
    <row r="1870" spans="1:18" hidden="1">
      <c r="A1870" s="16" t="s">
        <v>152</v>
      </c>
      <c r="B1870" s="14">
        <v>793</v>
      </c>
      <c r="C1870" s="15" t="s">
        <v>69</v>
      </c>
      <c r="D1870" s="15" t="s">
        <v>68</v>
      </c>
      <c r="E1870" s="15" t="s">
        <v>270</v>
      </c>
      <c r="F1870" s="15" t="s">
        <v>153</v>
      </c>
      <c r="G1870" s="70">
        <f t="shared" si="484"/>
        <v>0</v>
      </c>
      <c r="H1870" s="70">
        <f t="shared" si="484"/>
        <v>0</v>
      </c>
      <c r="I1870" s="70">
        <f t="shared" si="484"/>
        <v>0</v>
      </c>
      <c r="J1870" s="172"/>
      <c r="K1870" s="69"/>
      <c r="L1870" s="69"/>
      <c r="M1870" s="69"/>
      <c r="N1870" s="69"/>
      <c r="O1870" s="69"/>
      <c r="P1870" s="69"/>
      <c r="Q1870" s="69"/>
      <c r="R1870" s="69"/>
    </row>
    <row r="1871" spans="1:18" hidden="1">
      <c r="A1871" s="16" t="s">
        <v>172</v>
      </c>
      <c r="B1871" s="14">
        <v>793</v>
      </c>
      <c r="C1871" s="15" t="s">
        <v>69</v>
      </c>
      <c r="D1871" s="15" t="s">
        <v>68</v>
      </c>
      <c r="E1871" s="15" t="s">
        <v>270</v>
      </c>
      <c r="F1871" s="15" t="s">
        <v>173</v>
      </c>
      <c r="G1871" s="70"/>
      <c r="H1871" s="70"/>
      <c r="I1871" s="70"/>
      <c r="J1871" s="172"/>
      <c r="K1871" s="69"/>
      <c r="L1871" s="69"/>
      <c r="M1871" s="69"/>
      <c r="N1871" s="69"/>
      <c r="O1871" s="69"/>
      <c r="P1871" s="69"/>
      <c r="Q1871" s="69"/>
      <c r="R1871" s="69"/>
    </row>
    <row r="1872" spans="1:18" ht="30.75" customHeight="1">
      <c r="A1872" s="16" t="s">
        <v>94</v>
      </c>
      <c r="B1872" s="49">
        <v>793</v>
      </c>
      <c r="C1872" s="15" t="s">
        <v>69</v>
      </c>
      <c r="D1872" s="15" t="s">
        <v>68</v>
      </c>
      <c r="E1872" s="15" t="s">
        <v>1246</v>
      </c>
      <c r="F1872" s="15" t="s">
        <v>338</v>
      </c>
      <c r="G1872" s="70">
        <f t="shared" ref="G1872:I1872" si="485">G1873</f>
        <v>3635672.46</v>
      </c>
      <c r="H1872" s="70">
        <f t="shared" si="485"/>
        <v>0</v>
      </c>
      <c r="I1872" s="70">
        <f t="shared" si="485"/>
        <v>0</v>
      </c>
      <c r="J1872" s="172"/>
      <c r="K1872" s="69"/>
      <c r="L1872" s="69"/>
      <c r="M1872" s="69"/>
      <c r="N1872" s="69"/>
      <c r="O1872" s="69"/>
      <c r="P1872" s="69"/>
      <c r="Q1872" s="69"/>
      <c r="R1872" s="69"/>
    </row>
    <row r="1873" spans="1:20" s="18" customFormat="1" ht="34.5" customHeight="1">
      <c r="A1873" s="16" t="s">
        <v>339</v>
      </c>
      <c r="B1873" s="49">
        <v>793</v>
      </c>
      <c r="C1873" s="15" t="s">
        <v>69</v>
      </c>
      <c r="D1873" s="15" t="s">
        <v>68</v>
      </c>
      <c r="E1873" s="15" t="s">
        <v>1246</v>
      </c>
      <c r="F1873" s="15" t="s">
        <v>340</v>
      </c>
      <c r="G1873" s="70">
        <v>3635672.46</v>
      </c>
      <c r="H1873" s="70">
        <v>0</v>
      </c>
      <c r="I1873" s="70">
        <v>0</v>
      </c>
      <c r="J1873" s="172"/>
      <c r="K1873" s="180"/>
      <c r="L1873" s="180"/>
      <c r="M1873" s="180"/>
      <c r="N1873" s="180"/>
      <c r="O1873" s="180"/>
      <c r="P1873" s="180"/>
      <c r="Q1873" s="180"/>
      <c r="R1873" s="180"/>
    </row>
    <row r="1874" spans="1:20" s="146" customFormat="1" ht="26.25" customHeight="1">
      <c r="A1874" s="16" t="s">
        <v>267</v>
      </c>
      <c r="B1874" s="145">
        <v>793</v>
      </c>
      <c r="C1874" s="15" t="s">
        <v>69</v>
      </c>
      <c r="D1874" s="15" t="s">
        <v>68</v>
      </c>
      <c r="E1874" s="143" t="s">
        <v>543</v>
      </c>
      <c r="F1874" s="84"/>
      <c r="G1874" s="87">
        <f>G1875</f>
        <v>129500</v>
      </c>
      <c r="H1874" s="87">
        <f t="shared" ref="H1874:I1874" si="486">H1878</f>
        <v>0</v>
      </c>
      <c r="I1874" s="87">
        <f t="shared" si="486"/>
        <v>0</v>
      </c>
      <c r="J1874" s="148">
        <v>1487719</v>
      </c>
      <c r="P1874" s="148"/>
      <c r="Q1874" s="148"/>
      <c r="R1874" s="148"/>
      <c r="S1874" s="148"/>
      <c r="T1874" s="148"/>
    </row>
    <row r="1875" spans="1:20" s="122" customFormat="1" ht="51.75" customHeight="1">
      <c r="A1875" s="16" t="s">
        <v>267</v>
      </c>
      <c r="B1875" s="145">
        <v>793</v>
      </c>
      <c r="C1875" s="15" t="s">
        <v>69</v>
      </c>
      <c r="D1875" s="15" t="s">
        <v>68</v>
      </c>
      <c r="E1875" s="84" t="s">
        <v>1384</v>
      </c>
      <c r="F1875" s="84"/>
      <c r="G1875" s="87">
        <f t="shared" ref="G1875:I1876" si="487">G1876</f>
        <v>129500</v>
      </c>
      <c r="H1875" s="87">
        <f t="shared" si="487"/>
        <v>0</v>
      </c>
      <c r="I1875" s="87">
        <f t="shared" si="487"/>
        <v>0</v>
      </c>
      <c r="J1875" s="121"/>
      <c r="P1875" s="121"/>
      <c r="Q1875" s="121"/>
      <c r="R1875" s="121"/>
      <c r="S1875" s="121"/>
      <c r="T1875" s="121"/>
    </row>
    <row r="1876" spans="1:20" s="122" customFormat="1" ht="26.25" customHeight="1">
      <c r="A1876" s="16" t="s">
        <v>316</v>
      </c>
      <c r="B1876" s="145">
        <v>793</v>
      </c>
      <c r="C1876" s="15" t="s">
        <v>69</v>
      </c>
      <c r="D1876" s="15" t="s">
        <v>68</v>
      </c>
      <c r="E1876" s="84" t="s">
        <v>1384</v>
      </c>
      <c r="F1876" s="84" t="s">
        <v>36</v>
      </c>
      <c r="G1876" s="87">
        <f t="shared" si="487"/>
        <v>129500</v>
      </c>
      <c r="H1876" s="87">
        <f t="shared" si="487"/>
        <v>0</v>
      </c>
      <c r="I1876" s="87">
        <f t="shared" si="487"/>
        <v>0</v>
      </c>
      <c r="J1876" s="121"/>
      <c r="P1876" s="121"/>
      <c r="Q1876" s="121"/>
      <c r="R1876" s="121"/>
      <c r="S1876" s="121"/>
      <c r="T1876" s="121"/>
    </row>
    <row r="1877" spans="1:20" s="122" customFormat="1" ht="26.25" customHeight="1">
      <c r="A1877" s="16" t="s">
        <v>37</v>
      </c>
      <c r="B1877" s="145">
        <v>793</v>
      </c>
      <c r="C1877" s="15" t="s">
        <v>69</v>
      </c>
      <c r="D1877" s="15" t="s">
        <v>68</v>
      </c>
      <c r="E1877" s="84" t="s">
        <v>1384</v>
      </c>
      <c r="F1877" s="84" t="s">
        <v>38</v>
      </c>
      <c r="G1877" s="87">
        <v>129500</v>
      </c>
      <c r="H1877" s="87">
        <v>0</v>
      </c>
      <c r="I1877" s="87">
        <v>0</v>
      </c>
      <c r="J1877" s="121"/>
      <c r="P1877" s="121"/>
      <c r="Q1877" s="121"/>
      <c r="R1877" s="121"/>
      <c r="S1877" s="121"/>
      <c r="T1877" s="121"/>
    </row>
    <row r="1878" spans="1:20" s="146" customFormat="1" ht="26.25" customHeight="1">
      <c r="A1878" s="16" t="s">
        <v>1278</v>
      </c>
      <c r="B1878" s="145">
        <v>793</v>
      </c>
      <c r="C1878" s="15" t="s">
        <v>69</v>
      </c>
      <c r="D1878" s="15" t="s">
        <v>68</v>
      </c>
      <c r="E1878" s="143" t="s">
        <v>228</v>
      </c>
      <c r="F1878" s="84"/>
      <c r="G1878" s="87">
        <f>G1879</f>
        <v>186153.48</v>
      </c>
      <c r="H1878" s="87">
        <f t="shared" ref="H1878:I1878" si="488">H1882</f>
        <v>0</v>
      </c>
      <c r="I1878" s="87">
        <f t="shared" si="488"/>
        <v>0</v>
      </c>
      <c r="J1878" s="148">
        <v>1487719</v>
      </c>
      <c r="P1878" s="148"/>
      <c r="Q1878" s="148"/>
      <c r="R1878" s="148"/>
      <c r="S1878" s="148"/>
      <c r="T1878" s="148"/>
    </row>
    <row r="1879" spans="1:20" s="122" customFormat="1" ht="32.25" customHeight="1">
      <c r="A1879" s="16" t="s">
        <v>1278</v>
      </c>
      <c r="B1879" s="145">
        <v>793</v>
      </c>
      <c r="C1879" s="15" t="s">
        <v>69</v>
      </c>
      <c r="D1879" s="15" t="s">
        <v>68</v>
      </c>
      <c r="E1879" s="84" t="s">
        <v>270</v>
      </c>
      <c r="F1879" s="84"/>
      <c r="G1879" s="87">
        <f t="shared" ref="G1879:I1880" si="489">G1880</f>
        <v>186153.48</v>
      </c>
      <c r="H1879" s="87">
        <f t="shared" si="489"/>
        <v>0</v>
      </c>
      <c r="I1879" s="87">
        <f t="shared" si="489"/>
        <v>0</v>
      </c>
      <c r="J1879" s="121"/>
      <c r="P1879" s="121"/>
      <c r="Q1879" s="121"/>
      <c r="R1879" s="121"/>
      <c r="S1879" s="121"/>
      <c r="T1879" s="121"/>
    </row>
    <row r="1880" spans="1:20" s="122" customFormat="1" ht="26.25" customHeight="1">
      <c r="A1880" s="16" t="s">
        <v>316</v>
      </c>
      <c r="B1880" s="145">
        <v>793</v>
      </c>
      <c r="C1880" s="15" t="s">
        <v>69</v>
      </c>
      <c r="D1880" s="15" t="s">
        <v>68</v>
      </c>
      <c r="E1880" s="84" t="s">
        <v>270</v>
      </c>
      <c r="F1880" s="84" t="s">
        <v>36</v>
      </c>
      <c r="G1880" s="87">
        <f t="shared" si="489"/>
        <v>186153.48</v>
      </c>
      <c r="H1880" s="87">
        <f t="shared" si="489"/>
        <v>0</v>
      </c>
      <c r="I1880" s="87">
        <f t="shared" si="489"/>
        <v>0</v>
      </c>
      <c r="J1880" s="121"/>
      <c r="P1880" s="121"/>
      <c r="Q1880" s="121"/>
      <c r="R1880" s="121"/>
      <c r="S1880" s="121"/>
      <c r="T1880" s="121"/>
    </row>
    <row r="1881" spans="1:20" s="122" customFormat="1" ht="26.25" customHeight="1">
      <c r="A1881" s="16" t="s">
        <v>37</v>
      </c>
      <c r="B1881" s="145">
        <v>793</v>
      </c>
      <c r="C1881" s="15" t="s">
        <v>69</v>
      </c>
      <c r="D1881" s="15" t="s">
        <v>68</v>
      </c>
      <c r="E1881" s="84" t="s">
        <v>270</v>
      </c>
      <c r="F1881" s="84" t="s">
        <v>38</v>
      </c>
      <c r="G1881" s="87">
        <v>186153.48</v>
      </c>
      <c r="H1881" s="87">
        <v>0</v>
      </c>
      <c r="I1881" s="87">
        <v>0</v>
      </c>
      <c r="J1881" s="121"/>
      <c r="P1881" s="121"/>
      <c r="Q1881" s="121"/>
      <c r="R1881" s="121"/>
      <c r="S1881" s="121"/>
      <c r="T1881" s="121"/>
    </row>
    <row r="1882" spans="1:20" ht="39" hidden="1" customHeight="1">
      <c r="A1882" s="16" t="s">
        <v>1271</v>
      </c>
      <c r="B1882" s="14">
        <v>793</v>
      </c>
      <c r="C1882" s="15" t="s">
        <v>69</v>
      </c>
      <c r="D1882" s="15" t="s">
        <v>68</v>
      </c>
      <c r="E1882" s="15" t="s">
        <v>1274</v>
      </c>
      <c r="F1882" s="15"/>
      <c r="G1882" s="70">
        <f>G1883+G1885</f>
        <v>0</v>
      </c>
      <c r="H1882" s="70">
        <f t="shared" ref="H1882:I1882" si="490">H1883+H1885</f>
        <v>0</v>
      </c>
      <c r="I1882" s="70">
        <f t="shared" si="490"/>
        <v>0</v>
      </c>
      <c r="J1882" s="2"/>
      <c r="K1882" s="1"/>
      <c r="L1882" s="1"/>
      <c r="M1882" s="1"/>
      <c r="N1882" s="1"/>
      <c r="O1882" s="1"/>
      <c r="P1882" s="2"/>
      <c r="Q1882" s="2"/>
      <c r="R1882" s="2"/>
      <c r="S1882" s="2"/>
      <c r="T1882" s="2"/>
    </row>
    <row r="1883" spans="1:20" ht="29.25" hidden="1" customHeight="1">
      <c r="A1883" s="16" t="s">
        <v>316</v>
      </c>
      <c r="B1883" s="15" t="s">
        <v>92</v>
      </c>
      <c r="C1883" s="15" t="s">
        <v>69</v>
      </c>
      <c r="D1883" s="15" t="s">
        <v>68</v>
      </c>
      <c r="E1883" s="15" t="s">
        <v>205</v>
      </c>
      <c r="F1883" s="15" t="s">
        <v>36</v>
      </c>
      <c r="G1883" s="70">
        <f>G1884</f>
        <v>0</v>
      </c>
      <c r="H1883" s="70"/>
      <c r="I1883" s="70"/>
      <c r="J1883" s="2"/>
      <c r="K1883" s="1"/>
      <c r="L1883" s="1"/>
      <c r="M1883" s="1"/>
      <c r="N1883" s="1"/>
      <c r="O1883" s="1"/>
      <c r="P1883" s="2"/>
      <c r="Q1883" s="2"/>
      <c r="R1883" s="2"/>
      <c r="S1883" s="2"/>
      <c r="T1883" s="2"/>
    </row>
    <row r="1884" spans="1:20" ht="36.75" hidden="1" customHeight="1">
      <c r="A1884" s="16" t="s">
        <v>37</v>
      </c>
      <c r="B1884" s="15" t="s">
        <v>92</v>
      </c>
      <c r="C1884" s="15" t="s">
        <v>69</v>
      </c>
      <c r="D1884" s="15" t="s">
        <v>68</v>
      </c>
      <c r="E1884" s="15" t="s">
        <v>205</v>
      </c>
      <c r="F1884" s="15" t="s">
        <v>38</v>
      </c>
      <c r="G1884" s="70">
        <f>прил4!G3105</f>
        <v>0</v>
      </c>
      <c r="H1884" s="70"/>
      <c r="I1884" s="70"/>
      <c r="J1884" s="2"/>
      <c r="K1884" s="1"/>
      <c r="L1884" s="1"/>
      <c r="M1884" s="1"/>
      <c r="N1884" s="1"/>
      <c r="O1884" s="1"/>
      <c r="P1884" s="2"/>
      <c r="Q1884" s="2"/>
      <c r="R1884" s="2"/>
      <c r="S1884" s="2"/>
      <c r="T1884" s="2"/>
    </row>
    <row r="1885" spans="1:20" hidden="1">
      <c r="A1885" s="16" t="s">
        <v>316</v>
      </c>
      <c r="B1885" s="14">
        <v>793</v>
      </c>
      <c r="C1885" s="15" t="s">
        <v>69</v>
      </c>
      <c r="D1885" s="15" t="s">
        <v>68</v>
      </c>
      <c r="E1885" s="15" t="s">
        <v>1274</v>
      </c>
      <c r="F1885" s="15" t="s">
        <v>36</v>
      </c>
      <c r="G1885" s="70">
        <f t="shared" ref="G1885:I1885" si="491">G1886</f>
        <v>0</v>
      </c>
      <c r="H1885" s="70">
        <f t="shared" si="491"/>
        <v>0</v>
      </c>
      <c r="I1885" s="70">
        <f t="shared" si="491"/>
        <v>0</v>
      </c>
      <c r="J1885" s="2"/>
      <c r="K1885" s="1"/>
      <c r="L1885" s="1"/>
      <c r="M1885" s="1"/>
      <c r="N1885" s="1"/>
      <c r="O1885" s="1"/>
      <c r="P1885" s="2"/>
      <c r="Q1885" s="2"/>
      <c r="R1885" s="2"/>
      <c r="S1885" s="2"/>
      <c r="T1885" s="2"/>
    </row>
    <row r="1886" spans="1:20" ht="28.5" hidden="1" customHeight="1">
      <c r="A1886" s="16" t="s">
        <v>37</v>
      </c>
      <c r="B1886" s="14">
        <v>793</v>
      </c>
      <c r="C1886" s="15" t="s">
        <v>69</v>
      </c>
      <c r="D1886" s="15" t="s">
        <v>68</v>
      </c>
      <c r="E1886" s="15" t="s">
        <v>1274</v>
      </c>
      <c r="F1886" s="15" t="s">
        <v>38</v>
      </c>
      <c r="G1886" s="70">
        <f>36738.93-36738.93</f>
        <v>0</v>
      </c>
      <c r="H1886" s="70">
        <f>прил4!H1245</f>
        <v>0</v>
      </c>
      <c r="I1886" s="70">
        <f>прил4!I1245</f>
        <v>0</v>
      </c>
      <c r="J1886" s="2"/>
      <c r="K1886" s="1"/>
      <c r="L1886" s="1"/>
      <c r="M1886" s="1"/>
      <c r="N1886" s="1"/>
      <c r="O1886" s="1"/>
      <c r="P1886" s="2"/>
      <c r="Q1886" s="2"/>
      <c r="R1886" s="2"/>
      <c r="S1886" s="2"/>
      <c r="T1886" s="2"/>
    </row>
    <row r="1887" spans="1:20" s="22" customFormat="1" ht="26.4">
      <c r="A1887" s="16" t="s">
        <v>328</v>
      </c>
      <c r="B1887" s="14">
        <v>793</v>
      </c>
      <c r="C1887" s="15" t="s">
        <v>69</v>
      </c>
      <c r="D1887" s="15" t="s">
        <v>303</v>
      </c>
      <c r="E1887" s="15"/>
      <c r="F1887" s="15"/>
      <c r="G1887" s="70">
        <f>G1888+G1898</f>
        <v>177551.71</v>
      </c>
      <c r="H1887" s="70">
        <f t="shared" ref="H1887:I1887" si="492">H1888+H1898</f>
        <v>230000</v>
      </c>
      <c r="I1887" s="70">
        <f t="shared" si="492"/>
        <v>230000</v>
      </c>
      <c r="J1887" s="323"/>
      <c r="K1887" s="61"/>
      <c r="L1887" s="61"/>
      <c r="M1887" s="61"/>
      <c r="N1887" s="61"/>
      <c r="O1887" s="61"/>
      <c r="P1887" s="61"/>
      <c r="Q1887" s="61"/>
      <c r="R1887" s="61"/>
    </row>
    <row r="1888" spans="1:20" ht="51" customHeight="1">
      <c r="A1888" s="16" t="s">
        <v>1140</v>
      </c>
      <c r="B1888" s="14">
        <v>793</v>
      </c>
      <c r="C1888" s="15" t="s">
        <v>69</v>
      </c>
      <c r="D1888" s="15" t="s">
        <v>303</v>
      </c>
      <c r="E1888" s="15" t="s">
        <v>249</v>
      </c>
      <c r="F1888" s="15"/>
      <c r="G1888" s="70">
        <f>G1889+G1892+G1895</f>
        <v>120000</v>
      </c>
      <c r="H1888" s="70">
        <f t="shared" ref="H1888:I1888" si="493">H1889+H1892+H1895</f>
        <v>100000</v>
      </c>
      <c r="I1888" s="70">
        <f t="shared" si="493"/>
        <v>100000</v>
      </c>
      <c r="J1888" s="172"/>
      <c r="K1888" s="69"/>
      <c r="L1888" s="69"/>
      <c r="M1888" s="69"/>
      <c r="N1888" s="69"/>
      <c r="O1888" s="69"/>
      <c r="P1888" s="69"/>
      <c r="Q1888" s="69"/>
      <c r="R1888" s="69"/>
    </row>
    <row r="1889" spans="1:18" ht="63.75" customHeight="1">
      <c r="A1889" s="16" t="s">
        <v>492</v>
      </c>
      <c r="B1889" s="14">
        <v>793</v>
      </c>
      <c r="C1889" s="15" t="s">
        <v>69</v>
      </c>
      <c r="D1889" s="15" t="s">
        <v>303</v>
      </c>
      <c r="E1889" s="15" t="s">
        <v>250</v>
      </c>
      <c r="F1889" s="15"/>
      <c r="G1889" s="70">
        <f t="shared" ref="G1889:I1890" si="494">G1890</f>
        <v>120000</v>
      </c>
      <c r="H1889" s="70">
        <f t="shared" si="494"/>
        <v>100000</v>
      </c>
      <c r="I1889" s="70">
        <f t="shared" si="494"/>
        <v>100000</v>
      </c>
      <c r="J1889" s="172"/>
      <c r="K1889" s="69"/>
      <c r="L1889" s="69"/>
      <c r="M1889" s="69"/>
      <c r="N1889" s="69"/>
      <c r="O1889" s="69"/>
      <c r="P1889" s="69"/>
      <c r="Q1889" s="69"/>
      <c r="R1889" s="69"/>
    </row>
    <row r="1890" spans="1:18" ht="26.4">
      <c r="A1890" s="16" t="s">
        <v>439</v>
      </c>
      <c r="B1890" s="14">
        <v>793</v>
      </c>
      <c r="C1890" s="15" t="s">
        <v>69</v>
      </c>
      <c r="D1890" s="15" t="s">
        <v>303</v>
      </c>
      <c r="E1890" s="15" t="s">
        <v>250</v>
      </c>
      <c r="F1890" s="15" t="s">
        <v>36</v>
      </c>
      <c r="G1890" s="70">
        <f t="shared" si="494"/>
        <v>120000</v>
      </c>
      <c r="H1890" s="70">
        <f t="shared" si="494"/>
        <v>100000</v>
      </c>
      <c r="I1890" s="70">
        <f t="shared" si="494"/>
        <v>100000</v>
      </c>
      <c r="J1890" s="172"/>
      <c r="K1890" s="69"/>
      <c r="L1890" s="69"/>
      <c r="M1890" s="69"/>
      <c r="N1890" s="69"/>
      <c r="O1890" s="69"/>
      <c r="P1890" s="69"/>
      <c r="Q1890" s="69"/>
      <c r="R1890" s="69"/>
    </row>
    <row r="1891" spans="1:18" ht="30.75" customHeight="1">
      <c r="A1891" s="16" t="s">
        <v>37</v>
      </c>
      <c r="B1891" s="14">
        <v>793</v>
      </c>
      <c r="C1891" s="15" t="s">
        <v>69</v>
      </c>
      <c r="D1891" s="15" t="s">
        <v>303</v>
      </c>
      <c r="E1891" s="15" t="s">
        <v>250</v>
      </c>
      <c r="F1891" s="15" t="s">
        <v>38</v>
      </c>
      <c r="G1891" s="70">
        <f>100000+20000</f>
        <v>120000</v>
      </c>
      <c r="H1891" s="70">
        <v>100000</v>
      </c>
      <c r="I1891" s="70">
        <v>100000</v>
      </c>
      <c r="J1891" s="172"/>
      <c r="K1891" s="69"/>
      <c r="L1891" s="69"/>
      <c r="M1891" s="69"/>
      <c r="N1891" s="69"/>
      <c r="O1891" s="69"/>
      <c r="P1891" s="69"/>
      <c r="Q1891" s="69"/>
      <c r="R1891" s="69"/>
    </row>
    <row r="1892" spans="1:18" ht="52.8" hidden="1">
      <c r="A1892" s="16" t="s">
        <v>403</v>
      </c>
      <c r="B1892" s="14">
        <v>793</v>
      </c>
      <c r="C1892" s="15" t="s">
        <v>69</v>
      </c>
      <c r="D1892" s="15" t="s">
        <v>303</v>
      </c>
      <c r="E1892" s="15" t="s">
        <v>402</v>
      </c>
      <c r="F1892" s="15"/>
      <c r="G1892" s="70">
        <f>G1893</f>
        <v>0</v>
      </c>
      <c r="H1892" s="70">
        <f t="shared" ref="H1892:I1892" si="495">H1893</f>
        <v>0</v>
      </c>
      <c r="I1892" s="70">
        <f t="shared" si="495"/>
        <v>0</v>
      </c>
      <c r="J1892" s="172"/>
      <c r="K1892" s="69"/>
      <c r="L1892" s="69"/>
      <c r="M1892" s="69"/>
      <c r="N1892" s="69"/>
      <c r="O1892" s="69"/>
      <c r="P1892" s="69"/>
      <c r="Q1892" s="69"/>
      <c r="R1892" s="69"/>
    </row>
    <row r="1893" spans="1:18" ht="26.4" hidden="1">
      <c r="A1893" s="16" t="s">
        <v>37</v>
      </c>
      <c r="B1893" s="14">
        <v>793</v>
      </c>
      <c r="C1893" s="15" t="s">
        <v>69</v>
      </c>
      <c r="D1893" s="15" t="s">
        <v>303</v>
      </c>
      <c r="E1893" s="15" t="s">
        <v>402</v>
      </c>
      <c r="F1893" s="15" t="s">
        <v>36</v>
      </c>
      <c r="G1893" s="70">
        <f>G1894</f>
        <v>0</v>
      </c>
      <c r="H1893" s="70">
        <f t="shared" ref="H1893:I1893" si="496">H1894</f>
        <v>0</v>
      </c>
      <c r="I1893" s="70">
        <f t="shared" si="496"/>
        <v>0</v>
      </c>
      <c r="J1893" s="172"/>
      <c r="K1893" s="69"/>
      <c r="L1893" s="69"/>
      <c r="M1893" s="69"/>
      <c r="N1893" s="69"/>
      <c r="O1893" s="69"/>
      <c r="P1893" s="69"/>
      <c r="Q1893" s="69"/>
      <c r="R1893" s="69"/>
    </row>
    <row r="1894" spans="1:18" ht="26.4" hidden="1">
      <c r="A1894" s="16" t="s">
        <v>37</v>
      </c>
      <c r="B1894" s="14">
        <v>793</v>
      </c>
      <c r="C1894" s="15" t="s">
        <v>69</v>
      </c>
      <c r="D1894" s="15" t="s">
        <v>303</v>
      </c>
      <c r="E1894" s="15" t="s">
        <v>402</v>
      </c>
      <c r="F1894" s="15" t="s">
        <v>38</v>
      </c>
      <c r="G1894" s="70"/>
      <c r="H1894" s="70"/>
      <c r="I1894" s="70"/>
      <c r="J1894" s="332"/>
      <c r="K1894" s="69"/>
      <c r="L1894" s="69"/>
      <c r="M1894" s="69"/>
      <c r="N1894" s="69"/>
      <c r="O1894" s="69"/>
      <c r="P1894" s="69"/>
      <c r="Q1894" s="69"/>
      <c r="R1894" s="69"/>
    </row>
    <row r="1895" spans="1:18" ht="46.5" hidden="1" customHeight="1">
      <c r="A1895" s="57" t="s">
        <v>472</v>
      </c>
      <c r="B1895" s="14">
        <v>793</v>
      </c>
      <c r="C1895" s="15" t="s">
        <v>69</v>
      </c>
      <c r="D1895" s="15" t="s">
        <v>303</v>
      </c>
      <c r="E1895" s="15" t="s">
        <v>747</v>
      </c>
      <c r="F1895" s="15"/>
      <c r="G1895" s="70">
        <f>G1896</f>
        <v>0</v>
      </c>
      <c r="H1895" s="70">
        <f t="shared" ref="H1895:I1895" si="497">H1896</f>
        <v>0</v>
      </c>
      <c r="I1895" s="70">
        <f t="shared" si="497"/>
        <v>0</v>
      </c>
      <c r="J1895" s="172"/>
      <c r="K1895" s="69"/>
      <c r="L1895" s="69"/>
      <c r="M1895" s="69"/>
      <c r="N1895" s="69"/>
      <c r="O1895" s="69"/>
      <c r="P1895" s="69"/>
      <c r="Q1895" s="69"/>
      <c r="R1895" s="69"/>
    </row>
    <row r="1896" spans="1:18" hidden="1">
      <c r="A1896" s="16" t="s">
        <v>316</v>
      </c>
      <c r="B1896" s="14">
        <v>793</v>
      </c>
      <c r="C1896" s="15" t="s">
        <v>69</v>
      </c>
      <c r="D1896" s="15" t="s">
        <v>303</v>
      </c>
      <c r="E1896" s="15" t="s">
        <v>747</v>
      </c>
      <c r="F1896" s="15" t="s">
        <v>36</v>
      </c>
      <c r="G1896" s="70">
        <f>G1897</f>
        <v>0</v>
      </c>
      <c r="H1896" s="70">
        <f>H1897</f>
        <v>0</v>
      </c>
      <c r="I1896" s="70">
        <f>I1897</f>
        <v>0</v>
      </c>
      <c r="J1896" s="172"/>
      <c r="K1896" s="69"/>
      <c r="L1896" s="69"/>
      <c r="M1896" s="69"/>
      <c r="N1896" s="69"/>
      <c r="O1896" s="69"/>
      <c r="P1896" s="69"/>
      <c r="Q1896" s="69"/>
      <c r="R1896" s="69"/>
    </row>
    <row r="1897" spans="1:18" ht="26.4" hidden="1">
      <c r="A1897" s="16" t="s">
        <v>37</v>
      </c>
      <c r="B1897" s="14">
        <v>793</v>
      </c>
      <c r="C1897" s="15" t="s">
        <v>69</v>
      </c>
      <c r="D1897" s="15" t="s">
        <v>303</v>
      </c>
      <c r="E1897" s="15" t="s">
        <v>747</v>
      </c>
      <c r="F1897" s="15" t="s">
        <v>38</v>
      </c>
      <c r="G1897" s="70"/>
      <c r="H1897" s="70"/>
      <c r="I1897" s="70"/>
      <c r="J1897" s="172"/>
      <c r="K1897" s="69"/>
      <c r="L1897" s="69"/>
      <c r="M1897" s="69"/>
      <c r="N1897" s="69"/>
      <c r="O1897" s="69"/>
      <c r="P1897" s="69"/>
      <c r="Q1897" s="69"/>
      <c r="R1897" s="69"/>
    </row>
    <row r="1898" spans="1:18" ht="51.75" customHeight="1">
      <c r="A1898" s="16" t="s">
        <v>1141</v>
      </c>
      <c r="B1898" s="14">
        <v>793</v>
      </c>
      <c r="C1898" s="15" t="s">
        <v>69</v>
      </c>
      <c r="D1898" s="15" t="s">
        <v>303</v>
      </c>
      <c r="E1898" s="15" t="s">
        <v>251</v>
      </c>
      <c r="F1898" s="15"/>
      <c r="G1898" s="70">
        <f t="shared" ref="G1898:I1900" si="498">G1899</f>
        <v>57551.71</v>
      </c>
      <c r="H1898" s="70">
        <f t="shared" si="498"/>
        <v>130000</v>
      </c>
      <c r="I1898" s="70">
        <f t="shared" si="498"/>
        <v>130000</v>
      </c>
      <c r="J1898" s="172"/>
      <c r="K1898" s="69"/>
      <c r="L1898" s="69"/>
      <c r="M1898" s="69"/>
      <c r="N1898" s="69"/>
      <c r="O1898" s="69"/>
      <c r="P1898" s="69"/>
      <c r="Q1898" s="69"/>
      <c r="R1898" s="69"/>
    </row>
    <row r="1899" spans="1:18" ht="39.6">
      <c r="A1899" s="16" t="s">
        <v>329</v>
      </c>
      <c r="B1899" s="14">
        <v>793</v>
      </c>
      <c r="C1899" s="15" t="s">
        <v>69</v>
      </c>
      <c r="D1899" s="15" t="s">
        <v>303</v>
      </c>
      <c r="E1899" s="15" t="s">
        <v>252</v>
      </c>
      <c r="F1899" s="15"/>
      <c r="G1899" s="70">
        <f t="shared" si="498"/>
        <v>57551.71</v>
      </c>
      <c r="H1899" s="70">
        <f t="shared" si="498"/>
        <v>130000</v>
      </c>
      <c r="I1899" s="70">
        <f t="shared" si="498"/>
        <v>130000</v>
      </c>
      <c r="J1899" s="172"/>
      <c r="K1899" s="69"/>
      <c r="L1899" s="69"/>
      <c r="M1899" s="69"/>
      <c r="N1899" s="69"/>
      <c r="O1899" s="69"/>
      <c r="P1899" s="69"/>
      <c r="Q1899" s="69"/>
      <c r="R1899" s="69"/>
    </row>
    <row r="1900" spans="1:18" ht="26.4">
      <c r="A1900" s="16" t="s">
        <v>439</v>
      </c>
      <c r="B1900" s="14">
        <v>793</v>
      </c>
      <c r="C1900" s="15" t="s">
        <v>69</v>
      </c>
      <c r="D1900" s="15" t="s">
        <v>303</v>
      </c>
      <c r="E1900" s="15" t="s">
        <v>252</v>
      </c>
      <c r="F1900" s="15" t="s">
        <v>36</v>
      </c>
      <c r="G1900" s="70">
        <f t="shared" si="498"/>
        <v>57551.71</v>
      </c>
      <c r="H1900" s="70">
        <f t="shared" si="498"/>
        <v>130000</v>
      </c>
      <c r="I1900" s="70">
        <f t="shared" si="498"/>
        <v>130000</v>
      </c>
      <c r="J1900" s="172"/>
      <c r="K1900" s="69"/>
      <c r="L1900" s="69"/>
      <c r="M1900" s="69"/>
      <c r="N1900" s="69"/>
      <c r="O1900" s="69"/>
      <c r="P1900" s="69"/>
      <c r="Q1900" s="69"/>
      <c r="R1900" s="69"/>
    </row>
    <row r="1901" spans="1:18" ht="31.5" customHeight="1">
      <c r="A1901" s="16" t="s">
        <v>37</v>
      </c>
      <c r="B1901" s="14">
        <v>793</v>
      </c>
      <c r="C1901" s="15" t="s">
        <v>69</v>
      </c>
      <c r="D1901" s="15" t="s">
        <v>303</v>
      </c>
      <c r="E1901" s="15" t="s">
        <v>252</v>
      </c>
      <c r="F1901" s="15" t="s">
        <v>38</v>
      </c>
      <c r="G1901" s="70">
        <f>130000-40000-32448.29</f>
        <v>57551.71</v>
      </c>
      <c r="H1901" s="70">
        <v>130000</v>
      </c>
      <c r="I1901" s="70">
        <v>130000</v>
      </c>
      <c r="J1901" s="172"/>
      <c r="K1901" s="69"/>
      <c r="L1901" s="69"/>
      <c r="M1901" s="69"/>
      <c r="N1901" s="69"/>
      <c r="O1901" s="69"/>
      <c r="P1901" s="69"/>
      <c r="Q1901" s="69"/>
      <c r="R1901" s="69"/>
    </row>
    <row r="1902" spans="1:18">
      <c r="A1902" s="11" t="s">
        <v>85</v>
      </c>
      <c r="B1902" s="6">
        <v>793</v>
      </c>
      <c r="C1902" s="7" t="s">
        <v>53</v>
      </c>
      <c r="D1902" s="7"/>
      <c r="E1902" s="7"/>
      <c r="F1902" s="7"/>
      <c r="G1902" s="38">
        <f>G1908+G2016+G1932+G1903</f>
        <v>78997289.969999999</v>
      </c>
      <c r="H1902" s="38">
        <f>H1908+H2016+H1932+H1903</f>
        <v>57275588</v>
      </c>
      <c r="I1902" s="38">
        <f>I1908+I2016+I1932+I1903</f>
        <v>58030055</v>
      </c>
      <c r="J1902" s="328">
        <f>G1913+G1982+G1986+G1990+G1994+G2049+G2052+G2066+G2080</f>
        <v>15695975</v>
      </c>
      <c r="K1902" s="328"/>
      <c r="L1902" s="328"/>
      <c r="M1902" s="328"/>
      <c r="N1902" s="328"/>
      <c r="O1902" s="328"/>
      <c r="P1902" s="241"/>
      <c r="Q1902" s="241"/>
      <c r="R1902" s="69"/>
    </row>
    <row r="1903" spans="1:18" hidden="1">
      <c r="A1903" s="162" t="s">
        <v>753</v>
      </c>
      <c r="B1903" s="49">
        <v>793</v>
      </c>
      <c r="C1903" s="66" t="s">
        <v>53</v>
      </c>
      <c r="D1903" s="66" t="s">
        <v>167</v>
      </c>
      <c r="E1903" s="7"/>
      <c r="F1903" s="7"/>
      <c r="G1903" s="29">
        <f>G1905</f>
        <v>0</v>
      </c>
      <c r="H1903" s="29">
        <f t="shared" ref="H1903:I1903" si="499">H1905</f>
        <v>0</v>
      </c>
      <c r="I1903" s="29">
        <f t="shared" si="499"/>
        <v>0</v>
      </c>
      <c r="J1903" s="333"/>
      <c r="K1903" s="69"/>
      <c r="L1903" s="69"/>
      <c r="M1903" s="69"/>
      <c r="N1903" s="69"/>
      <c r="O1903" s="69"/>
      <c r="P1903" s="69"/>
      <c r="Q1903" s="69"/>
      <c r="R1903" s="69"/>
    </row>
    <row r="1904" spans="1:18" ht="30" hidden="1" customHeight="1">
      <c r="A1904" s="37" t="s">
        <v>679</v>
      </c>
      <c r="B1904" s="14">
        <v>793</v>
      </c>
      <c r="C1904" s="15" t="s">
        <v>53</v>
      </c>
      <c r="D1904" s="15" t="s">
        <v>87</v>
      </c>
      <c r="E1904" s="14" t="s">
        <v>237</v>
      </c>
      <c r="F1904" s="14"/>
      <c r="G1904" s="70">
        <f>G1905</f>
        <v>0</v>
      </c>
      <c r="H1904" s="70">
        <f t="shared" ref="H1904:I1904" si="500">H1905</f>
        <v>0</v>
      </c>
      <c r="I1904" s="70">
        <f t="shared" si="500"/>
        <v>0</v>
      </c>
      <c r="J1904" s="172"/>
      <c r="K1904" s="69"/>
      <c r="L1904" s="69"/>
      <c r="M1904" s="69"/>
      <c r="N1904" s="69"/>
      <c r="O1904" s="69"/>
      <c r="P1904" s="69"/>
      <c r="Q1904" s="69"/>
      <c r="R1904" s="69"/>
    </row>
    <row r="1905" spans="1:18" ht="40.5" hidden="1" customHeight="1">
      <c r="A1905" s="16" t="s">
        <v>752</v>
      </c>
      <c r="B1905" s="14">
        <v>793</v>
      </c>
      <c r="C1905" s="15" t="s">
        <v>53</v>
      </c>
      <c r="D1905" s="15" t="s">
        <v>167</v>
      </c>
      <c r="E1905" s="14" t="s">
        <v>614</v>
      </c>
      <c r="F1905" s="14"/>
      <c r="G1905" s="70">
        <f>G1906</f>
        <v>0</v>
      </c>
      <c r="H1905" s="70">
        <f>H1907</f>
        <v>0</v>
      </c>
      <c r="I1905" s="70">
        <f>I1907</f>
        <v>0</v>
      </c>
      <c r="J1905" s="172"/>
      <c r="K1905" s="69"/>
      <c r="L1905" s="69"/>
      <c r="M1905" s="69"/>
      <c r="N1905" s="69"/>
      <c r="O1905" s="69"/>
      <c r="P1905" s="69"/>
      <c r="Q1905" s="69"/>
      <c r="R1905" s="69"/>
    </row>
    <row r="1906" spans="1:18" hidden="1">
      <c r="A1906" s="16" t="s">
        <v>62</v>
      </c>
      <c r="B1906" s="14">
        <v>793</v>
      </c>
      <c r="C1906" s="15" t="s">
        <v>53</v>
      </c>
      <c r="D1906" s="15" t="s">
        <v>167</v>
      </c>
      <c r="E1906" s="14" t="s">
        <v>614</v>
      </c>
      <c r="F1906" s="14">
        <v>800</v>
      </c>
      <c r="G1906" s="70">
        <f t="shared" ref="G1906:I1906" si="501">G1907</f>
        <v>0</v>
      </c>
      <c r="H1906" s="70">
        <f t="shared" si="501"/>
        <v>0</v>
      </c>
      <c r="I1906" s="70">
        <f t="shared" si="501"/>
        <v>0</v>
      </c>
      <c r="J1906" s="172"/>
      <c r="K1906" s="69"/>
      <c r="L1906" s="69"/>
      <c r="M1906" s="69"/>
      <c r="N1906" s="69"/>
      <c r="O1906" s="69"/>
      <c r="P1906" s="69"/>
      <c r="Q1906" s="69"/>
      <c r="R1906" s="69"/>
    </row>
    <row r="1907" spans="1:18" ht="48" hidden="1" customHeight="1">
      <c r="A1907" s="16" t="s">
        <v>419</v>
      </c>
      <c r="B1907" s="14">
        <v>793</v>
      </c>
      <c r="C1907" s="15" t="s">
        <v>53</v>
      </c>
      <c r="D1907" s="15" t="s">
        <v>167</v>
      </c>
      <c r="E1907" s="14" t="s">
        <v>614</v>
      </c>
      <c r="F1907" s="14">
        <v>810</v>
      </c>
      <c r="G1907" s="70"/>
      <c r="H1907" s="8">
        <v>0</v>
      </c>
      <c r="I1907" s="8">
        <v>0</v>
      </c>
      <c r="J1907" s="332"/>
      <c r="K1907" s="69"/>
      <c r="L1907" s="69"/>
      <c r="M1907" s="69"/>
      <c r="N1907" s="69"/>
      <c r="O1907" s="69"/>
      <c r="P1907" s="69"/>
      <c r="Q1907" s="69"/>
      <c r="R1907" s="69"/>
    </row>
    <row r="1908" spans="1:18" s="46" customFormat="1" ht="16.5" customHeight="1">
      <c r="A1908" s="16" t="s">
        <v>334</v>
      </c>
      <c r="B1908" s="14">
        <v>793</v>
      </c>
      <c r="C1908" s="15" t="s">
        <v>53</v>
      </c>
      <c r="D1908" s="15" t="s">
        <v>43</v>
      </c>
      <c r="E1908" s="15"/>
      <c r="F1908" s="15"/>
      <c r="G1908" s="70">
        <f>G1910+G1909+G1923+G1920</f>
        <v>9528304.129999999</v>
      </c>
      <c r="H1908" s="70">
        <f t="shared" ref="H1908:I1908" si="502">H1910+H1909</f>
        <v>3300000</v>
      </c>
      <c r="I1908" s="70">
        <f t="shared" si="502"/>
        <v>2200000</v>
      </c>
      <c r="J1908" s="172"/>
      <c r="K1908" s="58"/>
      <c r="L1908" s="58"/>
      <c r="M1908" s="58"/>
      <c r="N1908" s="58"/>
      <c r="O1908" s="58"/>
      <c r="P1908" s="58"/>
      <c r="Q1908" s="58"/>
      <c r="R1908" s="58"/>
    </row>
    <row r="1909" spans="1:18" s="18" customFormat="1" ht="27" customHeight="1">
      <c r="A1909" s="16" t="s">
        <v>1131</v>
      </c>
      <c r="B1909" s="14">
        <v>793</v>
      </c>
      <c r="C1909" s="15" t="s">
        <v>53</v>
      </c>
      <c r="D1909" s="15" t="s">
        <v>43</v>
      </c>
      <c r="E1909" s="15" t="s">
        <v>229</v>
      </c>
      <c r="F1909" s="15"/>
      <c r="G1909" s="70">
        <f>G1910+G1911</f>
        <v>0</v>
      </c>
      <c r="H1909" s="70">
        <f t="shared" ref="H1909:I1909" si="503">H1910+H1911</f>
        <v>3300000</v>
      </c>
      <c r="I1909" s="70">
        <f t="shared" si="503"/>
        <v>2200000</v>
      </c>
      <c r="J1909" s="172"/>
      <c r="K1909" s="180"/>
      <c r="L1909" s="180"/>
      <c r="M1909" s="180"/>
      <c r="N1909" s="180"/>
      <c r="O1909" s="180"/>
      <c r="P1909" s="180"/>
      <c r="Q1909" s="180"/>
      <c r="R1909" s="180"/>
    </row>
    <row r="1910" spans="1:18" s="46" customFormat="1" ht="18" hidden="1" customHeight="1">
      <c r="A1910" s="16"/>
      <c r="B1910" s="14"/>
      <c r="C1910" s="15"/>
      <c r="D1910" s="15"/>
      <c r="E1910" s="15"/>
      <c r="F1910" s="15"/>
      <c r="G1910" s="70"/>
      <c r="H1910" s="70"/>
      <c r="I1910" s="70"/>
      <c r="J1910" s="172"/>
      <c r="K1910" s="58"/>
      <c r="L1910" s="58"/>
      <c r="M1910" s="58"/>
      <c r="N1910" s="58"/>
      <c r="O1910" s="58"/>
      <c r="P1910" s="58"/>
      <c r="Q1910" s="58"/>
      <c r="R1910" s="58"/>
    </row>
    <row r="1911" spans="1:18" s="46" customFormat="1" ht="26.25" customHeight="1">
      <c r="A1911" s="16" t="s">
        <v>330</v>
      </c>
      <c r="B1911" s="14">
        <v>793</v>
      </c>
      <c r="C1911" s="15" t="s">
        <v>53</v>
      </c>
      <c r="D1911" s="15" t="s">
        <v>43</v>
      </c>
      <c r="E1911" s="15" t="s">
        <v>1253</v>
      </c>
      <c r="F1911" s="15"/>
      <c r="G1911" s="70">
        <f t="shared" ref="G1911:I1918" si="504">G1912</f>
        <v>0</v>
      </c>
      <c r="H1911" s="70">
        <f t="shared" si="504"/>
        <v>3300000</v>
      </c>
      <c r="I1911" s="70">
        <f t="shared" si="504"/>
        <v>2200000</v>
      </c>
      <c r="J1911" s="172"/>
      <c r="K1911" s="58"/>
      <c r="L1911" s="58"/>
      <c r="M1911" s="58"/>
      <c r="N1911" s="58"/>
      <c r="O1911" s="58"/>
      <c r="P1911" s="58"/>
      <c r="Q1911" s="58"/>
      <c r="R1911" s="58"/>
    </row>
    <row r="1912" spans="1:18" s="46" customFormat="1" ht="27.75" customHeight="1">
      <c r="A1912" s="16" t="s">
        <v>439</v>
      </c>
      <c r="B1912" s="14">
        <v>793</v>
      </c>
      <c r="C1912" s="15" t="s">
        <v>53</v>
      </c>
      <c r="D1912" s="15" t="s">
        <v>43</v>
      </c>
      <c r="E1912" s="15" t="s">
        <v>1253</v>
      </c>
      <c r="F1912" s="15" t="s">
        <v>36</v>
      </c>
      <c r="G1912" s="70">
        <f t="shared" si="504"/>
        <v>0</v>
      </c>
      <c r="H1912" s="70">
        <f t="shared" si="504"/>
        <v>3300000</v>
      </c>
      <c r="I1912" s="70">
        <f t="shared" si="504"/>
        <v>2200000</v>
      </c>
      <c r="J1912" s="172"/>
      <c r="K1912" s="58"/>
      <c r="L1912" s="58"/>
      <c r="M1912" s="58"/>
      <c r="N1912" s="58"/>
      <c r="O1912" s="58"/>
      <c r="P1912" s="58"/>
      <c r="Q1912" s="58"/>
      <c r="R1912" s="58"/>
    </row>
    <row r="1913" spans="1:18" s="46" customFormat="1" ht="31.5" customHeight="1">
      <c r="A1913" s="16" t="s">
        <v>37</v>
      </c>
      <c r="B1913" s="14">
        <v>793</v>
      </c>
      <c r="C1913" s="15" t="s">
        <v>53</v>
      </c>
      <c r="D1913" s="15" t="s">
        <v>43</v>
      </c>
      <c r="E1913" s="15" t="s">
        <v>1253</v>
      </c>
      <c r="F1913" s="15" t="s">
        <v>38</v>
      </c>
      <c r="G1913" s="70">
        <v>0</v>
      </c>
      <c r="H1913" s="70">
        <f>2200000+1100000</f>
        <v>3300000</v>
      </c>
      <c r="I1913" s="70">
        <v>2200000</v>
      </c>
      <c r="J1913" s="172"/>
      <c r="K1913" s="58"/>
      <c r="L1913" s="58"/>
      <c r="M1913" s="58"/>
      <c r="N1913" s="58"/>
      <c r="O1913" s="58"/>
      <c r="P1913" s="58"/>
      <c r="Q1913" s="58"/>
      <c r="R1913" s="58"/>
    </row>
    <row r="1914" spans="1:18" s="46" customFormat="1" ht="75" hidden="1" customHeight="1">
      <c r="A1914" s="16" t="s">
        <v>673</v>
      </c>
      <c r="B1914" s="14">
        <v>793</v>
      </c>
      <c r="C1914" s="15" t="s">
        <v>53</v>
      </c>
      <c r="D1914" s="15" t="s">
        <v>43</v>
      </c>
      <c r="E1914" s="15" t="s">
        <v>672</v>
      </c>
      <c r="F1914" s="15"/>
      <c r="G1914" s="70">
        <f t="shared" si="504"/>
        <v>0</v>
      </c>
      <c r="H1914" s="70">
        <f t="shared" si="504"/>
        <v>0</v>
      </c>
      <c r="I1914" s="70">
        <f t="shared" si="504"/>
        <v>0</v>
      </c>
      <c r="J1914" s="172"/>
      <c r="K1914" s="58"/>
      <c r="L1914" s="58"/>
      <c r="M1914" s="58"/>
      <c r="N1914" s="58"/>
      <c r="O1914" s="58"/>
      <c r="P1914" s="58"/>
      <c r="Q1914" s="58"/>
      <c r="R1914" s="58"/>
    </row>
    <row r="1915" spans="1:18" s="46" customFormat="1" ht="27.75" hidden="1" customHeight="1">
      <c r="A1915" s="16" t="s">
        <v>439</v>
      </c>
      <c r="B1915" s="14">
        <v>793</v>
      </c>
      <c r="C1915" s="15" t="s">
        <v>53</v>
      </c>
      <c r="D1915" s="15" t="s">
        <v>43</v>
      </c>
      <c r="E1915" s="15" t="s">
        <v>672</v>
      </c>
      <c r="F1915" s="15" t="s">
        <v>63</v>
      </c>
      <c r="G1915" s="70">
        <f t="shared" si="504"/>
        <v>0</v>
      </c>
      <c r="H1915" s="70">
        <f t="shared" si="504"/>
        <v>0</v>
      </c>
      <c r="I1915" s="70">
        <f t="shared" si="504"/>
        <v>0</v>
      </c>
      <c r="J1915" s="172"/>
      <c r="K1915" s="58"/>
      <c r="L1915" s="58"/>
      <c r="M1915" s="58"/>
      <c r="N1915" s="58"/>
      <c r="O1915" s="58"/>
      <c r="P1915" s="58"/>
      <c r="Q1915" s="58"/>
      <c r="R1915" s="58"/>
    </row>
    <row r="1916" spans="1:18" s="46" customFormat="1" ht="31.5" hidden="1" customHeight="1">
      <c r="A1916" s="16" t="s">
        <v>37</v>
      </c>
      <c r="B1916" s="14">
        <v>793</v>
      </c>
      <c r="C1916" s="15" t="s">
        <v>53</v>
      </c>
      <c r="D1916" s="15" t="s">
        <v>43</v>
      </c>
      <c r="E1916" s="15" t="s">
        <v>672</v>
      </c>
      <c r="F1916" s="15" t="s">
        <v>333</v>
      </c>
      <c r="G1916" s="70"/>
      <c r="H1916" s="70"/>
      <c r="I1916" s="70"/>
      <c r="J1916" s="172"/>
      <c r="K1916" s="58"/>
      <c r="L1916" s="58"/>
      <c r="M1916" s="58"/>
      <c r="N1916" s="58"/>
      <c r="O1916" s="58"/>
      <c r="P1916" s="58"/>
      <c r="Q1916" s="58"/>
      <c r="R1916" s="58"/>
    </row>
    <row r="1917" spans="1:18" s="46" customFormat="1" ht="75" hidden="1" customHeight="1">
      <c r="A1917" s="16" t="s">
        <v>746</v>
      </c>
      <c r="B1917" s="14">
        <v>793</v>
      </c>
      <c r="C1917" s="15" t="s">
        <v>53</v>
      </c>
      <c r="D1917" s="15" t="s">
        <v>43</v>
      </c>
      <c r="E1917" s="15" t="s">
        <v>745</v>
      </c>
      <c r="F1917" s="15"/>
      <c r="G1917" s="70">
        <f t="shared" si="504"/>
        <v>0</v>
      </c>
      <c r="H1917" s="70">
        <f t="shared" si="504"/>
        <v>0</v>
      </c>
      <c r="I1917" s="70">
        <f t="shared" si="504"/>
        <v>0</v>
      </c>
      <c r="J1917" s="172"/>
      <c r="K1917" s="58"/>
      <c r="L1917" s="58"/>
      <c r="M1917" s="58"/>
      <c r="N1917" s="58"/>
      <c r="O1917" s="58"/>
      <c r="P1917" s="58"/>
      <c r="Q1917" s="58"/>
      <c r="R1917" s="58"/>
    </row>
    <row r="1918" spans="1:18" s="46" customFormat="1" ht="27.75" hidden="1" customHeight="1">
      <c r="A1918" s="16" t="s">
        <v>439</v>
      </c>
      <c r="B1918" s="14">
        <v>793</v>
      </c>
      <c r="C1918" s="15" t="s">
        <v>53</v>
      </c>
      <c r="D1918" s="15" t="s">
        <v>43</v>
      </c>
      <c r="E1918" s="15" t="s">
        <v>745</v>
      </c>
      <c r="F1918" s="15" t="s">
        <v>36</v>
      </c>
      <c r="G1918" s="70">
        <f t="shared" si="504"/>
        <v>0</v>
      </c>
      <c r="H1918" s="70">
        <f t="shared" si="504"/>
        <v>0</v>
      </c>
      <c r="I1918" s="70">
        <f t="shared" si="504"/>
        <v>0</v>
      </c>
      <c r="J1918" s="172"/>
      <c r="K1918" s="58"/>
      <c r="L1918" s="58"/>
      <c r="M1918" s="58"/>
      <c r="N1918" s="58"/>
      <c r="O1918" s="58"/>
      <c r="P1918" s="58"/>
      <c r="Q1918" s="58"/>
      <c r="R1918" s="58"/>
    </row>
    <row r="1919" spans="1:18" s="46" customFormat="1" ht="31.5" hidden="1" customHeight="1">
      <c r="A1919" s="16" t="s">
        <v>37</v>
      </c>
      <c r="B1919" s="14">
        <v>793</v>
      </c>
      <c r="C1919" s="15" t="s">
        <v>53</v>
      </c>
      <c r="D1919" s="15" t="s">
        <v>43</v>
      </c>
      <c r="E1919" s="15" t="s">
        <v>745</v>
      </c>
      <c r="F1919" s="15" t="s">
        <v>38</v>
      </c>
      <c r="G1919" s="70"/>
      <c r="H1919" s="70"/>
      <c r="I1919" s="70"/>
      <c r="J1919" s="172"/>
      <c r="K1919" s="58"/>
      <c r="L1919" s="58"/>
      <c r="M1919" s="58"/>
      <c r="N1919" s="58"/>
      <c r="O1919" s="58"/>
      <c r="P1919" s="58"/>
      <c r="Q1919" s="58"/>
      <c r="R1919" s="58"/>
    </row>
    <row r="1920" spans="1:18" s="46" customFormat="1" ht="42" customHeight="1">
      <c r="A1920" s="16" t="s">
        <v>999</v>
      </c>
      <c r="B1920" s="14">
        <v>793</v>
      </c>
      <c r="C1920" s="15" t="s">
        <v>53</v>
      </c>
      <c r="D1920" s="15" t="s">
        <v>43</v>
      </c>
      <c r="E1920" s="15" t="s">
        <v>1330</v>
      </c>
      <c r="F1920" s="15"/>
      <c r="G1920" s="70">
        <f>G1921</f>
        <v>9505828.3399999999</v>
      </c>
      <c r="H1920" s="70">
        <f t="shared" ref="H1920:I1921" si="505">H1921</f>
        <v>0</v>
      </c>
      <c r="I1920" s="70">
        <f t="shared" si="505"/>
        <v>0</v>
      </c>
      <c r="J1920" s="172"/>
      <c r="K1920" s="58"/>
      <c r="L1920" s="58"/>
      <c r="M1920" s="58"/>
      <c r="N1920" s="58"/>
      <c r="O1920" s="58"/>
      <c r="P1920" s="58"/>
      <c r="Q1920" s="58"/>
      <c r="R1920" s="58"/>
    </row>
    <row r="1921" spans="1:20" s="46" customFormat="1" ht="31.5" customHeight="1">
      <c r="A1921" s="16" t="s">
        <v>439</v>
      </c>
      <c r="B1921" s="14">
        <v>793</v>
      </c>
      <c r="C1921" s="15" t="s">
        <v>53</v>
      </c>
      <c r="D1921" s="15" t="s">
        <v>43</v>
      </c>
      <c r="E1921" s="15" t="s">
        <v>1330</v>
      </c>
      <c r="F1921" s="15" t="s">
        <v>36</v>
      </c>
      <c r="G1921" s="70">
        <f>G1922</f>
        <v>9505828.3399999999</v>
      </c>
      <c r="H1921" s="70">
        <f t="shared" si="505"/>
        <v>0</v>
      </c>
      <c r="I1921" s="70">
        <f t="shared" si="505"/>
        <v>0</v>
      </c>
      <c r="J1921" s="172"/>
      <c r="K1921" s="58"/>
      <c r="L1921" s="58"/>
      <c r="M1921" s="58"/>
      <c r="N1921" s="58"/>
      <c r="O1921" s="58"/>
      <c r="P1921" s="58"/>
      <c r="Q1921" s="58"/>
      <c r="R1921" s="58"/>
    </row>
    <row r="1922" spans="1:20" s="46" customFormat="1" ht="31.5" customHeight="1">
      <c r="A1922" s="16" t="s">
        <v>37</v>
      </c>
      <c r="B1922" s="14">
        <v>793</v>
      </c>
      <c r="C1922" s="15" t="s">
        <v>53</v>
      </c>
      <c r="D1922" s="15" t="s">
        <v>43</v>
      </c>
      <c r="E1922" s="15" t="s">
        <v>1330</v>
      </c>
      <c r="F1922" s="15" t="s">
        <v>38</v>
      </c>
      <c r="G1922" s="70">
        <v>9505828.3399999999</v>
      </c>
      <c r="H1922" s="70">
        <v>0</v>
      </c>
      <c r="I1922" s="70">
        <v>0</v>
      </c>
      <c r="J1922" s="172"/>
      <c r="K1922" s="58"/>
      <c r="L1922" s="58"/>
      <c r="M1922" s="58"/>
      <c r="N1922" s="58"/>
      <c r="O1922" s="58"/>
      <c r="P1922" s="58"/>
      <c r="Q1922" s="58"/>
      <c r="R1922" s="58"/>
    </row>
    <row r="1923" spans="1:20" s="146" customFormat="1" ht="26.25" customHeight="1">
      <c r="A1923" s="16" t="s">
        <v>158</v>
      </c>
      <c r="B1923" s="145">
        <v>793</v>
      </c>
      <c r="C1923" s="15" t="s">
        <v>53</v>
      </c>
      <c r="D1923" s="15" t="s">
        <v>43</v>
      </c>
      <c r="E1923" s="143" t="s">
        <v>204</v>
      </c>
      <c r="F1923" s="84"/>
      <c r="G1923" s="87">
        <f>G1927</f>
        <v>22475.79</v>
      </c>
      <c r="H1923" s="87">
        <f t="shared" ref="H1923:I1923" si="506">H1927</f>
        <v>0</v>
      </c>
      <c r="I1923" s="87">
        <f t="shared" si="506"/>
        <v>0</v>
      </c>
      <c r="J1923" s="148">
        <v>1487719</v>
      </c>
      <c r="P1923" s="148"/>
      <c r="Q1923" s="148"/>
      <c r="R1923" s="148"/>
      <c r="S1923" s="148"/>
      <c r="T1923" s="148"/>
    </row>
    <row r="1924" spans="1:20" s="122" customFormat="1" ht="51.75" hidden="1" customHeight="1">
      <c r="A1924" s="16" t="s">
        <v>612</v>
      </c>
      <c r="B1924" s="145">
        <v>793</v>
      </c>
      <c r="C1924" s="15" t="s">
        <v>53</v>
      </c>
      <c r="D1924" s="15" t="s">
        <v>43</v>
      </c>
      <c r="E1924" s="84" t="s">
        <v>613</v>
      </c>
      <c r="F1924" s="84"/>
      <c r="G1924" s="87">
        <f t="shared" ref="G1924:I1925" si="507">G1925</f>
        <v>1916661.86</v>
      </c>
      <c r="H1924" s="87">
        <f t="shared" si="507"/>
        <v>0</v>
      </c>
      <c r="I1924" s="87">
        <f t="shared" si="507"/>
        <v>0</v>
      </c>
      <c r="J1924" s="121"/>
      <c r="P1924" s="121"/>
      <c r="Q1924" s="121"/>
      <c r="R1924" s="121"/>
      <c r="S1924" s="121"/>
      <c r="T1924" s="121"/>
    </row>
    <row r="1925" spans="1:20" s="122" customFormat="1" ht="26.25" hidden="1" customHeight="1">
      <c r="A1925" s="16" t="s">
        <v>316</v>
      </c>
      <c r="B1925" s="145">
        <v>793</v>
      </c>
      <c r="C1925" s="15" t="s">
        <v>53</v>
      </c>
      <c r="D1925" s="15" t="s">
        <v>43</v>
      </c>
      <c r="E1925" s="84" t="s">
        <v>613</v>
      </c>
      <c r="F1925" s="84" t="s">
        <v>36</v>
      </c>
      <c r="G1925" s="87">
        <f t="shared" si="507"/>
        <v>1916661.86</v>
      </c>
      <c r="H1925" s="87">
        <f t="shared" si="507"/>
        <v>0</v>
      </c>
      <c r="I1925" s="87">
        <f t="shared" si="507"/>
        <v>0</v>
      </c>
      <c r="J1925" s="121"/>
      <c r="P1925" s="121"/>
      <c r="Q1925" s="121"/>
      <c r="R1925" s="121"/>
      <c r="S1925" s="121"/>
      <c r="T1925" s="121"/>
    </row>
    <row r="1926" spans="1:20" s="122" customFormat="1" ht="26.25" hidden="1" customHeight="1">
      <c r="A1926" s="16" t="s">
        <v>37</v>
      </c>
      <c r="B1926" s="145">
        <v>793</v>
      </c>
      <c r="C1926" s="15" t="s">
        <v>53</v>
      </c>
      <c r="D1926" s="15" t="s">
        <v>43</v>
      </c>
      <c r="E1926" s="84" t="s">
        <v>613</v>
      </c>
      <c r="F1926" s="84" t="s">
        <v>38</v>
      </c>
      <c r="G1926" s="87">
        <f>прил4!G1525</f>
        <v>1916661.86</v>
      </c>
      <c r="H1926" s="87"/>
      <c r="I1926" s="87"/>
      <c r="J1926" s="121"/>
      <c r="P1926" s="121"/>
      <c r="Q1926" s="121"/>
      <c r="R1926" s="121"/>
      <c r="S1926" s="121"/>
      <c r="T1926" s="121"/>
    </row>
    <row r="1927" spans="1:20" ht="39" customHeight="1">
      <c r="A1927" s="16" t="s">
        <v>1271</v>
      </c>
      <c r="B1927" s="14">
        <v>793</v>
      </c>
      <c r="C1927" s="15" t="s">
        <v>53</v>
      </c>
      <c r="D1927" s="15" t="s">
        <v>43</v>
      </c>
      <c r="E1927" s="15" t="s">
        <v>1274</v>
      </c>
      <c r="F1927" s="15"/>
      <c r="G1927" s="70">
        <f>G1928+G1930</f>
        <v>22475.79</v>
      </c>
      <c r="H1927" s="70">
        <f t="shared" ref="H1927:I1927" si="508">H1928+H1930</f>
        <v>0</v>
      </c>
      <c r="I1927" s="70">
        <f t="shared" si="508"/>
        <v>0</v>
      </c>
      <c r="J1927" s="2"/>
      <c r="K1927" s="1"/>
      <c r="L1927" s="1"/>
      <c r="M1927" s="1"/>
      <c r="N1927" s="1"/>
      <c r="O1927" s="1"/>
      <c r="P1927" s="2"/>
      <c r="Q1927" s="2"/>
      <c r="R1927" s="2"/>
      <c r="S1927" s="2"/>
      <c r="T1927" s="2"/>
    </row>
    <row r="1928" spans="1:20" ht="29.25" hidden="1" customHeight="1">
      <c r="A1928" s="16" t="s">
        <v>316</v>
      </c>
      <c r="B1928" s="15" t="s">
        <v>92</v>
      </c>
      <c r="C1928" s="15" t="s">
        <v>53</v>
      </c>
      <c r="D1928" s="15" t="s">
        <v>43</v>
      </c>
      <c r="E1928" s="15" t="s">
        <v>205</v>
      </c>
      <c r="F1928" s="15" t="s">
        <v>36</v>
      </c>
      <c r="G1928" s="70">
        <f>G1929</f>
        <v>0</v>
      </c>
      <c r="H1928" s="70"/>
      <c r="I1928" s="70"/>
      <c r="J1928" s="2"/>
      <c r="K1928" s="1"/>
      <c r="L1928" s="1"/>
      <c r="M1928" s="1"/>
      <c r="N1928" s="1"/>
      <c r="O1928" s="1"/>
      <c r="P1928" s="2"/>
      <c r="Q1928" s="2"/>
      <c r="R1928" s="2"/>
      <c r="S1928" s="2"/>
      <c r="T1928" s="2"/>
    </row>
    <row r="1929" spans="1:20" ht="36.75" hidden="1" customHeight="1">
      <c r="A1929" s="16" t="s">
        <v>37</v>
      </c>
      <c r="B1929" s="15" t="s">
        <v>92</v>
      </c>
      <c r="C1929" s="15" t="s">
        <v>53</v>
      </c>
      <c r="D1929" s="15" t="s">
        <v>43</v>
      </c>
      <c r="E1929" s="15" t="s">
        <v>205</v>
      </c>
      <c r="F1929" s="15" t="s">
        <v>38</v>
      </c>
      <c r="G1929" s="70">
        <f>прил4!G3150</f>
        <v>0</v>
      </c>
      <c r="H1929" s="70"/>
      <c r="I1929" s="70"/>
      <c r="J1929" s="2"/>
      <c r="K1929" s="1"/>
      <c r="L1929" s="1"/>
      <c r="M1929" s="1"/>
      <c r="N1929" s="1"/>
      <c r="O1929" s="1"/>
      <c r="P1929" s="2"/>
      <c r="Q1929" s="2"/>
      <c r="R1929" s="2"/>
      <c r="S1929" s="2"/>
      <c r="T1929" s="2"/>
    </row>
    <row r="1930" spans="1:20">
      <c r="A1930" s="16" t="s">
        <v>316</v>
      </c>
      <c r="B1930" s="14">
        <v>793</v>
      </c>
      <c r="C1930" s="15" t="s">
        <v>53</v>
      </c>
      <c r="D1930" s="15" t="s">
        <v>43</v>
      </c>
      <c r="E1930" s="15" t="s">
        <v>1274</v>
      </c>
      <c r="F1930" s="15" t="s">
        <v>36</v>
      </c>
      <c r="G1930" s="70">
        <f t="shared" ref="G1930:I1930" si="509">G1931</f>
        <v>22475.79</v>
      </c>
      <c r="H1930" s="70">
        <f t="shared" si="509"/>
        <v>0</v>
      </c>
      <c r="I1930" s="70">
        <f t="shared" si="509"/>
        <v>0</v>
      </c>
      <c r="J1930" s="2"/>
      <c r="K1930" s="1"/>
      <c r="L1930" s="1"/>
      <c r="M1930" s="1"/>
      <c r="N1930" s="1"/>
      <c r="O1930" s="1"/>
      <c r="P1930" s="2"/>
      <c r="Q1930" s="2"/>
      <c r="R1930" s="2"/>
      <c r="S1930" s="2"/>
      <c r="T1930" s="2"/>
    </row>
    <row r="1931" spans="1:20" ht="18.75" customHeight="1">
      <c r="A1931" s="16" t="s">
        <v>37</v>
      </c>
      <c r="B1931" s="14">
        <v>793</v>
      </c>
      <c r="C1931" s="15" t="s">
        <v>53</v>
      </c>
      <c r="D1931" s="15" t="s">
        <v>43</v>
      </c>
      <c r="E1931" s="15" t="s">
        <v>1274</v>
      </c>
      <c r="F1931" s="15" t="s">
        <v>38</v>
      </c>
      <c r="G1931" s="70">
        <v>22475.79</v>
      </c>
      <c r="H1931" s="70">
        <f>прил4!H1293</f>
        <v>0</v>
      </c>
      <c r="I1931" s="70">
        <f>прил4!I1293</f>
        <v>0</v>
      </c>
      <c r="J1931" s="2"/>
      <c r="K1931" s="1"/>
      <c r="L1931" s="1"/>
      <c r="M1931" s="1"/>
      <c r="N1931" s="1"/>
      <c r="O1931" s="1"/>
      <c r="P1931" s="2"/>
      <c r="Q1931" s="2"/>
      <c r="R1931" s="2"/>
      <c r="S1931" s="2"/>
      <c r="T1931" s="2"/>
    </row>
    <row r="1932" spans="1:20" ht="19.5" customHeight="1">
      <c r="A1932" s="16" t="s">
        <v>166</v>
      </c>
      <c r="B1932" s="14">
        <v>793</v>
      </c>
      <c r="C1932" s="15" t="s">
        <v>53</v>
      </c>
      <c r="D1932" s="15" t="s">
        <v>120</v>
      </c>
      <c r="E1932" s="15"/>
      <c r="F1932" s="15"/>
      <c r="G1932" s="70">
        <f>G1995+G1933+G1999++G2007</f>
        <v>65381480.840000004</v>
      </c>
      <c r="H1932" s="70">
        <f>H1995+H1933+H1999</f>
        <v>52310873</v>
      </c>
      <c r="I1932" s="70">
        <f>I1995+I1933+I1999</f>
        <v>54165340</v>
      </c>
      <c r="J1932" s="172"/>
      <c r="K1932" s="69"/>
      <c r="L1932" s="69"/>
      <c r="M1932" s="69"/>
      <c r="N1932" s="69"/>
      <c r="O1932" s="69"/>
      <c r="P1932" s="69"/>
      <c r="Q1932" s="69"/>
      <c r="R1932" s="69"/>
    </row>
    <row r="1933" spans="1:20" s="18" customFormat="1" ht="27" customHeight="1">
      <c r="A1933" s="16" t="s">
        <v>1131</v>
      </c>
      <c r="B1933" s="14">
        <v>793</v>
      </c>
      <c r="C1933" s="15" t="s">
        <v>53</v>
      </c>
      <c r="D1933" s="15" t="s">
        <v>120</v>
      </c>
      <c r="E1933" s="15" t="s">
        <v>229</v>
      </c>
      <c r="F1933" s="15"/>
      <c r="G1933" s="70">
        <f>G1934+G1951+G1947+G1961+G1957+G1965+G1983+G1987+G1991+G1973+G1969</f>
        <v>64315767.890000001</v>
      </c>
      <c r="H1933" s="70">
        <f>H1934+H1951</f>
        <v>52310873</v>
      </c>
      <c r="I1933" s="70">
        <f>I1934+I1951</f>
        <v>54165340</v>
      </c>
      <c r="J1933" s="172"/>
      <c r="K1933" s="172"/>
      <c r="L1933" s="172"/>
      <c r="M1933" s="172"/>
      <c r="N1933" s="172"/>
      <c r="O1933" s="172"/>
      <c r="P1933" s="180"/>
      <c r="Q1933" s="240"/>
      <c r="R1933" s="180"/>
    </row>
    <row r="1934" spans="1:20" s="18" customFormat="1" ht="86.25" customHeight="1">
      <c r="A1934" s="16" t="s">
        <v>1159</v>
      </c>
      <c r="B1934" s="14">
        <v>793</v>
      </c>
      <c r="C1934" s="15" t="s">
        <v>53</v>
      </c>
      <c r="D1934" s="15" t="s">
        <v>120</v>
      </c>
      <c r="E1934" s="15" t="s">
        <v>98</v>
      </c>
      <c r="F1934" s="15"/>
      <c r="G1934" s="70">
        <f>G1935+G1943+G1938+G1944</f>
        <v>45506492.890000001</v>
      </c>
      <c r="H1934" s="70">
        <f>H1935+H1966</f>
        <v>52310873</v>
      </c>
      <c r="I1934" s="70">
        <f t="shared" ref="I1934" si="510">I1935</f>
        <v>54165340</v>
      </c>
      <c r="J1934" s="172"/>
      <c r="K1934" s="180"/>
      <c r="L1934" s="180"/>
      <c r="M1934" s="180"/>
      <c r="N1934" s="180"/>
      <c r="O1934" s="180"/>
      <c r="P1934" s="180"/>
      <c r="Q1934" s="180"/>
      <c r="R1934" s="180"/>
    </row>
    <row r="1935" spans="1:20" s="18" customFormat="1" ht="76.5" customHeight="1">
      <c r="A1935" s="16" t="s">
        <v>1159</v>
      </c>
      <c r="B1935" s="14">
        <v>793</v>
      </c>
      <c r="C1935" s="15" t="s">
        <v>53</v>
      </c>
      <c r="D1935" s="15" t="s">
        <v>120</v>
      </c>
      <c r="E1935" s="15" t="s">
        <v>864</v>
      </c>
      <c r="F1935" s="15"/>
      <c r="G1935" s="70">
        <f t="shared" ref="G1935:I1942" si="511">G1936</f>
        <v>45506492.890000001</v>
      </c>
      <c r="H1935" s="70">
        <f t="shared" si="511"/>
        <v>45310873</v>
      </c>
      <c r="I1935" s="70">
        <f t="shared" si="511"/>
        <v>54165340</v>
      </c>
      <c r="J1935" s="172"/>
      <c r="K1935" s="180"/>
      <c r="L1935" s="180"/>
      <c r="M1935" s="180"/>
      <c r="N1935" s="180"/>
      <c r="O1935" s="180"/>
      <c r="P1935" s="180"/>
      <c r="Q1935" s="180"/>
      <c r="R1935" s="180"/>
    </row>
    <row r="1936" spans="1:20" s="18" customFormat="1" ht="15" customHeight="1">
      <c r="A1936" s="16" t="s">
        <v>316</v>
      </c>
      <c r="B1936" s="14">
        <v>793</v>
      </c>
      <c r="C1936" s="15" t="s">
        <v>53</v>
      </c>
      <c r="D1936" s="15" t="s">
        <v>120</v>
      </c>
      <c r="E1936" s="15" t="s">
        <v>864</v>
      </c>
      <c r="F1936" s="15" t="s">
        <v>36</v>
      </c>
      <c r="G1936" s="70">
        <f t="shared" si="511"/>
        <v>45506492.890000001</v>
      </c>
      <c r="H1936" s="70">
        <f t="shared" si="511"/>
        <v>45310873</v>
      </c>
      <c r="I1936" s="70">
        <f t="shared" si="511"/>
        <v>54165340</v>
      </c>
      <c r="J1936" s="172"/>
      <c r="K1936" s="180"/>
      <c r="L1936" s="180"/>
      <c r="M1936" s="180"/>
      <c r="N1936" s="180"/>
      <c r="O1936" s="180"/>
      <c r="P1936" s="180"/>
      <c r="Q1936" s="180"/>
      <c r="R1936" s="180"/>
    </row>
    <row r="1937" spans="1:18" s="18" customFormat="1" ht="32.25" customHeight="1">
      <c r="A1937" s="16" t="s">
        <v>37</v>
      </c>
      <c r="B1937" s="14">
        <v>793</v>
      </c>
      <c r="C1937" s="15" t="s">
        <v>53</v>
      </c>
      <c r="D1937" s="15" t="s">
        <v>120</v>
      </c>
      <c r="E1937" s="15" t="s">
        <v>864</v>
      </c>
      <c r="F1937" s="15" t="s">
        <v>38</v>
      </c>
      <c r="G1937" s="70">
        <f>49617518+291027.05-1500000-2000000+282947.84+140000-310000-365000-150000-500000</f>
        <v>45506492.890000001</v>
      </c>
      <c r="H1937" s="70">
        <f>52310873-7000000</f>
        <v>45310873</v>
      </c>
      <c r="I1937" s="70">
        <v>54165340</v>
      </c>
      <c r="J1937" s="172"/>
      <c r="K1937" s="180"/>
      <c r="L1937" s="180"/>
      <c r="M1937" s="180"/>
      <c r="N1937" s="180"/>
      <c r="O1937" s="180"/>
      <c r="P1937" s="180"/>
      <c r="Q1937" s="180"/>
      <c r="R1937" s="180"/>
    </row>
    <row r="1938" spans="1:18" s="18" customFormat="1" ht="42.6" hidden="1" customHeight="1">
      <c r="A1938" s="50" t="s">
        <v>973</v>
      </c>
      <c r="B1938" s="14">
        <v>793</v>
      </c>
      <c r="C1938" s="15" t="s">
        <v>53</v>
      </c>
      <c r="D1938" s="15" t="s">
        <v>120</v>
      </c>
      <c r="E1938" s="15" t="s">
        <v>971</v>
      </c>
      <c r="F1938" s="15"/>
      <c r="G1938" s="70">
        <f>G1939</f>
        <v>0</v>
      </c>
      <c r="H1938" s="70"/>
      <c r="I1938" s="70"/>
      <c r="J1938" s="172"/>
      <c r="K1938" s="180"/>
      <c r="L1938" s="180"/>
      <c r="M1938" s="180"/>
      <c r="N1938" s="180"/>
      <c r="O1938" s="180"/>
      <c r="P1938" s="180"/>
      <c r="Q1938" s="180"/>
      <c r="R1938" s="180"/>
    </row>
    <row r="1939" spans="1:18" s="18" customFormat="1" ht="40.5" hidden="1" customHeight="1">
      <c r="A1939" s="16" t="s">
        <v>37</v>
      </c>
      <c r="B1939" s="14">
        <v>793</v>
      </c>
      <c r="C1939" s="15" t="s">
        <v>53</v>
      </c>
      <c r="D1939" s="15" t="s">
        <v>120</v>
      </c>
      <c r="E1939" s="15" t="s">
        <v>971</v>
      </c>
      <c r="F1939" s="15" t="s">
        <v>38</v>
      </c>
      <c r="G1939" s="70"/>
      <c r="H1939" s="70"/>
      <c r="I1939" s="70"/>
      <c r="J1939" s="172"/>
      <c r="K1939" s="180"/>
      <c r="L1939" s="180"/>
      <c r="M1939" s="180"/>
      <c r="N1939" s="180"/>
      <c r="O1939" s="180"/>
      <c r="P1939" s="180"/>
      <c r="Q1939" s="180"/>
      <c r="R1939" s="180"/>
    </row>
    <row r="1940" spans="1:18" s="18" customFormat="1" ht="38.4" hidden="1" customHeight="1">
      <c r="A1940" s="16"/>
      <c r="B1940" s="14"/>
      <c r="C1940" s="15"/>
      <c r="D1940" s="15"/>
      <c r="E1940" s="15"/>
      <c r="F1940" s="15"/>
      <c r="G1940" s="70"/>
      <c r="H1940" s="70"/>
      <c r="I1940" s="70"/>
      <c r="J1940" s="172"/>
      <c r="K1940" s="180"/>
      <c r="L1940" s="180"/>
      <c r="M1940" s="180"/>
      <c r="N1940" s="180"/>
      <c r="O1940" s="180"/>
      <c r="P1940" s="180"/>
      <c r="Q1940" s="180"/>
      <c r="R1940" s="180"/>
    </row>
    <row r="1941" spans="1:18" s="18" customFormat="1" ht="76.5" hidden="1" customHeight="1">
      <c r="A1941" s="50" t="s">
        <v>970</v>
      </c>
      <c r="B1941" s="14">
        <v>793</v>
      </c>
      <c r="C1941" s="15" t="s">
        <v>53</v>
      </c>
      <c r="D1941" s="15" t="s">
        <v>120</v>
      </c>
      <c r="E1941" s="15" t="s">
        <v>952</v>
      </c>
      <c r="F1941" s="15"/>
      <c r="G1941" s="70">
        <f t="shared" si="511"/>
        <v>0</v>
      </c>
      <c r="H1941" s="70">
        <f t="shared" si="511"/>
        <v>0</v>
      </c>
      <c r="I1941" s="70">
        <f t="shared" si="511"/>
        <v>0</v>
      </c>
      <c r="J1941" s="172"/>
      <c r="K1941" s="180"/>
      <c r="L1941" s="180"/>
      <c r="M1941" s="180"/>
      <c r="N1941" s="180"/>
      <c r="O1941" s="180"/>
      <c r="P1941" s="180"/>
      <c r="Q1941" s="180"/>
      <c r="R1941" s="180"/>
    </row>
    <row r="1942" spans="1:18" s="18" customFormat="1" ht="15" hidden="1" customHeight="1">
      <c r="A1942" s="16" t="s">
        <v>316</v>
      </c>
      <c r="B1942" s="14">
        <v>793</v>
      </c>
      <c r="C1942" s="15" t="s">
        <v>53</v>
      </c>
      <c r="D1942" s="15" t="s">
        <v>120</v>
      </c>
      <c r="E1942" s="15" t="s">
        <v>952</v>
      </c>
      <c r="F1942" s="15" t="s">
        <v>36</v>
      </c>
      <c r="G1942" s="70">
        <f t="shared" si="511"/>
        <v>0</v>
      </c>
      <c r="H1942" s="70">
        <f t="shared" si="511"/>
        <v>0</v>
      </c>
      <c r="I1942" s="70">
        <f t="shared" si="511"/>
        <v>0</v>
      </c>
      <c r="J1942" s="172"/>
      <c r="K1942" s="180"/>
      <c r="L1942" s="180"/>
      <c r="M1942" s="180"/>
      <c r="N1942" s="180"/>
      <c r="O1942" s="180"/>
      <c r="P1942" s="180"/>
      <c r="Q1942" s="180"/>
      <c r="R1942" s="180"/>
    </row>
    <row r="1943" spans="1:18" s="18" customFormat="1" ht="32.25" hidden="1" customHeight="1">
      <c r="A1943" s="16" t="s">
        <v>37</v>
      </c>
      <c r="B1943" s="14">
        <v>793</v>
      </c>
      <c r="C1943" s="15" t="s">
        <v>53</v>
      </c>
      <c r="D1943" s="15" t="s">
        <v>120</v>
      </c>
      <c r="E1943" s="15" t="s">
        <v>952</v>
      </c>
      <c r="F1943" s="15" t="s">
        <v>38</v>
      </c>
      <c r="G1943" s="70"/>
      <c r="H1943" s="70"/>
      <c r="I1943" s="70"/>
      <c r="J1943" s="172"/>
      <c r="K1943" s="180"/>
      <c r="L1943" s="180"/>
      <c r="M1943" s="180"/>
      <c r="N1943" s="180"/>
      <c r="O1943" s="180"/>
      <c r="P1943" s="180"/>
      <c r="Q1943" s="180"/>
      <c r="R1943" s="180"/>
    </row>
    <row r="1944" spans="1:18" s="18" customFormat="1" ht="46.5" hidden="1" customHeight="1">
      <c r="A1944" s="16" t="s">
        <v>1042</v>
      </c>
      <c r="B1944" s="14">
        <v>793</v>
      </c>
      <c r="C1944" s="15" t="s">
        <v>53</v>
      </c>
      <c r="D1944" s="15" t="s">
        <v>120</v>
      </c>
      <c r="E1944" s="15" t="s">
        <v>1043</v>
      </c>
      <c r="F1944" s="15"/>
      <c r="G1944" s="70">
        <f>G1945</f>
        <v>0</v>
      </c>
      <c r="H1944" s="70"/>
      <c r="I1944" s="70"/>
      <c r="J1944" s="172"/>
      <c r="K1944" s="180"/>
      <c r="L1944" s="180"/>
      <c r="M1944" s="180"/>
      <c r="N1944" s="180"/>
      <c r="O1944" s="180"/>
      <c r="P1944" s="180"/>
      <c r="Q1944" s="180"/>
      <c r="R1944" s="180"/>
    </row>
    <row r="1945" spans="1:18" s="18" customFormat="1" ht="27.75" hidden="1" customHeight="1">
      <c r="A1945" s="16" t="s">
        <v>316</v>
      </c>
      <c r="B1945" s="14">
        <v>793</v>
      </c>
      <c r="C1945" s="15" t="s">
        <v>53</v>
      </c>
      <c r="D1945" s="15" t="s">
        <v>120</v>
      </c>
      <c r="E1945" s="15" t="s">
        <v>1043</v>
      </c>
      <c r="F1945" s="15" t="s">
        <v>36</v>
      </c>
      <c r="G1945" s="70">
        <f>G1946</f>
        <v>0</v>
      </c>
      <c r="H1945" s="70">
        <f>H1946</f>
        <v>0</v>
      </c>
      <c r="I1945" s="70">
        <f>I1946</f>
        <v>0</v>
      </c>
      <c r="J1945" s="172"/>
      <c r="K1945" s="180"/>
      <c r="L1945" s="180"/>
      <c r="M1945" s="180"/>
      <c r="N1945" s="180"/>
      <c r="O1945" s="180"/>
      <c r="P1945" s="180"/>
      <c r="Q1945" s="180"/>
      <c r="R1945" s="180"/>
    </row>
    <row r="1946" spans="1:18" s="18" customFormat="1" ht="31.5" hidden="1" customHeight="1">
      <c r="A1946" s="16" t="s">
        <v>37</v>
      </c>
      <c r="B1946" s="14">
        <v>793</v>
      </c>
      <c r="C1946" s="15" t="s">
        <v>53</v>
      </c>
      <c r="D1946" s="15" t="s">
        <v>120</v>
      </c>
      <c r="E1946" s="15" t="s">
        <v>1043</v>
      </c>
      <c r="F1946" s="15" t="s">
        <v>38</v>
      </c>
      <c r="G1946" s="70"/>
      <c r="H1946" s="70"/>
      <c r="I1946" s="70"/>
      <c r="J1946" s="172"/>
      <c r="K1946" s="180"/>
      <c r="L1946" s="180"/>
      <c r="M1946" s="180"/>
      <c r="N1946" s="180"/>
      <c r="O1946" s="180"/>
      <c r="P1946" s="180"/>
      <c r="Q1946" s="180"/>
      <c r="R1946" s="180"/>
    </row>
    <row r="1947" spans="1:18" s="18" customFormat="1" ht="95.25" hidden="1" customHeight="1">
      <c r="A1947" s="16" t="s">
        <v>932</v>
      </c>
      <c r="B1947" s="14">
        <v>793</v>
      </c>
      <c r="C1947" s="15" t="s">
        <v>53</v>
      </c>
      <c r="D1947" s="15" t="s">
        <v>120</v>
      </c>
      <c r="E1947" s="15" t="s">
        <v>933</v>
      </c>
      <c r="F1947" s="15"/>
      <c r="G1947" s="70">
        <f>G1948</f>
        <v>0</v>
      </c>
      <c r="H1947" s="70">
        <f t="shared" ref="G1947:I1948" si="512">H1948</f>
        <v>0</v>
      </c>
      <c r="I1947" s="70">
        <f t="shared" si="512"/>
        <v>0</v>
      </c>
      <c r="J1947" s="172"/>
      <c r="K1947" s="180"/>
      <c r="L1947" s="180"/>
      <c r="M1947" s="180"/>
      <c r="N1947" s="180"/>
      <c r="O1947" s="180"/>
      <c r="P1947" s="180"/>
      <c r="Q1947" s="180"/>
      <c r="R1947" s="180"/>
    </row>
    <row r="1948" spans="1:18" s="18" customFormat="1" ht="95.25" hidden="1" customHeight="1">
      <c r="A1948" s="16" t="s">
        <v>916</v>
      </c>
      <c r="B1948" s="14">
        <v>793</v>
      </c>
      <c r="C1948" s="15" t="s">
        <v>53</v>
      </c>
      <c r="D1948" s="15" t="s">
        <v>120</v>
      </c>
      <c r="E1948" s="15" t="s">
        <v>931</v>
      </c>
      <c r="F1948" s="15"/>
      <c r="G1948" s="70">
        <f t="shared" si="512"/>
        <v>0</v>
      </c>
      <c r="H1948" s="70">
        <f t="shared" si="512"/>
        <v>0</v>
      </c>
      <c r="I1948" s="70">
        <f t="shared" si="512"/>
        <v>0</v>
      </c>
      <c r="J1948" s="172"/>
      <c r="K1948" s="180"/>
      <c r="L1948" s="180"/>
      <c r="M1948" s="180"/>
      <c r="N1948" s="180"/>
      <c r="O1948" s="180"/>
      <c r="P1948" s="180"/>
      <c r="Q1948" s="180"/>
      <c r="R1948" s="180"/>
    </row>
    <row r="1949" spans="1:18" s="18" customFormat="1" ht="27.75" hidden="1" customHeight="1">
      <c r="A1949" s="16" t="s">
        <v>94</v>
      </c>
      <c r="B1949" s="14">
        <v>793</v>
      </c>
      <c r="C1949" s="15" t="s">
        <v>53</v>
      </c>
      <c r="D1949" s="15" t="s">
        <v>120</v>
      </c>
      <c r="E1949" s="15" t="s">
        <v>931</v>
      </c>
      <c r="F1949" s="15" t="s">
        <v>338</v>
      </c>
      <c r="G1949" s="70">
        <f>G1950</f>
        <v>0</v>
      </c>
      <c r="H1949" s="70">
        <f t="shared" ref="H1949:I1949" si="513">H1950</f>
        <v>0</v>
      </c>
      <c r="I1949" s="70">
        <f t="shared" si="513"/>
        <v>0</v>
      </c>
      <c r="J1949" s="172"/>
      <c r="K1949" s="180"/>
      <c r="L1949" s="180"/>
      <c r="M1949" s="180"/>
      <c r="N1949" s="180"/>
      <c r="O1949" s="180"/>
      <c r="P1949" s="180"/>
      <c r="Q1949" s="180"/>
      <c r="R1949" s="180"/>
    </row>
    <row r="1950" spans="1:18" s="18" customFormat="1" ht="15" hidden="1" customHeight="1">
      <c r="A1950" s="16" t="s">
        <v>339</v>
      </c>
      <c r="B1950" s="14">
        <v>793</v>
      </c>
      <c r="C1950" s="15" t="s">
        <v>53</v>
      </c>
      <c r="D1950" s="15" t="s">
        <v>120</v>
      </c>
      <c r="E1950" s="15" t="s">
        <v>931</v>
      </c>
      <c r="F1950" s="15" t="s">
        <v>340</v>
      </c>
      <c r="G1950" s="70"/>
      <c r="H1950" s="70"/>
      <c r="I1950" s="70"/>
      <c r="J1950" s="172"/>
      <c r="K1950" s="180"/>
      <c r="L1950" s="180"/>
      <c r="M1950" s="180"/>
      <c r="N1950" s="180"/>
      <c r="O1950" s="180"/>
      <c r="P1950" s="180"/>
      <c r="Q1950" s="180"/>
      <c r="R1950" s="180"/>
    </row>
    <row r="1951" spans="1:18" s="18" customFormat="1" ht="70.5" hidden="1" customHeight="1">
      <c r="A1951" s="16" t="s">
        <v>863</v>
      </c>
      <c r="B1951" s="14">
        <v>793</v>
      </c>
      <c r="C1951" s="15" t="s">
        <v>53</v>
      </c>
      <c r="D1951" s="15" t="s">
        <v>120</v>
      </c>
      <c r="E1951" s="15" t="s">
        <v>102</v>
      </c>
      <c r="F1951" s="15"/>
      <c r="G1951" s="70">
        <f>G1952</f>
        <v>0</v>
      </c>
      <c r="H1951" s="70">
        <f t="shared" ref="H1951:I1951" si="514">H1952</f>
        <v>0</v>
      </c>
      <c r="I1951" s="70">
        <f t="shared" si="514"/>
        <v>0</v>
      </c>
      <c r="J1951" s="172"/>
      <c r="K1951" s="180"/>
      <c r="L1951" s="180"/>
      <c r="M1951" s="180"/>
      <c r="N1951" s="180"/>
      <c r="O1951" s="180"/>
      <c r="P1951" s="180"/>
      <c r="Q1951" s="180"/>
      <c r="R1951" s="180"/>
    </row>
    <row r="1952" spans="1:18" s="18" customFormat="1" ht="104.25" hidden="1" customHeight="1">
      <c r="A1952" s="80" t="s">
        <v>861</v>
      </c>
      <c r="B1952" s="14">
        <v>793</v>
      </c>
      <c r="C1952" s="15" t="s">
        <v>53</v>
      </c>
      <c r="D1952" s="15" t="s">
        <v>120</v>
      </c>
      <c r="E1952" s="15" t="s">
        <v>862</v>
      </c>
      <c r="F1952" s="15"/>
      <c r="G1952" s="70">
        <f>G1953+G1955</f>
        <v>0</v>
      </c>
      <c r="H1952" s="70">
        <f t="shared" ref="H1952:I1952" si="515">H1953+H1955</f>
        <v>0</v>
      </c>
      <c r="I1952" s="70">
        <f t="shared" si="515"/>
        <v>0</v>
      </c>
      <c r="J1952" s="172"/>
      <c r="K1952" s="180"/>
      <c r="L1952" s="180"/>
      <c r="M1952" s="180"/>
      <c r="N1952" s="180"/>
      <c r="O1952" s="180"/>
      <c r="P1952" s="180"/>
      <c r="Q1952" s="180"/>
      <c r="R1952" s="180"/>
    </row>
    <row r="1953" spans="1:18" s="18" customFormat="1" ht="24.75" hidden="1" customHeight="1">
      <c r="A1953" s="16" t="s">
        <v>316</v>
      </c>
      <c r="B1953" s="14">
        <v>793</v>
      </c>
      <c r="C1953" s="15" t="s">
        <v>53</v>
      </c>
      <c r="D1953" s="15" t="s">
        <v>120</v>
      </c>
      <c r="E1953" s="15" t="s">
        <v>862</v>
      </c>
      <c r="F1953" s="15" t="s">
        <v>36</v>
      </c>
      <c r="G1953" s="70">
        <f t="shared" ref="G1953:I1953" si="516">G1954</f>
        <v>0</v>
      </c>
      <c r="H1953" s="70">
        <f t="shared" si="516"/>
        <v>0</v>
      </c>
      <c r="I1953" s="70">
        <f t="shared" si="516"/>
        <v>0</v>
      </c>
      <c r="J1953" s="172"/>
      <c r="K1953" s="180"/>
      <c r="L1953" s="180"/>
      <c r="M1953" s="180"/>
      <c r="N1953" s="180"/>
      <c r="O1953" s="180"/>
      <c r="P1953" s="180"/>
      <c r="Q1953" s="180"/>
      <c r="R1953" s="180"/>
    </row>
    <row r="1954" spans="1:18" s="18" customFormat="1" ht="30.75" hidden="1" customHeight="1">
      <c r="A1954" s="16" t="s">
        <v>37</v>
      </c>
      <c r="B1954" s="14">
        <v>793</v>
      </c>
      <c r="C1954" s="15" t="s">
        <v>53</v>
      </c>
      <c r="D1954" s="15" t="s">
        <v>120</v>
      </c>
      <c r="E1954" s="15" t="s">
        <v>862</v>
      </c>
      <c r="F1954" s="15" t="s">
        <v>38</v>
      </c>
      <c r="G1954" s="70"/>
      <c r="H1954" s="70"/>
      <c r="I1954" s="70"/>
      <c r="J1954" s="172"/>
      <c r="K1954" s="180"/>
      <c r="L1954" s="180"/>
      <c r="M1954" s="180"/>
      <c r="N1954" s="180"/>
      <c r="O1954" s="180"/>
      <c r="P1954" s="180"/>
      <c r="Q1954" s="180"/>
      <c r="R1954" s="180"/>
    </row>
    <row r="1955" spans="1:18" ht="22.5" hidden="1" customHeight="1">
      <c r="A1955" s="16" t="s">
        <v>152</v>
      </c>
      <c r="B1955" s="14">
        <v>793</v>
      </c>
      <c r="C1955" s="15" t="s">
        <v>53</v>
      </c>
      <c r="D1955" s="15" t="s">
        <v>120</v>
      </c>
      <c r="E1955" s="15" t="s">
        <v>595</v>
      </c>
      <c r="F1955" s="15" t="s">
        <v>153</v>
      </c>
      <c r="G1955" s="70">
        <f>G1956</f>
        <v>0</v>
      </c>
      <c r="H1955" s="70">
        <f t="shared" ref="H1955:I1955" si="517">H1956</f>
        <v>0</v>
      </c>
      <c r="I1955" s="70">
        <f t="shared" si="517"/>
        <v>0</v>
      </c>
      <c r="J1955" s="172"/>
      <c r="K1955" s="69"/>
      <c r="L1955" s="69"/>
      <c r="M1955" s="69"/>
      <c r="N1955" s="69"/>
      <c r="O1955" s="69"/>
      <c r="P1955" s="69"/>
      <c r="Q1955" s="69"/>
      <c r="R1955" s="69"/>
    </row>
    <row r="1956" spans="1:18" ht="16.5" hidden="1" customHeight="1">
      <c r="A1956" s="16" t="s">
        <v>172</v>
      </c>
      <c r="B1956" s="14">
        <v>793</v>
      </c>
      <c r="C1956" s="15" t="s">
        <v>53</v>
      </c>
      <c r="D1956" s="15" t="s">
        <v>120</v>
      </c>
      <c r="E1956" s="15" t="s">
        <v>595</v>
      </c>
      <c r="F1956" s="15" t="s">
        <v>173</v>
      </c>
      <c r="G1956" s="70"/>
      <c r="H1956" s="103"/>
      <c r="I1956" s="103"/>
      <c r="J1956" s="334"/>
      <c r="K1956" s="69"/>
      <c r="L1956" s="69"/>
      <c r="M1956" s="69"/>
      <c r="N1956" s="69"/>
      <c r="O1956" s="69"/>
      <c r="P1956" s="69"/>
      <c r="Q1956" s="69"/>
      <c r="R1956" s="69"/>
    </row>
    <row r="1957" spans="1:18" ht="64.95" hidden="1" customHeight="1">
      <c r="A1957" s="16" t="s">
        <v>963</v>
      </c>
      <c r="B1957" s="14">
        <v>793</v>
      </c>
      <c r="C1957" s="15" t="s">
        <v>53</v>
      </c>
      <c r="D1957" s="15" t="s">
        <v>120</v>
      </c>
      <c r="E1957" s="15" t="s">
        <v>959</v>
      </c>
      <c r="F1957" s="15"/>
      <c r="G1957" s="70">
        <f>G1958</f>
        <v>0</v>
      </c>
      <c r="H1957" s="103"/>
      <c r="I1957" s="103"/>
      <c r="J1957" s="334"/>
      <c r="K1957" s="69"/>
      <c r="L1957" s="69"/>
      <c r="M1957" s="69"/>
      <c r="N1957" s="69"/>
      <c r="O1957" s="69"/>
      <c r="P1957" s="69"/>
      <c r="Q1957" s="69"/>
      <c r="R1957" s="69"/>
    </row>
    <row r="1958" spans="1:18" ht="31.5" hidden="1" customHeight="1">
      <c r="A1958" s="16" t="s">
        <v>964</v>
      </c>
      <c r="B1958" s="14">
        <v>793</v>
      </c>
      <c r="C1958" s="15" t="s">
        <v>53</v>
      </c>
      <c r="D1958" s="15" t="s">
        <v>120</v>
      </c>
      <c r="E1958" s="15" t="s">
        <v>965</v>
      </c>
      <c r="F1958" s="15"/>
      <c r="G1958" s="70">
        <f>G1959</f>
        <v>0</v>
      </c>
      <c r="H1958" s="103"/>
      <c r="I1958" s="103"/>
      <c r="J1958" s="334"/>
      <c r="K1958" s="69"/>
      <c r="L1958" s="69"/>
      <c r="M1958" s="69"/>
      <c r="N1958" s="69"/>
      <c r="O1958" s="69"/>
      <c r="P1958" s="69"/>
      <c r="Q1958" s="69"/>
      <c r="R1958" s="69"/>
    </row>
    <row r="1959" spans="1:18" ht="25.5" hidden="1" customHeight="1">
      <c r="A1959" s="16" t="s">
        <v>316</v>
      </c>
      <c r="B1959" s="14">
        <v>793</v>
      </c>
      <c r="C1959" s="15" t="s">
        <v>53</v>
      </c>
      <c r="D1959" s="15" t="s">
        <v>120</v>
      </c>
      <c r="E1959" s="15" t="s">
        <v>965</v>
      </c>
      <c r="F1959" s="15" t="s">
        <v>36</v>
      </c>
      <c r="G1959" s="70">
        <f>G1960</f>
        <v>0</v>
      </c>
      <c r="H1959" s="103"/>
      <c r="I1959" s="103"/>
      <c r="J1959" s="334"/>
      <c r="K1959" s="69"/>
      <c r="L1959" s="69"/>
      <c r="M1959" s="69"/>
      <c r="N1959" s="69"/>
      <c r="O1959" s="69"/>
      <c r="P1959" s="69"/>
      <c r="Q1959" s="69"/>
      <c r="R1959" s="69"/>
    </row>
    <row r="1960" spans="1:18" ht="33.75" hidden="1" customHeight="1">
      <c r="A1960" s="16" t="s">
        <v>37</v>
      </c>
      <c r="B1960" s="14">
        <v>793</v>
      </c>
      <c r="C1960" s="15" t="s">
        <v>53</v>
      </c>
      <c r="D1960" s="15" t="s">
        <v>120</v>
      </c>
      <c r="E1960" s="15" t="s">
        <v>965</v>
      </c>
      <c r="F1960" s="15" t="s">
        <v>38</v>
      </c>
      <c r="G1960" s="70"/>
      <c r="H1960" s="103"/>
      <c r="I1960" s="103"/>
      <c r="J1960" s="334"/>
      <c r="K1960" s="69"/>
      <c r="L1960" s="69"/>
      <c r="M1960" s="69"/>
      <c r="N1960" s="69"/>
      <c r="O1960" s="69"/>
      <c r="P1960" s="69"/>
      <c r="Q1960" s="69"/>
      <c r="R1960" s="69"/>
    </row>
    <row r="1961" spans="1:18" ht="31.95" hidden="1" customHeight="1">
      <c r="A1961" s="16" t="s">
        <v>974</v>
      </c>
      <c r="B1961" s="14">
        <v>793</v>
      </c>
      <c r="C1961" s="15" t="s">
        <v>53</v>
      </c>
      <c r="D1961" s="15" t="s">
        <v>120</v>
      </c>
      <c r="E1961" s="15" t="s">
        <v>961</v>
      </c>
      <c r="F1961" s="15"/>
      <c r="G1961" s="70">
        <f>G1962</f>
        <v>0</v>
      </c>
      <c r="H1961" s="103"/>
      <c r="I1961" s="103"/>
      <c r="J1961" s="334"/>
      <c r="K1961" s="69"/>
      <c r="L1961" s="69"/>
      <c r="M1961" s="69"/>
      <c r="N1961" s="69"/>
      <c r="O1961" s="69"/>
      <c r="P1961" s="69"/>
      <c r="Q1961" s="69"/>
      <c r="R1961" s="69"/>
    </row>
    <row r="1962" spans="1:18" ht="32.4" hidden="1" customHeight="1">
      <c r="A1962" s="16" t="s">
        <v>960</v>
      </c>
      <c r="B1962" s="14">
        <v>793</v>
      </c>
      <c r="C1962" s="15" t="s">
        <v>53</v>
      </c>
      <c r="D1962" s="15" t="s">
        <v>120</v>
      </c>
      <c r="E1962" s="15" t="s">
        <v>962</v>
      </c>
      <c r="F1962" s="15"/>
      <c r="G1962" s="70">
        <f>G1963</f>
        <v>0</v>
      </c>
      <c r="H1962" s="103"/>
      <c r="I1962" s="103"/>
      <c r="J1962" s="334"/>
      <c r="K1962" s="69"/>
      <c r="L1962" s="69"/>
      <c r="M1962" s="69"/>
      <c r="N1962" s="69"/>
      <c r="O1962" s="69"/>
      <c r="P1962" s="69"/>
      <c r="Q1962" s="69"/>
      <c r="R1962" s="69"/>
    </row>
    <row r="1963" spans="1:18" ht="32.4" hidden="1" customHeight="1">
      <c r="A1963" s="16" t="s">
        <v>316</v>
      </c>
      <c r="B1963" s="14">
        <v>793</v>
      </c>
      <c r="C1963" s="15" t="s">
        <v>53</v>
      </c>
      <c r="D1963" s="15" t="s">
        <v>120</v>
      </c>
      <c r="E1963" s="15" t="s">
        <v>962</v>
      </c>
      <c r="F1963" s="15" t="s">
        <v>36</v>
      </c>
      <c r="G1963" s="70">
        <f>G1964</f>
        <v>0</v>
      </c>
      <c r="H1963" s="103"/>
      <c r="I1963" s="103"/>
      <c r="J1963" s="334"/>
      <c r="K1963" s="69"/>
      <c r="L1963" s="69"/>
      <c r="M1963" s="69"/>
      <c r="N1963" s="69"/>
      <c r="O1963" s="69"/>
      <c r="P1963" s="69"/>
      <c r="Q1963" s="69"/>
      <c r="R1963" s="69"/>
    </row>
    <row r="1964" spans="1:18" ht="26.4" hidden="1" customHeight="1">
      <c r="A1964" s="16" t="s">
        <v>37</v>
      </c>
      <c r="B1964" s="14">
        <v>793</v>
      </c>
      <c r="C1964" s="15" t="s">
        <v>53</v>
      </c>
      <c r="D1964" s="15" t="s">
        <v>120</v>
      </c>
      <c r="E1964" s="15" t="s">
        <v>962</v>
      </c>
      <c r="F1964" s="15" t="s">
        <v>38</v>
      </c>
      <c r="G1964" s="70"/>
      <c r="H1964" s="103"/>
      <c r="I1964" s="103"/>
      <c r="J1964" s="334"/>
      <c r="K1964" s="69"/>
      <c r="L1964" s="69"/>
      <c r="M1964" s="69"/>
      <c r="N1964" s="69"/>
      <c r="O1964" s="69"/>
      <c r="P1964" s="69"/>
      <c r="Q1964" s="69"/>
      <c r="R1964" s="69"/>
    </row>
    <row r="1965" spans="1:18" s="18" customFormat="1" ht="39" hidden="1" customHeight="1">
      <c r="A1965" s="16" t="s">
        <v>1091</v>
      </c>
      <c r="B1965" s="49">
        <v>793</v>
      </c>
      <c r="C1965" s="15" t="s">
        <v>53</v>
      </c>
      <c r="D1965" s="15" t="s">
        <v>120</v>
      </c>
      <c r="E1965" s="15" t="s">
        <v>1092</v>
      </c>
      <c r="F1965" s="15"/>
      <c r="G1965" s="70">
        <f>G1981</f>
        <v>11895975</v>
      </c>
      <c r="H1965" s="70">
        <f>H1981</f>
        <v>0</v>
      </c>
      <c r="I1965" s="70">
        <f>I1981</f>
        <v>0</v>
      </c>
      <c r="J1965" s="172"/>
      <c r="K1965" s="180"/>
      <c r="L1965" s="180"/>
      <c r="M1965" s="180"/>
      <c r="N1965" s="180"/>
      <c r="O1965" s="180"/>
      <c r="P1965" s="180"/>
      <c r="Q1965" s="180"/>
      <c r="R1965" s="180"/>
    </row>
    <row r="1966" spans="1:18" s="18" customFormat="1" ht="25.5" customHeight="1">
      <c r="A1966" s="16" t="s">
        <v>1091</v>
      </c>
      <c r="B1966" s="14">
        <v>793</v>
      </c>
      <c r="C1966" s="15" t="s">
        <v>53</v>
      </c>
      <c r="D1966" s="15" t="s">
        <v>120</v>
      </c>
      <c r="E1966" s="15" t="s">
        <v>1176</v>
      </c>
      <c r="F1966" s="15"/>
      <c r="G1966" s="70">
        <f t="shared" ref="G1966:I1967" si="518">G1967</f>
        <v>0</v>
      </c>
      <c r="H1966" s="70">
        <f t="shared" si="518"/>
        <v>7000000</v>
      </c>
      <c r="I1966" s="70">
        <f t="shared" si="518"/>
        <v>0</v>
      </c>
      <c r="J1966" s="172"/>
      <c r="K1966" s="180"/>
      <c r="L1966" s="180"/>
      <c r="M1966" s="180"/>
      <c r="N1966" s="180"/>
      <c r="O1966" s="180"/>
      <c r="P1966" s="180"/>
      <c r="Q1966" s="180"/>
      <c r="R1966" s="180"/>
    </row>
    <row r="1967" spans="1:18" s="18" customFormat="1" ht="15" customHeight="1">
      <c r="A1967" s="16" t="s">
        <v>316</v>
      </c>
      <c r="B1967" s="14">
        <v>793</v>
      </c>
      <c r="C1967" s="15" t="s">
        <v>53</v>
      </c>
      <c r="D1967" s="15" t="s">
        <v>120</v>
      </c>
      <c r="E1967" s="15" t="s">
        <v>1176</v>
      </c>
      <c r="F1967" s="15" t="s">
        <v>36</v>
      </c>
      <c r="G1967" s="70">
        <f t="shared" si="518"/>
        <v>0</v>
      </c>
      <c r="H1967" s="70">
        <f t="shared" si="518"/>
        <v>7000000</v>
      </c>
      <c r="I1967" s="70">
        <f t="shared" si="518"/>
        <v>0</v>
      </c>
      <c r="J1967" s="172"/>
      <c r="K1967" s="180"/>
      <c r="L1967" s="180"/>
      <c r="M1967" s="180"/>
      <c r="N1967" s="180"/>
      <c r="O1967" s="180"/>
      <c r="P1967" s="180"/>
      <c r="Q1967" s="180"/>
      <c r="R1967" s="180"/>
    </row>
    <row r="1968" spans="1:18" s="18" customFormat="1" ht="32.25" customHeight="1">
      <c r="A1968" s="16" t="s">
        <v>37</v>
      </c>
      <c r="B1968" s="14">
        <v>793</v>
      </c>
      <c r="C1968" s="15" t="s">
        <v>53</v>
      </c>
      <c r="D1968" s="15" t="s">
        <v>120</v>
      </c>
      <c r="E1968" s="15" t="s">
        <v>1176</v>
      </c>
      <c r="F1968" s="15" t="s">
        <v>38</v>
      </c>
      <c r="G1968" s="70">
        <v>0</v>
      </c>
      <c r="H1968" s="70">
        <v>7000000</v>
      </c>
      <c r="I1968" s="70">
        <v>0</v>
      </c>
      <c r="J1968" s="172"/>
      <c r="K1968" s="180"/>
      <c r="L1968" s="180"/>
      <c r="M1968" s="180"/>
      <c r="N1968" s="180"/>
      <c r="O1968" s="180"/>
      <c r="P1968" s="180"/>
      <c r="Q1968" s="180"/>
      <c r="R1968" s="180"/>
    </row>
    <row r="1969" spans="1:18" s="18" customFormat="1" ht="86.25" customHeight="1">
      <c r="A1969" s="16" t="s">
        <v>963</v>
      </c>
      <c r="B1969" s="14">
        <v>793</v>
      </c>
      <c r="C1969" s="15" t="s">
        <v>53</v>
      </c>
      <c r="D1969" s="15" t="s">
        <v>120</v>
      </c>
      <c r="E1969" s="15" t="s">
        <v>102</v>
      </c>
      <c r="F1969" s="15"/>
      <c r="G1969" s="70">
        <f>G1970</f>
        <v>2440800</v>
      </c>
      <c r="H1969" s="70">
        <f t="shared" ref="H1969" si="519">H1970+H1973</f>
        <v>0</v>
      </c>
      <c r="I1969" s="70">
        <f t="shared" ref="I1969" si="520">I1970+I1973</f>
        <v>0</v>
      </c>
      <c r="J1969" s="172"/>
      <c r="K1969" s="180"/>
      <c r="L1969" s="180"/>
      <c r="M1969" s="180"/>
      <c r="N1969" s="180"/>
      <c r="O1969" s="180"/>
      <c r="P1969" s="180"/>
      <c r="Q1969" s="180"/>
      <c r="R1969" s="180"/>
    </row>
    <row r="1970" spans="1:18" s="18" customFormat="1" ht="76.5" customHeight="1">
      <c r="A1970" s="16" t="s">
        <v>963</v>
      </c>
      <c r="B1970" s="14">
        <v>793</v>
      </c>
      <c r="C1970" s="15" t="s">
        <v>53</v>
      </c>
      <c r="D1970" s="15" t="s">
        <v>120</v>
      </c>
      <c r="E1970" s="15" t="s">
        <v>1252</v>
      </c>
      <c r="F1970" s="15"/>
      <c r="G1970" s="70">
        <f t="shared" ref="G1970:I1971" si="521">G1971</f>
        <v>2440800</v>
      </c>
      <c r="H1970" s="70">
        <f t="shared" si="521"/>
        <v>0</v>
      </c>
      <c r="I1970" s="70">
        <f t="shared" si="521"/>
        <v>0</v>
      </c>
      <c r="J1970" s="172"/>
      <c r="K1970" s="180"/>
      <c r="L1970" s="180"/>
      <c r="M1970" s="180"/>
      <c r="N1970" s="180"/>
      <c r="O1970" s="180"/>
      <c r="P1970" s="180"/>
      <c r="Q1970" s="180"/>
      <c r="R1970" s="180"/>
    </row>
    <row r="1971" spans="1:18" s="18" customFormat="1" ht="15" customHeight="1">
      <c r="A1971" s="16" t="s">
        <v>316</v>
      </c>
      <c r="B1971" s="14">
        <v>793</v>
      </c>
      <c r="C1971" s="15" t="s">
        <v>53</v>
      </c>
      <c r="D1971" s="15" t="s">
        <v>120</v>
      </c>
      <c r="E1971" s="15" t="s">
        <v>1252</v>
      </c>
      <c r="F1971" s="15" t="s">
        <v>36</v>
      </c>
      <c r="G1971" s="70">
        <f t="shared" si="521"/>
        <v>2440800</v>
      </c>
      <c r="H1971" s="70">
        <f t="shared" si="521"/>
        <v>0</v>
      </c>
      <c r="I1971" s="70">
        <f t="shared" si="521"/>
        <v>0</v>
      </c>
      <c r="J1971" s="172"/>
      <c r="K1971" s="180"/>
      <c r="L1971" s="180"/>
      <c r="M1971" s="180"/>
      <c r="N1971" s="180"/>
      <c r="O1971" s="180"/>
      <c r="P1971" s="180"/>
      <c r="Q1971" s="180"/>
      <c r="R1971" s="180"/>
    </row>
    <row r="1972" spans="1:18" s="18" customFormat="1" ht="32.25" customHeight="1">
      <c r="A1972" s="16" t="s">
        <v>37</v>
      </c>
      <c r="B1972" s="14">
        <v>793</v>
      </c>
      <c r="C1972" s="15" t="s">
        <v>53</v>
      </c>
      <c r="D1972" s="15" t="s">
        <v>120</v>
      </c>
      <c r="E1972" s="15" t="s">
        <v>1252</v>
      </c>
      <c r="F1972" s="15" t="s">
        <v>38</v>
      </c>
      <c r="G1972" s="70">
        <f>2723747.84-282947.84</f>
        <v>2440800</v>
      </c>
      <c r="H1972" s="70">
        <v>0</v>
      </c>
      <c r="I1972" s="70">
        <v>0</v>
      </c>
      <c r="J1972" s="172"/>
      <c r="K1972" s="180"/>
      <c r="L1972" s="180"/>
      <c r="M1972" s="180"/>
      <c r="N1972" s="180"/>
      <c r="O1972" s="180"/>
      <c r="P1972" s="180"/>
      <c r="Q1972" s="180"/>
      <c r="R1972" s="180"/>
    </row>
    <row r="1973" spans="1:18" s="18" customFormat="1" ht="86.25" customHeight="1">
      <c r="A1973" s="16" t="s">
        <v>1248</v>
      </c>
      <c r="B1973" s="14">
        <v>793</v>
      </c>
      <c r="C1973" s="15" t="s">
        <v>53</v>
      </c>
      <c r="D1973" s="15" t="s">
        <v>120</v>
      </c>
      <c r="E1973" s="15" t="s">
        <v>933</v>
      </c>
      <c r="F1973" s="15"/>
      <c r="G1973" s="70">
        <f>G1974+G1977</f>
        <v>2472500</v>
      </c>
      <c r="H1973" s="70">
        <f t="shared" ref="H1973:I1973" si="522">H1974+H1977</f>
        <v>0</v>
      </c>
      <c r="I1973" s="70">
        <f t="shared" si="522"/>
        <v>0</v>
      </c>
      <c r="J1973" s="172"/>
      <c r="K1973" s="180"/>
      <c r="L1973" s="180"/>
      <c r="M1973" s="180"/>
      <c r="N1973" s="180"/>
      <c r="O1973" s="180"/>
      <c r="P1973" s="180"/>
      <c r="Q1973" s="180"/>
      <c r="R1973" s="180"/>
    </row>
    <row r="1974" spans="1:18" s="18" customFormat="1" ht="76.5" customHeight="1">
      <c r="A1974" s="16" t="s">
        <v>1042</v>
      </c>
      <c r="B1974" s="14">
        <v>793</v>
      </c>
      <c r="C1974" s="15" t="s">
        <v>53</v>
      </c>
      <c r="D1974" s="15" t="s">
        <v>120</v>
      </c>
      <c r="E1974" s="15" t="s">
        <v>1250</v>
      </c>
      <c r="F1974" s="15"/>
      <c r="G1974" s="70">
        <f t="shared" ref="G1974:I1978" si="523">G1975</f>
        <v>2412500</v>
      </c>
      <c r="H1974" s="70">
        <f t="shared" si="523"/>
        <v>0</v>
      </c>
      <c r="I1974" s="70">
        <f t="shared" si="523"/>
        <v>0</v>
      </c>
      <c r="J1974" s="172"/>
      <c r="K1974" s="180"/>
      <c r="L1974" s="180"/>
      <c r="M1974" s="180"/>
      <c r="N1974" s="180"/>
      <c r="O1974" s="180"/>
      <c r="P1974" s="180"/>
      <c r="Q1974" s="180"/>
      <c r="R1974" s="180"/>
    </row>
    <row r="1975" spans="1:18" s="18" customFormat="1" ht="15" customHeight="1">
      <c r="A1975" s="16" t="s">
        <v>316</v>
      </c>
      <c r="B1975" s="14">
        <v>793</v>
      </c>
      <c r="C1975" s="15" t="s">
        <v>53</v>
      </c>
      <c r="D1975" s="15" t="s">
        <v>120</v>
      </c>
      <c r="E1975" s="15" t="s">
        <v>1250</v>
      </c>
      <c r="F1975" s="15" t="s">
        <v>36</v>
      </c>
      <c r="G1975" s="70">
        <f t="shared" si="523"/>
        <v>2412500</v>
      </c>
      <c r="H1975" s="70">
        <f t="shared" si="523"/>
        <v>0</v>
      </c>
      <c r="I1975" s="70">
        <f t="shared" si="523"/>
        <v>0</v>
      </c>
      <c r="J1975" s="172"/>
      <c r="K1975" s="180"/>
      <c r="L1975" s="180"/>
      <c r="M1975" s="180"/>
      <c r="N1975" s="180"/>
      <c r="O1975" s="180"/>
      <c r="P1975" s="180"/>
      <c r="Q1975" s="180"/>
      <c r="R1975" s="180"/>
    </row>
    <row r="1976" spans="1:18" s="18" customFormat="1" ht="32.25" customHeight="1">
      <c r="A1976" s="16" t="s">
        <v>37</v>
      </c>
      <c r="B1976" s="14">
        <v>793</v>
      </c>
      <c r="C1976" s="15" t="s">
        <v>53</v>
      </c>
      <c r="D1976" s="15" t="s">
        <v>120</v>
      </c>
      <c r="E1976" s="15" t="s">
        <v>1250</v>
      </c>
      <c r="F1976" s="15" t="s">
        <v>38</v>
      </c>
      <c r="G1976" s="70">
        <v>2412500</v>
      </c>
      <c r="H1976" s="70">
        <v>0</v>
      </c>
      <c r="I1976" s="70">
        <v>0</v>
      </c>
      <c r="J1976" s="172"/>
      <c r="K1976" s="180"/>
      <c r="L1976" s="180"/>
      <c r="M1976" s="180"/>
      <c r="N1976" s="180"/>
      <c r="O1976" s="180"/>
      <c r="P1976" s="180"/>
      <c r="Q1976" s="180"/>
      <c r="R1976" s="180"/>
    </row>
    <row r="1977" spans="1:18" s="18" customFormat="1" ht="76.5" customHeight="1">
      <c r="A1977" s="16" t="s">
        <v>1249</v>
      </c>
      <c r="B1977" s="14">
        <v>793</v>
      </c>
      <c r="C1977" s="15" t="s">
        <v>53</v>
      </c>
      <c r="D1977" s="15" t="s">
        <v>120</v>
      </c>
      <c r="E1977" s="15" t="s">
        <v>1251</v>
      </c>
      <c r="F1977" s="15"/>
      <c r="G1977" s="70">
        <f t="shared" si="523"/>
        <v>60000</v>
      </c>
      <c r="H1977" s="70">
        <f t="shared" si="523"/>
        <v>0</v>
      </c>
      <c r="I1977" s="70">
        <f t="shared" si="523"/>
        <v>0</v>
      </c>
      <c r="J1977" s="172"/>
      <c r="K1977" s="180"/>
      <c r="L1977" s="180"/>
      <c r="M1977" s="180"/>
      <c r="N1977" s="180"/>
      <c r="O1977" s="180"/>
      <c r="P1977" s="180"/>
      <c r="Q1977" s="180"/>
      <c r="R1977" s="180"/>
    </row>
    <row r="1978" spans="1:18" s="18" customFormat="1" ht="15" customHeight="1">
      <c r="A1978" s="16" t="s">
        <v>316</v>
      </c>
      <c r="B1978" s="14">
        <v>793</v>
      </c>
      <c r="C1978" s="15" t="s">
        <v>53</v>
      </c>
      <c r="D1978" s="15" t="s">
        <v>120</v>
      </c>
      <c r="E1978" s="15" t="s">
        <v>1251</v>
      </c>
      <c r="F1978" s="15" t="s">
        <v>36</v>
      </c>
      <c r="G1978" s="70">
        <f t="shared" si="523"/>
        <v>60000</v>
      </c>
      <c r="H1978" s="70">
        <f t="shared" si="523"/>
        <v>0</v>
      </c>
      <c r="I1978" s="70">
        <f t="shared" si="523"/>
        <v>0</v>
      </c>
      <c r="J1978" s="172"/>
      <c r="K1978" s="180"/>
      <c r="L1978" s="180"/>
      <c r="M1978" s="180"/>
      <c r="N1978" s="180"/>
      <c r="O1978" s="180"/>
      <c r="P1978" s="180"/>
      <c r="Q1978" s="180"/>
      <c r="R1978" s="180"/>
    </row>
    <row r="1979" spans="1:18" s="18" customFormat="1" ht="32.25" customHeight="1">
      <c r="A1979" s="16" t="s">
        <v>37</v>
      </c>
      <c r="B1979" s="14">
        <v>793</v>
      </c>
      <c r="C1979" s="15" t="s">
        <v>53</v>
      </c>
      <c r="D1979" s="15" t="s">
        <v>120</v>
      </c>
      <c r="E1979" s="15" t="s">
        <v>1251</v>
      </c>
      <c r="F1979" s="15" t="s">
        <v>38</v>
      </c>
      <c r="G1979" s="70">
        <f>200000-140000</f>
        <v>60000</v>
      </c>
      <c r="H1979" s="70">
        <v>0</v>
      </c>
      <c r="I1979" s="70">
        <v>0</v>
      </c>
      <c r="J1979" s="172"/>
      <c r="K1979" s="180"/>
      <c r="L1979" s="180"/>
      <c r="M1979" s="180"/>
      <c r="N1979" s="180"/>
      <c r="O1979" s="180"/>
      <c r="P1979" s="180"/>
      <c r="Q1979" s="180"/>
      <c r="R1979" s="180"/>
    </row>
    <row r="1980" spans="1:18" s="18" customFormat="1" ht="45.75" customHeight="1">
      <c r="A1980" s="82" t="s">
        <v>1164</v>
      </c>
      <c r="B1980" s="49">
        <v>793</v>
      </c>
      <c r="C1980" s="15" t="s">
        <v>53</v>
      </c>
      <c r="D1980" s="15" t="s">
        <v>120</v>
      </c>
      <c r="E1980" s="15" t="s">
        <v>1092</v>
      </c>
      <c r="F1980" s="15"/>
      <c r="G1980" s="70">
        <f>G1981</f>
        <v>11895975</v>
      </c>
      <c r="H1980" s="70">
        <f t="shared" ref="H1980" si="524">H1981</f>
        <v>0</v>
      </c>
      <c r="I1980" s="70">
        <v>0</v>
      </c>
      <c r="J1980" s="172"/>
      <c r="K1980" s="180"/>
      <c r="L1980" s="180"/>
      <c r="M1980" s="180"/>
      <c r="N1980" s="180"/>
      <c r="O1980" s="180"/>
      <c r="P1980" s="180"/>
      <c r="Q1980" s="180"/>
      <c r="R1980" s="180"/>
    </row>
    <row r="1981" spans="1:18" ht="30.75" customHeight="1">
      <c r="A1981" s="16" t="s">
        <v>35</v>
      </c>
      <c r="B1981" s="49">
        <v>793</v>
      </c>
      <c r="C1981" s="15" t="s">
        <v>53</v>
      </c>
      <c r="D1981" s="15" t="s">
        <v>120</v>
      </c>
      <c r="E1981" s="15" t="s">
        <v>1092</v>
      </c>
      <c r="F1981" s="15" t="s">
        <v>36</v>
      </c>
      <c r="G1981" s="70">
        <f t="shared" ref="G1981:I1981" si="525">G1982</f>
        <v>11895975</v>
      </c>
      <c r="H1981" s="70">
        <f t="shared" si="525"/>
        <v>0</v>
      </c>
      <c r="I1981" s="70">
        <f t="shared" si="525"/>
        <v>0</v>
      </c>
      <c r="J1981" s="172"/>
      <c r="K1981" s="69"/>
      <c r="L1981" s="69"/>
      <c r="M1981" s="69"/>
      <c r="N1981" s="69"/>
      <c r="O1981" s="69"/>
      <c r="P1981" s="69"/>
      <c r="Q1981" s="69"/>
      <c r="R1981" s="69"/>
    </row>
    <row r="1982" spans="1:18" s="18" customFormat="1" ht="34.5" customHeight="1">
      <c r="A1982" s="16" t="s">
        <v>37</v>
      </c>
      <c r="B1982" s="49">
        <v>793</v>
      </c>
      <c r="C1982" s="15" t="s">
        <v>53</v>
      </c>
      <c r="D1982" s="15" t="s">
        <v>120</v>
      </c>
      <c r="E1982" s="15" t="s">
        <v>1092</v>
      </c>
      <c r="F1982" s="15" t="s">
        <v>38</v>
      </c>
      <c r="G1982" s="70">
        <v>11895975</v>
      </c>
      <c r="H1982" s="70">
        <v>0</v>
      </c>
      <c r="I1982" s="70">
        <v>0</v>
      </c>
      <c r="J1982" s="172"/>
      <c r="K1982" s="180"/>
      <c r="L1982" s="180"/>
      <c r="M1982" s="180"/>
      <c r="N1982" s="180"/>
      <c r="O1982" s="180"/>
      <c r="P1982" s="180"/>
      <c r="Q1982" s="180"/>
      <c r="R1982" s="180"/>
    </row>
    <row r="1983" spans="1:18" s="18" customFormat="1" ht="39" hidden="1" customHeight="1">
      <c r="A1983" s="16" t="s">
        <v>1094</v>
      </c>
      <c r="B1983" s="49">
        <v>793</v>
      </c>
      <c r="C1983" s="15" t="s">
        <v>53</v>
      </c>
      <c r="D1983" s="15" t="s">
        <v>120</v>
      </c>
      <c r="E1983" s="15" t="s">
        <v>1093</v>
      </c>
      <c r="F1983" s="15"/>
      <c r="G1983" s="70">
        <f>G1985</f>
        <v>0</v>
      </c>
      <c r="H1983" s="70">
        <f>H1985</f>
        <v>0</v>
      </c>
      <c r="I1983" s="70">
        <f>I1985</f>
        <v>0</v>
      </c>
      <c r="J1983" s="172"/>
      <c r="K1983" s="180"/>
      <c r="L1983" s="180"/>
      <c r="M1983" s="180"/>
      <c r="N1983" s="180"/>
      <c r="O1983" s="180"/>
      <c r="P1983" s="180"/>
      <c r="Q1983" s="180"/>
      <c r="R1983" s="180"/>
    </row>
    <row r="1984" spans="1:18" s="18" customFormat="1" ht="71.25" hidden="1" customHeight="1">
      <c r="A1984" s="16" t="s">
        <v>1186</v>
      </c>
      <c r="B1984" s="49">
        <v>793</v>
      </c>
      <c r="C1984" s="15" t="s">
        <v>53</v>
      </c>
      <c r="D1984" s="15" t="s">
        <v>120</v>
      </c>
      <c r="E1984" s="15" t="s">
        <v>1093</v>
      </c>
      <c r="F1984" s="15"/>
      <c r="G1984" s="70">
        <f>G1985</f>
        <v>0</v>
      </c>
      <c r="H1984" s="70">
        <f t="shared" ref="H1984" si="526">H1985</f>
        <v>0</v>
      </c>
      <c r="I1984" s="70">
        <f t="shared" ref="I1984" si="527">I1985</f>
        <v>0</v>
      </c>
      <c r="J1984" s="172"/>
      <c r="K1984" s="180"/>
      <c r="L1984" s="180"/>
      <c r="M1984" s="180"/>
      <c r="N1984" s="180"/>
      <c r="O1984" s="180"/>
      <c r="P1984" s="180"/>
      <c r="Q1984" s="180"/>
      <c r="R1984" s="180"/>
    </row>
    <row r="1985" spans="1:18" ht="30.75" hidden="1" customHeight="1">
      <c r="A1985" s="16" t="s">
        <v>35</v>
      </c>
      <c r="B1985" s="49">
        <v>793</v>
      </c>
      <c r="C1985" s="15" t="s">
        <v>53</v>
      </c>
      <c r="D1985" s="15" t="s">
        <v>120</v>
      </c>
      <c r="E1985" s="15" t="s">
        <v>1093</v>
      </c>
      <c r="F1985" s="15" t="s">
        <v>36</v>
      </c>
      <c r="G1985" s="70">
        <f t="shared" ref="G1985:I1985" si="528">G1986</f>
        <v>0</v>
      </c>
      <c r="H1985" s="70">
        <f t="shared" si="528"/>
        <v>0</v>
      </c>
      <c r="I1985" s="70">
        <f t="shared" si="528"/>
        <v>0</v>
      </c>
      <c r="J1985" s="172"/>
      <c r="K1985" s="69"/>
      <c r="L1985" s="69"/>
      <c r="M1985" s="69"/>
      <c r="N1985" s="69"/>
      <c r="O1985" s="69"/>
      <c r="P1985" s="69"/>
      <c r="Q1985" s="69"/>
      <c r="R1985" s="69"/>
    </row>
    <row r="1986" spans="1:18" s="18" customFormat="1" ht="34.5" hidden="1" customHeight="1">
      <c r="A1986" s="16" t="s">
        <v>37</v>
      </c>
      <c r="B1986" s="49">
        <v>793</v>
      </c>
      <c r="C1986" s="15" t="s">
        <v>53</v>
      </c>
      <c r="D1986" s="15" t="s">
        <v>120</v>
      </c>
      <c r="E1986" s="15" t="s">
        <v>1093</v>
      </c>
      <c r="F1986" s="15" t="s">
        <v>38</v>
      </c>
      <c r="G1986" s="70">
        <f>5000000-5000000</f>
        <v>0</v>
      </c>
      <c r="H1986" s="70">
        <v>0</v>
      </c>
      <c r="I1986" s="70">
        <v>0</v>
      </c>
      <c r="J1986" s="172"/>
      <c r="K1986" s="180"/>
      <c r="L1986" s="180"/>
      <c r="M1986" s="180"/>
      <c r="N1986" s="180"/>
      <c r="O1986" s="180"/>
      <c r="P1986" s="180"/>
      <c r="Q1986" s="180"/>
      <c r="R1986" s="180"/>
    </row>
    <row r="1987" spans="1:18" s="18" customFormat="1" ht="39" hidden="1" customHeight="1">
      <c r="A1987" s="16" t="s">
        <v>1096</v>
      </c>
      <c r="B1987" s="49">
        <v>793</v>
      </c>
      <c r="C1987" s="15" t="s">
        <v>53</v>
      </c>
      <c r="D1987" s="15" t="s">
        <v>120</v>
      </c>
      <c r="E1987" s="15" t="s">
        <v>1095</v>
      </c>
      <c r="F1987" s="15"/>
      <c r="G1987" s="70">
        <f>G1989</f>
        <v>2000000</v>
      </c>
      <c r="H1987" s="70">
        <f>H1989</f>
        <v>0</v>
      </c>
      <c r="I1987" s="70">
        <f>I1989</f>
        <v>0</v>
      </c>
      <c r="J1987" s="172"/>
      <c r="K1987" s="180"/>
      <c r="L1987" s="180"/>
      <c r="M1987" s="180"/>
      <c r="N1987" s="180"/>
      <c r="O1987" s="180"/>
      <c r="P1987" s="180"/>
      <c r="Q1987" s="180"/>
      <c r="R1987" s="180"/>
    </row>
    <row r="1988" spans="1:18" s="18" customFormat="1" ht="63" customHeight="1">
      <c r="A1988" s="82" t="s">
        <v>1507</v>
      </c>
      <c r="B1988" s="49">
        <v>793</v>
      </c>
      <c r="C1988" s="15" t="s">
        <v>53</v>
      </c>
      <c r="D1988" s="15" t="s">
        <v>120</v>
      </c>
      <c r="E1988" s="15" t="s">
        <v>1095</v>
      </c>
      <c r="F1988" s="15"/>
      <c r="G1988" s="70">
        <f>G1989</f>
        <v>2000000</v>
      </c>
      <c r="H1988" s="70">
        <f t="shared" ref="H1988" si="529">H1989</f>
        <v>0</v>
      </c>
      <c r="I1988" s="70">
        <f t="shared" ref="I1988" si="530">I1989</f>
        <v>0</v>
      </c>
      <c r="J1988" s="172"/>
      <c r="K1988" s="180"/>
      <c r="L1988" s="180"/>
      <c r="M1988" s="180"/>
      <c r="N1988" s="180"/>
      <c r="O1988" s="180"/>
      <c r="P1988" s="180"/>
      <c r="Q1988" s="180"/>
      <c r="R1988" s="180"/>
    </row>
    <row r="1989" spans="1:18" ht="30.75" customHeight="1">
      <c r="A1989" s="16" t="s">
        <v>35</v>
      </c>
      <c r="B1989" s="49">
        <v>793</v>
      </c>
      <c r="C1989" s="15" t="s">
        <v>53</v>
      </c>
      <c r="D1989" s="15" t="s">
        <v>120</v>
      </c>
      <c r="E1989" s="15" t="s">
        <v>1095</v>
      </c>
      <c r="F1989" s="15" t="s">
        <v>36</v>
      </c>
      <c r="G1989" s="70">
        <f t="shared" ref="G1989:I1989" si="531">G1990</f>
        <v>2000000</v>
      </c>
      <c r="H1989" s="70">
        <f t="shared" si="531"/>
        <v>0</v>
      </c>
      <c r="I1989" s="70">
        <f t="shared" si="531"/>
        <v>0</v>
      </c>
      <c r="J1989" s="172"/>
      <c r="K1989" s="69"/>
      <c r="L1989" s="69"/>
      <c r="M1989" s="69"/>
      <c r="N1989" s="69"/>
      <c r="O1989" s="69"/>
      <c r="P1989" s="69"/>
      <c r="Q1989" s="69"/>
      <c r="R1989" s="69"/>
    </row>
    <row r="1990" spans="1:18" s="18" customFormat="1" ht="34.5" customHeight="1">
      <c r="A1990" s="16" t="s">
        <v>37</v>
      </c>
      <c r="B1990" s="49">
        <v>793</v>
      </c>
      <c r="C1990" s="15" t="s">
        <v>53</v>
      </c>
      <c r="D1990" s="15" t="s">
        <v>120</v>
      </c>
      <c r="E1990" s="15" t="s">
        <v>1095</v>
      </c>
      <c r="F1990" s="15" t="s">
        <v>38</v>
      </c>
      <c r="G1990" s="70">
        <v>2000000</v>
      </c>
      <c r="H1990" s="70">
        <v>0</v>
      </c>
      <c r="I1990" s="70">
        <v>0</v>
      </c>
      <c r="J1990" s="172"/>
      <c r="K1990" s="180"/>
      <c r="L1990" s="180"/>
      <c r="M1990" s="180"/>
      <c r="N1990" s="180"/>
      <c r="O1990" s="180"/>
      <c r="P1990" s="180"/>
      <c r="Q1990" s="180"/>
      <c r="R1990" s="180"/>
    </row>
    <row r="1991" spans="1:18" s="18" customFormat="1" ht="39" hidden="1" customHeight="1">
      <c r="A1991" s="16" t="s">
        <v>1098</v>
      </c>
      <c r="B1991" s="49">
        <v>793</v>
      </c>
      <c r="C1991" s="15" t="s">
        <v>53</v>
      </c>
      <c r="D1991" s="15" t="s">
        <v>120</v>
      </c>
      <c r="E1991" s="15" t="s">
        <v>1097</v>
      </c>
      <c r="F1991" s="15"/>
      <c r="G1991" s="70">
        <f>G1993</f>
        <v>0</v>
      </c>
      <c r="H1991" s="70">
        <f>H1993</f>
        <v>0</v>
      </c>
      <c r="I1991" s="70">
        <f>I1993</f>
        <v>0</v>
      </c>
      <c r="J1991" s="172"/>
      <c r="K1991" s="180"/>
      <c r="L1991" s="180"/>
      <c r="M1991" s="180"/>
      <c r="N1991" s="180"/>
      <c r="O1991" s="180"/>
      <c r="P1991" s="180"/>
      <c r="Q1991" s="180"/>
      <c r="R1991" s="180"/>
    </row>
    <row r="1992" spans="1:18" s="18" customFormat="1" ht="71.25" customHeight="1">
      <c r="A1992" s="82" t="s">
        <v>1453</v>
      </c>
      <c r="B1992" s="49">
        <v>793</v>
      </c>
      <c r="C1992" s="15" t="s">
        <v>53</v>
      </c>
      <c r="D1992" s="15" t="s">
        <v>120</v>
      </c>
      <c r="E1992" s="15" t="s">
        <v>1097</v>
      </c>
      <c r="F1992" s="15"/>
      <c r="G1992" s="70">
        <f>G1993</f>
        <v>0</v>
      </c>
      <c r="H1992" s="70">
        <f t="shared" ref="H1992" si="532">H1993</f>
        <v>0</v>
      </c>
      <c r="I1992" s="70">
        <f t="shared" ref="I1992" si="533">I1993</f>
        <v>0</v>
      </c>
      <c r="J1992" s="172"/>
      <c r="K1992" s="180"/>
      <c r="L1992" s="180"/>
      <c r="M1992" s="180"/>
      <c r="N1992" s="180"/>
      <c r="O1992" s="180"/>
      <c r="P1992" s="180"/>
      <c r="Q1992" s="180"/>
      <c r="R1992" s="180"/>
    </row>
    <row r="1993" spans="1:18" ht="30.75" customHeight="1">
      <c r="A1993" s="16" t="s">
        <v>35</v>
      </c>
      <c r="B1993" s="49">
        <v>793</v>
      </c>
      <c r="C1993" s="15" t="s">
        <v>53</v>
      </c>
      <c r="D1993" s="15" t="s">
        <v>120</v>
      </c>
      <c r="E1993" s="15" t="s">
        <v>1097</v>
      </c>
      <c r="F1993" s="15" t="s">
        <v>36</v>
      </c>
      <c r="G1993" s="70">
        <f t="shared" ref="G1993:I1993" si="534">G1994</f>
        <v>0</v>
      </c>
      <c r="H1993" s="70">
        <f t="shared" si="534"/>
        <v>0</v>
      </c>
      <c r="I1993" s="70">
        <f t="shared" si="534"/>
        <v>0</v>
      </c>
      <c r="J1993" s="172"/>
      <c r="K1993" s="69"/>
      <c r="L1993" s="69"/>
      <c r="M1993" s="69"/>
      <c r="N1993" s="69"/>
      <c r="O1993" s="69"/>
      <c r="P1993" s="69"/>
      <c r="Q1993" s="69"/>
      <c r="R1993" s="69"/>
    </row>
    <row r="1994" spans="1:18" s="18" customFormat="1" ht="34.5" customHeight="1">
      <c r="A1994" s="16" t="s">
        <v>37</v>
      </c>
      <c r="B1994" s="49">
        <v>793</v>
      </c>
      <c r="C1994" s="15" t="s">
        <v>53</v>
      </c>
      <c r="D1994" s="15" t="s">
        <v>120</v>
      </c>
      <c r="E1994" s="15" t="s">
        <v>1097</v>
      </c>
      <c r="F1994" s="15" t="s">
        <v>38</v>
      </c>
      <c r="G1994" s="70"/>
      <c r="H1994" s="70">
        <v>0</v>
      </c>
      <c r="I1994" s="70">
        <v>0</v>
      </c>
      <c r="J1994" s="172">
        <f>G1994+G1990+G1986+G1982</f>
        <v>13895975</v>
      </c>
      <c r="K1994" s="180"/>
      <c r="L1994" s="180"/>
      <c r="M1994" s="180"/>
      <c r="N1994" s="180"/>
      <c r="O1994" s="180"/>
      <c r="P1994" s="180"/>
      <c r="Q1994" s="180"/>
      <c r="R1994" s="180"/>
    </row>
    <row r="1995" spans="1:18" ht="47.25" hidden="1" customHeight="1">
      <c r="A1995" s="16" t="s">
        <v>442</v>
      </c>
      <c r="B1995" s="14">
        <v>793</v>
      </c>
      <c r="C1995" s="15" t="s">
        <v>53</v>
      </c>
      <c r="D1995" s="15" t="s">
        <v>120</v>
      </c>
      <c r="E1995" s="15" t="s">
        <v>441</v>
      </c>
      <c r="F1995" s="15"/>
      <c r="G1995" s="70">
        <f>G1996</f>
        <v>0</v>
      </c>
      <c r="H1995" s="70">
        <f t="shared" ref="H1995:I1995" si="535">H1996</f>
        <v>0</v>
      </c>
      <c r="I1995" s="70">
        <f t="shared" si="535"/>
        <v>0</v>
      </c>
      <c r="J1995" s="172"/>
      <c r="K1995" s="69"/>
      <c r="L1995" s="69"/>
      <c r="M1995" s="69"/>
      <c r="N1995" s="69"/>
      <c r="O1995" s="69"/>
      <c r="P1995" s="69"/>
      <c r="Q1995" s="69"/>
      <c r="R1995" s="69"/>
    </row>
    <row r="1996" spans="1:18" ht="33.75" hidden="1" customHeight="1">
      <c r="A1996" s="16" t="s">
        <v>440</v>
      </c>
      <c r="B1996" s="14">
        <v>793</v>
      </c>
      <c r="C1996" s="15" t="s">
        <v>53</v>
      </c>
      <c r="D1996" s="15" t="s">
        <v>120</v>
      </c>
      <c r="E1996" s="15" t="s">
        <v>438</v>
      </c>
      <c r="F1996" s="15"/>
      <c r="G1996" s="70">
        <f>G1997</f>
        <v>0</v>
      </c>
      <c r="H1996" s="70">
        <f t="shared" ref="H1996:I1996" si="536">H1997</f>
        <v>0</v>
      </c>
      <c r="I1996" s="70">
        <f t="shared" si="536"/>
        <v>0</v>
      </c>
      <c r="J1996" s="172"/>
      <c r="K1996" s="69"/>
      <c r="L1996" s="69"/>
      <c r="M1996" s="69"/>
      <c r="N1996" s="69"/>
      <c r="O1996" s="69"/>
      <c r="P1996" s="69"/>
      <c r="Q1996" s="69"/>
      <c r="R1996" s="69"/>
    </row>
    <row r="1997" spans="1:18" ht="30.75" hidden="1" customHeight="1">
      <c r="A1997" s="16" t="s">
        <v>439</v>
      </c>
      <c r="B1997" s="14">
        <v>793</v>
      </c>
      <c r="C1997" s="15" t="s">
        <v>53</v>
      </c>
      <c r="D1997" s="15" t="s">
        <v>120</v>
      </c>
      <c r="E1997" s="15" t="s">
        <v>438</v>
      </c>
      <c r="F1997" s="15" t="s">
        <v>36</v>
      </c>
      <c r="G1997" s="70">
        <f>G1998</f>
        <v>0</v>
      </c>
      <c r="H1997" s="70">
        <f t="shared" ref="H1997:I1997" si="537">H1998</f>
        <v>0</v>
      </c>
      <c r="I1997" s="70">
        <f t="shared" si="537"/>
        <v>0</v>
      </c>
      <c r="J1997" s="172"/>
      <c r="K1997" s="69"/>
      <c r="L1997" s="69"/>
      <c r="M1997" s="69"/>
      <c r="N1997" s="69"/>
      <c r="O1997" s="69"/>
      <c r="P1997" s="69"/>
      <c r="Q1997" s="69"/>
      <c r="R1997" s="69"/>
    </row>
    <row r="1998" spans="1:18" ht="33" hidden="1" customHeight="1">
      <c r="A1998" s="16" t="s">
        <v>37</v>
      </c>
      <c r="B1998" s="14">
        <v>793</v>
      </c>
      <c r="C1998" s="15" t="s">
        <v>53</v>
      </c>
      <c r="D1998" s="15" t="s">
        <v>120</v>
      </c>
      <c r="E1998" s="15" t="s">
        <v>438</v>
      </c>
      <c r="F1998" s="15" t="s">
        <v>38</v>
      </c>
      <c r="G1998" s="70"/>
      <c r="H1998" s="70"/>
      <c r="I1998" s="70"/>
      <c r="J1998" s="172"/>
      <c r="K1998" s="69"/>
      <c r="L1998" s="69"/>
      <c r="M1998" s="69"/>
      <c r="N1998" s="69"/>
      <c r="O1998" s="69"/>
      <c r="P1998" s="69"/>
      <c r="Q1998" s="69"/>
      <c r="R1998" s="69"/>
    </row>
    <row r="1999" spans="1:18" s="18" customFormat="1" ht="32.25" hidden="1" customHeight="1">
      <c r="A1999" s="16" t="s">
        <v>491</v>
      </c>
      <c r="B1999" s="14">
        <v>793</v>
      </c>
      <c r="C1999" s="15" t="s">
        <v>53</v>
      </c>
      <c r="D1999" s="15" t="s">
        <v>120</v>
      </c>
      <c r="E1999" s="15" t="s">
        <v>196</v>
      </c>
      <c r="F1999" s="15"/>
      <c r="G1999" s="70">
        <f>G2003+G2000</f>
        <v>0</v>
      </c>
      <c r="H1999" s="70">
        <f t="shared" ref="H1999:I1999" si="538">H2004</f>
        <v>0</v>
      </c>
      <c r="I1999" s="70">
        <f t="shared" si="538"/>
        <v>0</v>
      </c>
      <c r="J1999" s="172"/>
      <c r="K1999" s="180"/>
      <c r="L1999" s="180"/>
      <c r="M1999" s="180"/>
      <c r="N1999" s="180"/>
      <c r="O1999" s="180"/>
      <c r="P1999" s="180"/>
      <c r="Q1999" s="180"/>
      <c r="R1999" s="180"/>
    </row>
    <row r="2000" spans="1:18" s="18" customFormat="1" ht="70.5" hidden="1" customHeight="1">
      <c r="A2000" s="16" t="s">
        <v>756</v>
      </c>
      <c r="B2000" s="14">
        <v>793</v>
      </c>
      <c r="C2000" s="15" t="s">
        <v>53</v>
      </c>
      <c r="D2000" s="15" t="s">
        <v>120</v>
      </c>
      <c r="E2000" s="15" t="s">
        <v>405</v>
      </c>
      <c r="F2000" s="15"/>
      <c r="G2000" s="70">
        <f t="shared" ref="G2000:I2001" si="539">G2001</f>
        <v>0</v>
      </c>
      <c r="H2000" s="70">
        <f t="shared" si="539"/>
        <v>0</v>
      </c>
      <c r="I2000" s="70">
        <f t="shared" si="539"/>
        <v>0</v>
      </c>
      <c r="J2000" s="172"/>
      <c r="K2000" s="180"/>
      <c r="L2000" s="180"/>
      <c r="M2000" s="180"/>
      <c r="N2000" s="180"/>
      <c r="O2000" s="180"/>
      <c r="P2000" s="180"/>
      <c r="Q2000" s="180"/>
      <c r="R2000" s="180"/>
    </row>
    <row r="2001" spans="1:20" s="18" customFormat="1" ht="39" hidden="1" customHeight="1">
      <c r="A2001" s="16" t="s">
        <v>94</v>
      </c>
      <c r="B2001" s="14">
        <v>793</v>
      </c>
      <c r="C2001" s="15" t="s">
        <v>53</v>
      </c>
      <c r="D2001" s="15" t="s">
        <v>120</v>
      </c>
      <c r="E2001" s="15" t="s">
        <v>405</v>
      </c>
      <c r="F2001" s="15" t="s">
        <v>338</v>
      </c>
      <c r="G2001" s="70">
        <f t="shared" si="539"/>
        <v>0</v>
      </c>
      <c r="H2001" s="70">
        <f t="shared" si="539"/>
        <v>0</v>
      </c>
      <c r="I2001" s="70">
        <f t="shared" si="539"/>
        <v>0</v>
      </c>
      <c r="J2001" s="172"/>
      <c r="K2001" s="180"/>
      <c r="L2001" s="180"/>
      <c r="M2001" s="180"/>
      <c r="N2001" s="180"/>
      <c r="O2001" s="180"/>
      <c r="P2001" s="180"/>
      <c r="Q2001" s="180"/>
      <c r="R2001" s="180"/>
    </row>
    <row r="2002" spans="1:20" s="18" customFormat="1" ht="15.75" hidden="1" customHeight="1">
      <c r="A2002" s="16" t="s">
        <v>339</v>
      </c>
      <c r="B2002" s="14">
        <v>793</v>
      </c>
      <c r="C2002" s="15" t="s">
        <v>53</v>
      </c>
      <c r="D2002" s="15" t="s">
        <v>120</v>
      </c>
      <c r="E2002" s="15" t="s">
        <v>405</v>
      </c>
      <c r="F2002" s="15" t="s">
        <v>340</v>
      </c>
      <c r="G2002" s="70"/>
      <c r="H2002" s="70"/>
      <c r="I2002" s="70"/>
      <c r="J2002" s="172"/>
      <c r="K2002" s="180"/>
      <c r="L2002" s="180"/>
      <c r="M2002" s="180"/>
      <c r="N2002" s="180"/>
      <c r="O2002" s="180"/>
      <c r="P2002" s="180"/>
      <c r="Q2002" s="180"/>
      <c r="R2002" s="180"/>
    </row>
    <row r="2003" spans="1:20" s="319" customFormat="1" ht="32.25" hidden="1" customHeight="1">
      <c r="A2003" s="295" t="s">
        <v>897</v>
      </c>
      <c r="B2003" s="301">
        <v>793</v>
      </c>
      <c r="C2003" s="298" t="s">
        <v>53</v>
      </c>
      <c r="D2003" s="298" t="s">
        <v>120</v>
      </c>
      <c r="E2003" s="298" t="s">
        <v>896</v>
      </c>
      <c r="F2003" s="298"/>
      <c r="G2003" s="160">
        <f>G2004</f>
        <v>0</v>
      </c>
      <c r="H2003" s="160">
        <f t="shared" ref="H2003:I2003" si="540">H2004</f>
        <v>0</v>
      </c>
      <c r="I2003" s="160">
        <f t="shared" si="540"/>
        <v>0</v>
      </c>
      <c r="J2003" s="302"/>
      <c r="K2003" s="318"/>
      <c r="L2003" s="318"/>
      <c r="M2003" s="318"/>
      <c r="N2003" s="318"/>
      <c r="O2003" s="318"/>
      <c r="P2003" s="318"/>
      <c r="Q2003" s="318"/>
      <c r="R2003" s="318"/>
    </row>
    <row r="2004" spans="1:20" s="319" customFormat="1" ht="70.5" hidden="1" customHeight="1">
      <c r="A2004" s="295" t="s">
        <v>898</v>
      </c>
      <c r="B2004" s="301">
        <v>793</v>
      </c>
      <c r="C2004" s="298" t="s">
        <v>53</v>
      </c>
      <c r="D2004" s="298" t="s">
        <v>120</v>
      </c>
      <c r="E2004" s="298" t="s">
        <v>899</v>
      </c>
      <c r="F2004" s="298"/>
      <c r="G2004" s="160">
        <f t="shared" ref="G2004:I2005" si="541">G2005</f>
        <v>0</v>
      </c>
      <c r="H2004" s="160">
        <f t="shared" si="541"/>
        <v>0</v>
      </c>
      <c r="I2004" s="160">
        <f t="shared" si="541"/>
        <v>0</v>
      </c>
      <c r="J2004" s="302"/>
      <c r="K2004" s="318"/>
      <c r="L2004" s="318"/>
      <c r="M2004" s="318"/>
      <c r="N2004" s="318"/>
      <c r="O2004" s="318"/>
      <c r="P2004" s="318"/>
      <c r="Q2004" s="318"/>
      <c r="R2004" s="318"/>
    </row>
    <row r="2005" spans="1:20" s="319" customFormat="1" ht="39" hidden="1" customHeight="1">
      <c r="A2005" s="295" t="s">
        <v>94</v>
      </c>
      <c r="B2005" s="301">
        <v>793</v>
      </c>
      <c r="C2005" s="298" t="s">
        <v>53</v>
      </c>
      <c r="D2005" s="298" t="s">
        <v>120</v>
      </c>
      <c r="E2005" s="298" t="s">
        <v>899</v>
      </c>
      <c r="F2005" s="298" t="s">
        <v>338</v>
      </c>
      <c r="G2005" s="160">
        <f t="shared" si="541"/>
        <v>0</v>
      </c>
      <c r="H2005" s="160">
        <f t="shared" si="541"/>
        <v>0</v>
      </c>
      <c r="I2005" s="160">
        <f t="shared" si="541"/>
        <v>0</v>
      </c>
      <c r="J2005" s="302"/>
      <c r="K2005" s="318"/>
      <c r="L2005" s="318"/>
      <c r="M2005" s="318"/>
      <c r="N2005" s="318"/>
      <c r="O2005" s="318"/>
      <c r="P2005" s="318"/>
      <c r="Q2005" s="318"/>
      <c r="R2005" s="318"/>
    </row>
    <row r="2006" spans="1:20" s="319" customFormat="1" ht="15.75" hidden="1" customHeight="1">
      <c r="A2006" s="295" t="s">
        <v>339</v>
      </c>
      <c r="B2006" s="301">
        <v>793</v>
      </c>
      <c r="C2006" s="298" t="s">
        <v>53</v>
      </c>
      <c r="D2006" s="298" t="s">
        <v>120</v>
      </c>
      <c r="E2006" s="298" t="s">
        <v>899</v>
      </c>
      <c r="F2006" s="298" t="s">
        <v>340</v>
      </c>
      <c r="G2006" s="160"/>
      <c r="H2006" s="160">
        <v>0</v>
      </c>
      <c r="I2006" s="160">
        <v>0</v>
      </c>
      <c r="J2006" s="302"/>
      <c r="K2006" s="318"/>
      <c r="L2006" s="318"/>
      <c r="M2006" s="318"/>
      <c r="N2006" s="318"/>
      <c r="O2006" s="318"/>
      <c r="P2006" s="318"/>
      <c r="Q2006" s="318"/>
      <c r="R2006" s="318"/>
    </row>
    <row r="2007" spans="1:20" s="146" customFormat="1" ht="26.25" customHeight="1">
      <c r="A2007" s="82" t="s">
        <v>158</v>
      </c>
      <c r="B2007" s="145">
        <v>793</v>
      </c>
      <c r="C2007" s="15" t="s">
        <v>53</v>
      </c>
      <c r="D2007" s="15" t="s">
        <v>120</v>
      </c>
      <c r="E2007" s="143" t="s">
        <v>204</v>
      </c>
      <c r="F2007" s="84"/>
      <c r="G2007" s="87">
        <f>G2011+G2008</f>
        <v>1065712.95</v>
      </c>
      <c r="H2007" s="87">
        <f t="shared" ref="H2007:I2007" si="542">H2011</f>
        <v>0</v>
      </c>
      <c r="I2007" s="87">
        <f t="shared" si="542"/>
        <v>0</v>
      </c>
      <c r="J2007" s="148">
        <v>1487719</v>
      </c>
      <c r="P2007" s="148"/>
      <c r="Q2007" s="148"/>
      <c r="R2007" s="148"/>
      <c r="S2007" s="148"/>
      <c r="T2007" s="148"/>
    </row>
    <row r="2008" spans="1:20" s="122" customFormat="1" ht="23.25" customHeight="1">
      <c r="A2008" s="82" t="s">
        <v>326</v>
      </c>
      <c r="B2008" s="145">
        <v>793</v>
      </c>
      <c r="C2008" s="15" t="s">
        <v>53</v>
      </c>
      <c r="D2008" s="15" t="s">
        <v>120</v>
      </c>
      <c r="E2008" s="84" t="s">
        <v>205</v>
      </c>
      <c r="F2008" s="84"/>
      <c r="G2008" s="87">
        <f t="shared" ref="G2008:I2009" si="543">G2009</f>
        <v>166896</v>
      </c>
      <c r="H2008" s="87">
        <f t="shared" si="543"/>
        <v>0</v>
      </c>
      <c r="I2008" s="87">
        <f t="shared" si="543"/>
        <v>0</v>
      </c>
      <c r="J2008" s="121"/>
      <c r="P2008" s="121"/>
      <c r="Q2008" s="121"/>
      <c r="R2008" s="121"/>
      <c r="S2008" s="121"/>
      <c r="T2008" s="121"/>
    </row>
    <row r="2009" spans="1:20" s="122" customFormat="1" ht="26.25" customHeight="1">
      <c r="A2009" s="82" t="s">
        <v>316</v>
      </c>
      <c r="B2009" s="145">
        <v>793</v>
      </c>
      <c r="C2009" s="15" t="s">
        <v>53</v>
      </c>
      <c r="D2009" s="15" t="s">
        <v>120</v>
      </c>
      <c r="E2009" s="84" t="s">
        <v>205</v>
      </c>
      <c r="F2009" s="84" t="s">
        <v>36</v>
      </c>
      <c r="G2009" s="87">
        <f t="shared" si="543"/>
        <v>166896</v>
      </c>
      <c r="H2009" s="87">
        <f t="shared" si="543"/>
        <v>0</v>
      </c>
      <c r="I2009" s="87">
        <f t="shared" si="543"/>
        <v>0</v>
      </c>
      <c r="J2009" s="121"/>
      <c r="P2009" s="121"/>
      <c r="Q2009" s="121"/>
      <c r="R2009" s="121"/>
      <c r="S2009" s="121"/>
      <c r="T2009" s="121"/>
    </row>
    <row r="2010" spans="1:20" s="122" customFormat="1" ht="26.25" customHeight="1">
      <c r="A2010" s="82" t="s">
        <v>37</v>
      </c>
      <c r="B2010" s="145">
        <v>793</v>
      </c>
      <c r="C2010" s="15" t="s">
        <v>53</v>
      </c>
      <c r="D2010" s="15" t="s">
        <v>120</v>
      </c>
      <c r="E2010" s="84" t="s">
        <v>205</v>
      </c>
      <c r="F2010" s="84" t="s">
        <v>38</v>
      </c>
      <c r="G2010" s="87">
        <v>166896</v>
      </c>
      <c r="H2010" s="87"/>
      <c r="I2010" s="87"/>
      <c r="J2010" s="121"/>
      <c r="P2010" s="121"/>
      <c r="Q2010" s="121"/>
      <c r="R2010" s="121"/>
      <c r="S2010" s="121"/>
      <c r="T2010" s="121"/>
    </row>
    <row r="2011" spans="1:20" ht="39" customHeight="1">
      <c r="A2011" s="16" t="s">
        <v>1271</v>
      </c>
      <c r="B2011" s="14">
        <v>793</v>
      </c>
      <c r="C2011" s="15" t="s">
        <v>53</v>
      </c>
      <c r="D2011" s="15" t="s">
        <v>120</v>
      </c>
      <c r="E2011" s="15" t="s">
        <v>1274</v>
      </c>
      <c r="F2011" s="15"/>
      <c r="G2011" s="70">
        <f>G2012+G2014</f>
        <v>898816.95</v>
      </c>
      <c r="H2011" s="70">
        <f t="shared" ref="H2011:I2011" si="544">H2012+H2014</f>
        <v>0</v>
      </c>
      <c r="I2011" s="70">
        <f t="shared" si="544"/>
        <v>0</v>
      </c>
      <c r="J2011" s="2"/>
      <c r="K2011" s="1"/>
      <c r="L2011" s="1"/>
      <c r="M2011" s="1"/>
      <c r="N2011" s="1"/>
      <c r="O2011" s="1"/>
      <c r="P2011" s="2"/>
      <c r="Q2011" s="2"/>
      <c r="R2011" s="2"/>
      <c r="S2011" s="2"/>
      <c r="T2011" s="2"/>
    </row>
    <row r="2012" spans="1:20" ht="29.25" hidden="1" customHeight="1">
      <c r="A2012" s="16" t="s">
        <v>316</v>
      </c>
      <c r="B2012" s="15" t="s">
        <v>92</v>
      </c>
      <c r="C2012" s="15" t="s">
        <v>53</v>
      </c>
      <c r="D2012" s="15" t="s">
        <v>120</v>
      </c>
      <c r="E2012" s="15" t="s">
        <v>205</v>
      </c>
      <c r="F2012" s="15" t="s">
        <v>36</v>
      </c>
      <c r="G2012" s="70">
        <f>G2013</f>
        <v>0</v>
      </c>
      <c r="H2012" s="70"/>
      <c r="I2012" s="70"/>
      <c r="J2012" s="2"/>
      <c r="K2012" s="1"/>
      <c r="L2012" s="1"/>
      <c r="M2012" s="1"/>
      <c r="N2012" s="1"/>
      <c r="O2012" s="1"/>
      <c r="P2012" s="2"/>
      <c r="Q2012" s="2"/>
      <c r="R2012" s="2"/>
      <c r="S2012" s="2"/>
      <c r="T2012" s="2"/>
    </row>
    <row r="2013" spans="1:20" ht="36.75" hidden="1" customHeight="1">
      <c r="A2013" s="16" t="s">
        <v>37</v>
      </c>
      <c r="B2013" s="15" t="s">
        <v>92</v>
      </c>
      <c r="C2013" s="15" t="s">
        <v>53</v>
      </c>
      <c r="D2013" s="15" t="s">
        <v>120</v>
      </c>
      <c r="E2013" s="15" t="s">
        <v>205</v>
      </c>
      <c r="F2013" s="15" t="s">
        <v>38</v>
      </c>
      <c r="G2013" s="70">
        <f>прил4!G3234</f>
        <v>0</v>
      </c>
      <c r="H2013" s="70"/>
      <c r="I2013" s="70"/>
      <c r="J2013" s="2"/>
      <c r="K2013" s="1"/>
      <c r="L2013" s="1"/>
      <c r="M2013" s="1"/>
      <c r="N2013" s="1"/>
      <c r="O2013" s="1"/>
      <c r="P2013" s="2"/>
      <c r="Q2013" s="2"/>
      <c r="R2013" s="2"/>
      <c r="S2013" s="2"/>
      <c r="T2013" s="2"/>
    </row>
    <row r="2014" spans="1:20">
      <c r="A2014" s="16" t="s">
        <v>316</v>
      </c>
      <c r="B2014" s="14">
        <v>793</v>
      </c>
      <c r="C2014" s="15" t="s">
        <v>53</v>
      </c>
      <c r="D2014" s="15" t="s">
        <v>120</v>
      </c>
      <c r="E2014" s="15" t="s">
        <v>1274</v>
      </c>
      <c r="F2014" s="15" t="s">
        <v>36</v>
      </c>
      <c r="G2014" s="70">
        <f t="shared" ref="G2014:I2014" si="545">G2015</f>
        <v>898816.95</v>
      </c>
      <c r="H2014" s="70">
        <f t="shared" si="545"/>
        <v>0</v>
      </c>
      <c r="I2014" s="70">
        <f t="shared" si="545"/>
        <v>0</v>
      </c>
      <c r="J2014" s="2"/>
      <c r="K2014" s="1"/>
      <c r="L2014" s="1"/>
      <c r="M2014" s="1"/>
      <c r="N2014" s="1"/>
      <c r="O2014" s="1"/>
      <c r="P2014" s="2"/>
      <c r="Q2014" s="2"/>
      <c r="R2014" s="2"/>
      <c r="S2014" s="2"/>
      <c r="T2014" s="2"/>
    </row>
    <row r="2015" spans="1:20" ht="29.4" customHeight="1">
      <c r="A2015" s="16" t="s">
        <v>37</v>
      </c>
      <c r="B2015" s="14">
        <v>793</v>
      </c>
      <c r="C2015" s="15" t="s">
        <v>53</v>
      </c>
      <c r="D2015" s="15" t="s">
        <v>120</v>
      </c>
      <c r="E2015" s="15" t="s">
        <v>1274</v>
      </c>
      <c r="F2015" s="15" t="s">
        <v>38</v>
      </c>
      <c r="G2015" s="70">
        <f>899261.95-445</f>
        <v>898816.95</v>
      </c>
      <c r="H2015" s="70">
        <f>прил4!H1377</f>
        <v>0</v>
      </c>
      <c r="I2015" s="70">
        <f>прил4!I1377</f>
        <v>0</v>
      </c>
      <c r="J2015" s="2"/>
      <c r="K2015" s="1"/>
      <c r="L2015" s="1"/>
      <c r="M2015" s="1"/>
      <c r="N2015" s="1"/>
      <c r="O2015" s="1"/>
      <c r="P2015" s="2"/>
      <c r="Q2015" s="2"/>
      <c r="R2015" s="2"/>
      <c r="S2015" s="2"/>
      <c r="T2015" s="2"/>
    </row>
    <row r="2016" spans="1:20" s="46" customFormat="1" ht="18.75" customHeight="1">
      <c r="A2016" s="16" t="s">
        <v>86</v>
      </c>
      <c r="B2016" s="14">
        <v>793</v>
      </c>
      <c r="C2016" s="15" t="s">
        <v>53</v>
      </c>
      <c r="D2016" s="15" t="s">
        <v>87</v>
      </c>
      <c r="E2016" s="15"/>
      <c r="F2016" s="14"/>
      <c r="G2016" s="70">
        <f>G2046+G2063+G2081+G2077+G2087+G2017</f>
        <v>4087505</v>
      </c>
      <c r="H2016" s="70">
        <f t="shared" ref="H2016:I2016" si="546">H2046+H2063+H2081+H2077</f>
        <v>1664715</v>
      </c>
      <c r="I2016" s="70">
        <f t="shared" si="546"/>
        <v>1664715</v>
      </c>
      <c r="J2016" s="172"/>
      <c r="K2016" s="172"/>
      <c r="L2016" s="172"/>
      <c r="M2016" s="172"/>
      <c r="N2016" s="172"/>
      <c r="O2016" s="172"/>
      <c r="P2016" s="58"/>
      <c r="Q2016" s="58"/>
      <c r="R2016" s="58"/>
    </row>
    <row r="2017" spans="1:22" s="33" customFormat="1" ht="60" customHeight="1">
      <c r="A2017" s="82" t="s">
        <v>1126</v>
      </c>
      <c r="B2017" s="14">
        <v>793</v>
      </c>
      <c r="C2017" s="15" t="s">
        <v>53</v>
      </c>
      <c r="D2017" s="15" t="s">
        <v>87</v>
      </c>
      <c r="E2017" s="14" t="s">
        <v>242</v>
      </c>
      <c r="F2017" s="15"/>
      <c r="G2017" s="70">
        <f>G2018+G2021+G2024+G2027+G2030+G2035+G2040+G2043</f>
        <v>2287505</v>
      </c>
      <c r="H2017" s="70">
        <f t="shared" ref="H2017:I2017" si="547">H2018+H2021</f>
        <v>0</v>
      </c>
      <c r="I2017" s="70">
        <f t="shared" si="547"/>
        <v>0</v>
      </c>
      <c r="J2017" s="113">
        <v>465200</v>
      </c>
      <c r="P2017" s="113"/>
      <c r="Q2017" s="113"/>
      <c r="R2017" s="113"/>
      <c r="S2017" s="113"/>
      <c r="T2017" s="113">
        <f>прил4!G3687</f>
        <v>0</v>
      </c>
      <c r="V2017" s="113">
        <f>G2020+G2049+G2057+G2060+G2063+G2066+G2091+G2094+G2097+G2101</f>
        <v>1107685901.6930001</v>
      </c>
    </row>
    <row r="2018" spans="1:22" s="28" customFormat="1" ht="45" customHeight="1">
      <c r="A2018" s="37" t="s">
        <v>1358</v>
      </c>
      <c r="B2018" s="14">
        <v>793</v>
      </c>
      <c r="C2018" s="15" t="s">
        <v>53</v>
      </c>
      <c r="D2018" s="15" t="s">
        <v>87</v>
      </c>
      <c r="E2018" s="15" t="s">
        <v>1356</v>
      </c>
      <c r="F2018" s="15"/>
      <c r="G2018" s="70">
        <f>G2019</f>
        <v>474050</v>
      </c>
      <c r="H2018" s="70">
        <f t="shared" ref="H2018:I2018" si="548">H2019</f>
        <v>0</v>
      </c>
      <c r="I2018" s="70">
        <f t="shared" si="548"/>
        <v>0</v>
      </c>
      <c r="J2018" s="172"/>
      <c r="K2018" s="313"/>
      <c r="L2018" s="313"/>
      <c r="M2018" s="313"/>
      <c r="N2018" s="313"/>
      <c r="O2018" s="313"/>
      <c r="P2018" s="313"/>
      <c r="Q2018" s="313"/>
      <c r="R2018" s="313"/>
    </row>
    <row r="2019" spans="1:22" s="32" customFormat="1" ht="28.5" customHeight="1">
      <c r="A2019" s="16" t="s">
        <v>35</v>
      </c>
      <c r="B2019" s="14">
        <v>793</v>
      </c>
      <c r="C2019" s="15" t="s">
        <v>53</v>
      </c>
      <c r="D2019" s="15" t="s">
        <v>87</v>
      </c>
      <c r="E2019" s="15" t="s">
        <v>1356</v>
      </c>
      <c r="F2019" s="15" t="s">
        <v>36</v>
      </c>
      <c r="G2019" s="70">
        <f>G2020</f>
        <v>474050</v>
      </c>
      <c r="H2019" s="70">
        <f>H2020</f>
        <v>0</v>
      </c>
      <c r="I2019" s="70">
        <f>I2020</f>
        <v>0</v>
      </c>
      <c r="J2019" s="172"/>
      <c r="K2019" s="336"/>
      <c r="L2019" s="336"/>
      <c r="M2019" s="336"/>
      <c r="N2019" s="336"/>
      <c r="O2019" s="336"/>
      <c r="P2019" s="336"/>
      <c r="Q2019" s="336"/>
      <c r="R2019" s="336"/>
    </row>
    <row r="2020" spans="1:22" s="32" customFormat="1" ht="26.4">
      <c r="A2020" s="16" t="s">
        <v>37</v>
      </c>
      <c r="B2020" s="14">
        <v>793</v>
      </c>
      <c r="C2020" s="15" t="s">
        <v>53</v>
      </c>
      <c r="D2020" s="15" t="s">
        <v>87</v>
      </c>
      <c r="E2020" s="15" t="s">
        <v>1356</v>
      </c>
      <c r="F2020" s="15" t="s">
        <v>38</v>
      </c>
      <c r="G2020" s="70">
        <v>474050</v>
      </c>
      <c r="H2020" s="70">
        <v>0</v>
      </c>
      <c r="I2020" s="70">
        <v>0</v>
      </c>
      <c r="J2020" s="172"/>
      <c r="K2020" s="338"/>
      <c r="L2020" s="336"/>
      <c r="M2020" s="336"/>
      <c r="N2020" s="336"/>
      <c r="O2020" s="336"/>
      <c r="P2020" s="336"/>
      <c r="Q2020" s="336"/>
      <c r="R2020" s="336"/>
    </row>
    <row r="2021" spans="1:22" s="28" customFormat="1" ht="42" customHeight="1">
      <c r="A2021" s="37" t="s">
        <v>1359</v>
      </c>
      <c r="B2021" s="14">
        <v>793</v>
      </c>
      <c r="C2021" s="15" t="s">
        <v>53</v>
      </c>
      <c r="D2021" s="15" t="s">
        <v>87</v>
      </c>
      <c r="E2021" s="15" t="s">
        <v>1357</v>
      </c>
      <c r="F2021" s="15"/>
      <c r="G2021" s="70">
        <f>G2022</f>
        <v>24950</v>
      </c>
      <c r="H2021" s="70">
        <f t="shared" ref="H2021:I2021" si="549">H2022</f>
        <v>0</v>
      </c>
      <c r="I2021" s="70">
        <f t="shared" si="549"/>
        <v>0</v>
      </c>
      <c r="J2021" s="172"/>
      <c r="K2021" s="313"/>
      <c r="L2021" s="313"/>
      <c r="M2021" s="313"/>
      <c r="N2021" s="313"/>
      <c r="O2021" s="313"/>
      <c r="P2021" s="313"/>
      <c r="Q2021" s="313"/>
      <c r="R2021" s="313"/>
    </row>
    <row r="2022" spans="1:22" s="32" customFormat="1" ht="28.5" customHeight="1">
      <c r="A2022" s="16" t="s">
        <v>35</v>
      </c>
      <c r="B2022" s="14">
        <v>793</v>
      </c>
      <c r="C2022" s="15" t="s">
        <v>53</v>
      </c>
      <c r="D2022" s="15" t="s">
        <v>87</v>
      </c>
      <c r="E2022" s="15" t="s">
        <v>1357</v>
      </c>
      <c r="F2022" s="15" t="s">
        <v>36</v>
      </c>
      <c r="G2022" s="70">
        <f>G2023</f>
        <v>24950</v>
      </c>
      <c r="H2022" s="70">
        <f>H2023</f>
        <v>0</v>
      </c>
      <c r="I2022" s="70">
        <f>I2023</f>
        <v>0</v>
      </c>
      <c r="J2022" s="172"/>
      <c r="K2022" s="336"/>
      <c r="L2022" s="336"/>
      <c r="M2022" s="336"/>
      <c r="N2022" s="336"/>
      <c r="O2022" s="336"/>
      <c r="P2022" s="336"/>
      <c r="Q2022" s="336"/>
      <c r="R2022" s="336"/>
    </row>
    <row r="2023" spans="1:22" s="32" customFormat="1" ht="26.4">
      <c r="A2023" s="16" t="s">
        <v>37</v>
      </c>
      <c r="B2023" s="14">
        <v>793</v>
      </c>
      <c r="C2023" s="15" t="s">
        <v>53</v>
      </c>
      <c r="D2023" s="15" t="s">
        <v>87</v>
      </c>
      <c r="E2023" s="15" t="s">
        <v>1357</v>
      </c>
      <c r="F2023" s="15" t="s">
        <v>38</v>
      </c>
      <c r="G2023" s="70">
        <v>24950</v>
      </c>
      <c r="H2023" s="70">
        <v>0</v>
      </c>
      <c r="I2023" s="70">
        <v>0</v>
      </c>
      <c r="J2023" s="172"/>
      <c r="K2023" s="338"/>
      <c r="L2023" s="336"/>
      <c r="M2023" s="336"/>
      <c r="N2023" s="336"/>
      <c r="O2023" s="336"/>
      <c r="P2023" s="336"/>
      <c r="Q2023" s="336"/>
      <c r="R2023" s="336"/>
    </row>
    <row r="2024" spans="1:22" s="28" customFormat="1" ht="28.5" customHeight="1">
      <c r="A2024" s="37" t="s">
        <v>1362</v>
      </c>
      <c r="B2024" s="14">
        <v>793</v>
      </c>
      <c r="C2024" s="15" t="s">
        <v>53</v>
      </c>
      <c r="D2024" s="15" t="s">
        <v>87</v>
      </c>
      <c r="E2024" s="15" t="s">
        <v>1360</v>
      </c>
      <c r="F2024" s="15"/>
      <c r="G2024" s="70">
        <f>G2025</f>
        <v>712975</v>
      </c>
      <c r="H2024" s="70">
        <f t="shared" ref="H2024:I2024" si="550">H2025</f>
        <v>0</v>
      </c>
      <c r="I2024" s="70">
        <f t="shared" si="550"/>
        <v>0</v>
      </c>
      <c r="J2024" s="172"/>
      <c r="K2024" s="313"/>
      <c r="L2024" s="313"/>
      <c r="M2024" s="313"/>
      <c r="N2024" s="313"/>
      <c r="O2024" s="313"/>
      <c r="P2024" s="313"/>
      <c r="Q2024" s="313"/>
      <c r="R2024" s="313"/>
    </row>
    <row r="2025" spans="1:22" s="32" customFormat="1" ht="28.5" customHeight="1">
      <c r="A2025" s="16" t="s">
        <v>35</v>
      </c>
      <c r="B2025" s="14">
        <v>793</v>
      </c>
      <c r="C2025" s="15" t="s">
        <v>53</v>
      </c>
      <c r="D2025" s="15" t="s">
        <v>87</v>
      </c>
      <c r="E2025" s="15" t="s">
        <v>1360</v>
      </c>
      <c r="F2025" s="15" t="s">
        <v>36</v>
      </c>
      <c r="G2025" s="70">
        <f>G2026</f>
        <v>712975</v>
      </c>
      <c r="H2025" s="70">
        <f>H2026</f>
        <v>0</v>
      </c>
      <c r="I2025" s="70">
        <f>I2026</f>
        <v>0</v>
      </c>
      <c r="J2025" s="172"/>
      <c r="K2025" s="336"/>
      <c r="L2025" s="336"/>
      <c r="M2025" s="336"/>
      <c r="N2025" s="336"/>
      <c r="O2025" s="336"/>
      <c r="P2025" s="336"/>
      <c r="Q2025" s="336"/>
      <c r="R2025" s="336"/>
    </row>
    <row r="2026" spans="1:22" s="32" customFormat="1" ht="26.4">
      <c r="A2026" s="16" t="s">
        <v>37</v>
      </c>
      <c r="B2026" s="14">
        <v>793</v>
      </c>
      <c r="C2026" s="15" t="s">
        <v>53</v>
      </c>
      <c r="D2026" s="15" t="s">
        <v>87</v>
      </c>
      <c r="E2026" s="15" t="s">
        <v>1360</v>
      </c>
      <c r="F2026" s="15" t="s">
        <v>38</v>
      </c>
      <c r="G2026" s="70">
        <v>712975</v>
      </c>
      <c r="H2026" s="70">
        <v>0</v>
      </c>
      <c r="I2026" s="70">
        <v>0</v>
      </c>
      <c r="J2026" s="172"/>
      <c r="K2026" s="338"/>
      <c r="L2026" s="336"/>
      <c r="M2026" s="336"/>
      <c r="N2026" s="336"/>
      <c r="O2026" s="336"/>
      <c r="P2026" s="336"/>
      <c r="Q2026" s="336"/>
      <c r="R2026" s="336"/>
    </row>
    <row r="2027" spans="1:22" s="28" customFormat="1" ht="42" customHeight="1">
      <c r="A2027" s="37" t="s">
        <v>1363</v>
      </c>
      <c r="B2027" s="14">
        <v>793</v>
      </c>
      <c r="C2027" s="15" t="s">
        <v>53</v>
      </c>
      <c r="D2027" s="15" t="s">
        <v>87</v>
      </c>
      <c r="E2027" s="15" t="s">
        <v>1361</v>
      </c>
      <c r="F2027" s="15"/>
      <c r="G2027" s="70">
        <f>G2028</f>
        <v>37525</v>
      </c>
      <c r="H2027" s="70">
        <f t="shared" ref="H2027:I2027" si="551">H2028</f>
        <v>0</v>
      </c>
      <c r="I2027" s="70">
        <f t="shared" si="551"/>
        <v>0</v>
      </c>
      <c r="J2027" s="172"/>
      <c r="K2027" s="313"/>
      <c r="L2027" s="313"/>
      <c r="M2027" s="313"/>
      <c r="N2027" s="313"/>
      <c r="O2027" s="313"/>
      <c r="P2027" s="313"/>
      <c r="Q2027" s="313"/>
      <c r="R2027" s="313"/>
    </row>
    <row r="2028" spans="1:22" s="32" customFormat="1" ht="28.5" customHeight="1">
      <c r="A2028" s="16" t="s">
        <v>35</v>
      </c>
      <c r="B2028" s="14">
        <v>793</v>
      </c>
      <c r="C2028" s="15" t="s">
        <v>53</v>
      </c>
      <c r="D2028" s="15" t="s">
        <v>87</v>
      </c>
      <c r="E2028" s="15" t="s">
        <v>1361</v>
      </c>
      <c r="F2028" s="15" t="s">
        <v>36</v>
      </c>
      <c r="G2028" s="70">
        <f>G2029</f>
        <v>37525</v>
      </c>
      <c r="H2028" s="70">
        <f>H2029</f>
        <v>0</v>
      </c>
      <c r="I2028" s="70">
        <f>I2029</f>
        <v>0</v>
      </c>
      <c r="J2028" s="172"/>
      <c r="K2028" s="336"/>
      <c r="L2028" s="336"/>
      <c r="M2028" s="336"/>
      <c r="N2028" s="336"/>
      <c r="O2028" s="336"/>
      <c r="P2028" s="336"/>
      <c r="Q2028" s="336"/>
      <c r="R2028" s="336"/>
    </row>
    <row r="2029" spans="1:22" s="32" customFormat="1" ht="26.4">
      <c r="A2029" s="16" t="s">
        <v>37</v>
      </c>
      <c r="B2029" s="14">
        <v>793</v>
      </c>
      <c r="C2029" s="15" t="s">
        <v>53</v>
      </c>
      <c r="D2029" s="15" t="s">
        <v>87</v>
      </c>
      <c r="E2029" s="15" t="s">
        <v>1361</v>
      </c>
      <c r="F2029" s="15" t="s">
        <v>38</v>
      </c>
      <c r="G2029" s="70">
        <v>37525</v>
      </c>
      <c r="H2029" s="70">
        <v>0</v>
      </c>
      <c r="I2029" s="70">
        <v>0</v>
      </c>
      <c r="J2029" s="172"/>
      <c r="K2029" s="338"/>
      <c r="L2029" s="336"/>
      <c r="M2029" s="336"/>
      <c r="N2029" s="336"/>
      <c r="O2029" s="336"/>
      <c r="P2029" s="336"/>
      <c r="Q2029" s="336"/>
      <c r="R2029" s="336"/>
    </row>
    <row r="2030" spans="1:22" s="28" customFormat="1" ht="45" customHeight="1">
      <c r="A2030" s="37" t="s">
        <v>1366</v>
      </c>
      <c r="B2030" s="14">
        <v>793</v>
      </c>
      <c r="C2030" s="15" t="s">
        <v>53</v>
      </c>
      <c r="D2030" s="15" t="s">
        <v>87</v>
      </c>
      <c r="E2030" s="15" t="s">
        <v>1364</v>
      </c>
      <c r="F2030" s="15"/>
      <c r="G2030" s="70">
        <f>G2031+G2033</f>
        <v>394729.75</v>
      </c>
      <c r="H2030" s="70">
        <f t="shared" ref="H2030:I2030" si="552">H2031</f>
        <v>0</v>
      </c>
      <c r="I2030" s="70">
        <f t="shared" si="552"/>
        <v>0</v>
      </c>
      <c r="J2030" s="172"/>
      <c r="K2030" s="313"/>
      <c r="L2030" s="313"/>
      <c r="M2030" s="313"/>
      <c r="N2030" s="313"/>
      <c r="O2030" s="313"/>
      <c r="P2030" s="313"/>
      <c r="Q2030" s="313"/>
      <c r="R2030" s="313"/>
    </row>
    <row r="2031" spans="1:22" s="32" customFormat="1" ht="28.5" customHeight="1">
      <c r="A2031" s="16" t="s">
        <v>35</v>
      </c>
      <c r="B2031" s="14">
        <v>793</v>
      </c>
      <c r="C2031" s="15" t="s">
        <v>53</v>
      </c>
      <c r="D2031" s="15" t="s">
        <v>87</v>
      </c>
      <c r="E2031" s="15" t="s">
        <v>1364</v>
      </c>
      <c r="F2031" s="15" t="s">
        <v>36</v>
      </c>
      <c r="G2031" s="70">
        <f>G2032</f>
        <v>394630.75</v>
      </c>
      <c r="H2031" s="70">
        <f>H2032</f>
        <v>0</v>
      </c>
      <c r="I2031" s="70">
        <f>I2032</f>
        <v>0</v>
      </c>
      <c r="J2031" s="172"/>
      <c r="K2031" s="336"/>
      <c r="L2031" s="336"/>
      <c r="M2031" s="336"/>
      <c r="N2031" s="336"/>
      <c r="O2031" s="336"/>
      <c r="P2031" s="336"/>
      <c r="Q2031" s="336"/>
      <c r="R2031" s="336"/>
    </row>
    <row r="2032" spans="1:22" s="32" customFormat="1" ht="26.4">
      <c r="A2032" s="16" t="s">
        <v>37</v>
      </c>
      <c r="B2032" s="14">
        <v>793</v>
      </c>
      <c r="C2032" s="15" t="s">
        <v>53</v>
      </c>
      <c r="D2032" s="15" t="s">
        <v>87</v>
      </c>
      <c r="E2032" s="15" t="s">
        <v>1364</v>
      </c>
      <c r="F2032" s="15" t="s">
        <v>38</v>
      </c>
      <c r="G2032" s="70">
        <v>394630.75</v>
      </c>
      <c r="H2032" s="70">
        <v>0</v>
      </c>
      <c r="I2032" s="70">
        <v>0</v>
      </c>
      <c r="J2032" s="172"/>
      <c r="K2032" s="338"/>
      <c r="L2032" s="336"/>
      <c r="M2032" s="336"/>
      <c r="N2032" s="336"/>
      <c r="O2032" s="336"/>
      <c r="P2032" s="336"/>
      <c r="Q2032" s="336"/>
      <c r="R2032" s="336"/>
    </row>
    <row r="2033" spans="1:18" s="32" customFormat="1" ht="21" customHeight="1">
      <c r="A2033" s="16" t="s">
        <v>62</v>
      </c>
      <c r="B2033" s="14">
        <v>793</v>
      </c>
      <c r="C2033" s="15" t="s">
        <v>53</v>
      </c>
      <c r="D2033" s="15" t="s">
        <v>87</v>
      </c>
      <c r="E2033" s="15" t="s">
        <v>1364</v>
      </c>
      <c r="F2033" s="15" t="s">
        <v>63</v>
      </c>
      <c r="G2033" s="70">
        <f>G2034</f>
        <v>99</v>
      </c>
      <c r="H2033" s="70"/>
      <c r="I2033" s="70"/>
      <c r="J2033" s="172"/>
      <c r="K2033" s="338"/>
      <c r="L2033" s="336"/>
      <c r="M2033" s="336"/>
      <c r="N2033" s="336"/>
      <c r="O2033" s="336"/>
      <c r="P2033" s="336"/>
      <c r="Q2033" s="336"/>
      <c r="R2033" s="336"/>
    </row>
    <row r="2034" spans="1:18" s="32" customFormat="1" ht="22.5" customHeight="1">
      <c r="A2034" s="16" t="s">
        <v>140</v>
      </c>
      <c r="B2034" s="14">
        <v>793</v>
      </c>
      <c r="C2034" s="15" t="s">
        <v>53</v>
      </c>
      <c r="D2034" s="15" t="s">
        <v>87</v>
      </c>
      <c r="E2034" s="15" t="s">
        <v>1364</v>
      </c>
      <c r="F2034" s="15" t="s">
        <v>66</v>
      </c>
      <c r="G2034" s="70">
        <v>99</v>
      </c>
      <c r="H2034" s="70"/>
      <c r="I2034" s="70"/>
      <c r="J2034" s="172"/>
      <c r="K2034" s="338"/>
      <c r="L2034" s="336"/>
      <c r="M2034" s="336"/>
      <c r="N2034" s="336"/>
      <c r="O2034" s="336"/>
      <c r="P2034" s="336"/>
      <c r="Q2034" s="336"/>
      <c r="R2034" s="336"/>
    </row>
    <row r="2035" spans="1:18" s="28" customFormat="1" ht="48.75" customHeight="1">
      <c r="A2035" s="37" t="s">
        <v>1367</v>
      </c>
      <c r="B2035" s="14">
        <v>793</v>
      </c>
      <c r="C2035" s="15" t="s">
        <v>53</v>
      </c>
      <c r="D2035" s="15" t="s">
        <v>87</v>
      </c>
      <c r="E2035" s="15" t="s">
        <v>1365</v>
      </c>
      <c r="F2035" s="15"/>
      <c r="G2035" s="70">
        <f>G2036+G2038</f>
        <v>20775.25</v>
      </c>
      <c r="H2035" s="70">
        <f t="shared" ref="H2035:I2035" si="553">H2036</f>
        <v>0</v>
      </c>
      <c r="I2035" s="70">
        <f t="shared" si="553"/>
        <v>0</v>
      </c>
      <c r="J2035" s="172"/>
      <c r="K2035" s="313"/>
      <c r="L2035" s="313"/>
      <c r="M2035" s="313"/>
      <c r="N2035" s="313"/>
      <c r="O2035" s="313"/>
      <c r="P2035" s="313"/>
      <c r="Q2035" s="313"/>
      <c r="R2035" s="313"/>
    </row>
    <row r="2036" spans="1:18" s="32" customFormat="1" ht="28.5" customHeight="1">
      <c r="A2036" s="16" t="s">
        <v>35</v>
      </c>
      <c r="B2036" s="14">
        <v>793</v>
      </c>
      <c r="C2036" s="15" t="s">
        <v>53</v>
      </c>
      <c r="D2036" s="15" t="s">
        <v>87</v>
      </c>
      <c r="E2036" s="15" t="s">
        <v>1365</v>
      </c>
      <c r="F2036" s="15" t="s">
        <v>36</v>
      </c>
      <c r="G2036" s="70">
        <f>G2037</f>
        <v>20770.04</v>
      </c>
      <c r="H2036" s="70">
        <f>H2037</f>
        <v>0</v>
      </c>
      <c r="I2036" s="70">
        <f>I2037</f>
        <v>0</v>
      </c>
      <c r="J2036" s="172"/>
      <c r="K2036" s="336"/>
      <c r="L2036" s="336"/>
      <c r="M2036" s="336"/>
      <c r="N2036" s="336"/>
      <c r="O2036" s="336"/>
      <c r="P2036" s="336"/>
      <c r="Q2036" s="336"/>
      <c r="R2036" s="336"/>
    </row>
    <row r="2037" spans="1:18" s="32" customFormat="1" ht="26.4">
      <c r="A2037" s="16" t="s">
        <v>37</v>
      </c>
      <c r="B2037" s="14">
        <v>793</v>
      </c>
      <c r="C2037" s="15" t="s">
        <v>53</v>
      </c>
      <c r="D2037" s="15" t="s">
        <v>87</v>
      </c>
      <c r="E2037" s="15" t="s">
        <v>1365</v>
      </c>
      <c r="F2037" s="15" t="s">
        <v>38</v>
      </c>
      <c r="G2037" s="70">
        <v>20770.04</v>
      </c>
      <c r="H2037" s="70">
        <v>0</v>
      </c>
      <c r="I2037" s="70">
        <v>0</v>
      </c>
      <c r="J2037" s="172"/>
      <c r="K2037" s="338"/>
      <c r="L2037" s="336"/>
      <c r="M2037" s="336"/>
      <c r="N2037" s="336"/>
      <c r="O2037" s="336"/>
      <c r="P2037" s="336"/>
      <c r="Q2037" s="336"/>
      <c r="R2037" s="336"/>
    </row>
    <row r="2038" spans="1:18" s="32" customFormat="1" ht="21" customHeight="1">
      <c r="A2038" s="16" t="s">
        <v>62</v>
      </c>
      <c r="B2038" s="14">
        <v>793</v>
      </c>
      <c r="C2038" s="15" t="s">
        <v>53</v>
      </c>
      <c r="D2038" s="15" t="s">
        <v>87</v>
      </c>
      <c r="E2038" s="15" t="s">
        <v>1365</v>
      </c>
      <c r="F2038" s="15" t="s">
        <v>63</v>
      </c>
      <c r="G2038" s="70">
        <f>G2039</f>
        <v>5.21</v>
      </c>
      <c r="H2038" s="70"/>
      <c r="I2038" s="70"/>
      <c r="J2038" s="172"/>
      <c r="K2038" s="338"/>
      <c r="L2038" s="336"/>
      <c r="M2038" s="336"/>
      <c r="N2038" s="336"/>
      <c r="O2038" s="336"/>
      <c r="P2038" s="336"/>
      <c r="Q2038" s="336"/>
      <c r="R2038" s="336"/>
    </row>
    <row r="2039" spans="1:18" s="32" customFormat="1" ht="22.5" customHeight="1">
      <c r="A2039" s="16" t="s">
        <v>140</v>
      </c>
      <c r="B2039" s="14">
        <v>793</v>
      </c>
      <c r="C2039" s="15" t="s">
        <v>53</v>
      </c>
      <c r="D2039" s="15" t="s">
        <v>87</v>
      </c>
      <c r="E2039" s="15" t="s">
        <v>1365</v>
      </c>
      <c r="F2039" s="15" t="s">
        <v>66</v>
      </c>
      <c r="G2039" s="70">
        <v>5.21</v>
      </c>
      <c r="H2039" s="70"/>
      <c r="I2039" s="70"/>
      <c r="J2039" s="172"/>
      <c r="K2039" s="338"/>
      <c r="L2039" s="336"/>
      <c r="M2039" s="336"/>
      <c r="N2039" s="336"/>
      <c r="O2039" s="336"/>
      <c r="P2039" s="336"/>
      <c r="Q2039" s="336"/>
      <c r="R2039" s="336"/>
    </row>
    <row r="2040" spans="1:18" s="28" customFormat="1" ht="45" customHeight="1">
      <c r="A2040" s="37" t="s">
        <v>1373</v>
      </c>
      <c r="B2040" s="14">
        <v>793</v>
      </c>
      <c r="C2040" s="15" t="s">
        <v>53</v>
      </c>
      <c r="D2040" s="15" t="s">
        <v>87</v>
      </c>
      <c r="E2040" s="15" t="s">
        <v>1368</v>
      </c>
      <c r="F2040" s="15"/>
      <c r="G2040" s="70">
        <f>G2041</f>
        <v>591036.98</v>
      </c>
      <c r="H2040" s="70">
        <f t="shared" ref="H2040:I2040" si="554">H2041</f>
        <v>0</v>
      </c>
      <c r="I2040" s="70">
        <f t="shared" si="554"/>
        <v>0</v>
      </c>
      <c r="J2040" s="172"/>
      <c r="K2040" s="313"/>
      <c r="L2040" s="313"/>
      <c r="M2040" s="313"/>
      <c r="N2040" s="313"/>
      <c r="O2040" s="313"/>
      <c r="P2040" s="313"/>
      <c r="Q2040" s="313"/>
      <c r="R2040" s="313"/>
    </row>
    <row r="2041" spans="1:18" s="32" customFormat="1" ht="28.5" customHeight="1">
      <c r="A2041" s="16" t="s">
        <v>35</v>
      </c>
      <c r="B2041" s="14">
        <v>793</v>
      </c>
      <c r="C2041" s="15" t="s">
        <v>53</v>
      </c>
      <c r="D2041" s="15" t="s">
        <v>87</v>
      </c>
      <c r="E2041" s="15" t="s">
        <v>1368</v>
      </c>
      <c r="F2041" s="15" t="s">
        <v>36</v>
      </c>
      <c r="G2041" s="70">
        <f>G2042</f>
        <v>591036.98</v>
      </c>
      <c r="H2041" s="70">
        <f>H2042</f>
        <v>0</v>
      </c>
      <c r="I2041" s="70">
        <f>I2042</f>
        <v>0</v>
      </c>
      <c r="J2041" s="172"/>
      <c r="K2041" s="336"/>
      <c r="L2041" s="336"/>
      <c r="M2041" s="336"/>
      <c r="N2041" s="336"/>
      <c r="O2041" s="336"/>
      <c r="P2041" s="336"/>
      <c r="Q2041" s="336"/>
      <c r="R2041" s="336"/>
    </row>
    <row r="2042" spans="1:18" s="32" customFormat="1" ht="26.4">
      <c r="A2042" s="16" t="s">
        <v>37</v>
      </c>
      <c r="B2042" s="14">
        <v>793</v>
      </c>
      <c r="C2042" s="15" t="s">
        <v>53</v>
      </c>
      <c r="D2042" s="15" t="s">
        <v>87</v>
      </c>
      <c r="E2042" s="15" t="s">
        <v>1368</v>
      </c>
      <c r="F2042" s="15" t="s">
        <v>38</v>
      </c>
      <c r="G2042" s="70">
        <v>591036.98</v>
      </c>
      <c r="H2042" s="70">
        <v>0</v>
      </c>
      <c r="I2042" s="70">
        <v>0</v>
      </c>
      <c r="J2042" s="172"/>
      <c r="K2042" s="338"/>
      <c r="L2042" s="336"/>
      <c r="M2042" s="336"/>
      <c r="N2042" s="336"/>
      <c r="O2042" s="336"/>
      <c r="P2042" s="336"/>
      <c r="Q2042" s="336"/>
      <c r="R2042" s="336"/>
    </row>
    <row r="2043" spans="1:18" s="28" customFormat="1" ht="48.75" customHeight="1">
      <c r="A2043" s="37" t="s">
        <v>1374</v>
      </c>
      <c r="B2043" s="14">
        <v>793</v>
      </c>
      <c r="C2043" s="15" t="s">
        <v>53</v>
      </c>
      <c r="D2043" s="15" t="s">
        <v>87</v>
      </c>
      <c r="E2043" s="15" t="s">
        <v>1369</v>
      </c>
      <c r="F2043" s="15"/>
      <c r="G2043" s="70">
        <f>G2044</f>
        <v>31463.02</v>
      </c>
      <c r="H2043" s="70">
        <f t="shared" ref="H2043:I2043" si="555">H2044</f>
        <v>0</v>
      </c>
      <c r="I2043" s="70">
        <f t="shared" si="555"/>
        <v>0</v>
      </c>
      <c r="J2043" s="172"/>
      <c r="K2043" s="313"/>
      <c r="L2043" s="313"/>
      <c r="M2043" s="313"/>
      <c r="N2043" s="313"/>
      <c r="O2043" s="313"/>
      <c r="P2043" s="313"/>
      <c r="Q2043" s="313"/>
      <c r="R2043" s="313"/>
    </row>
    <row r="2044" spans="1:18" s="32" customFormat="1" ht="28.5" customHeight="1">
      <c r="A2044" s="16" t="s">
        <v>35</v>
      </c>
      <c r="B2044" s="14">
        <v>793</v>
      </c>
      <c r="C2044" s="15" t="s">
        <v>53</v>
      </c>
      <c r="D2044" s="15" t="s">
        <v>87</v>
      </c>
      <c r="E2044" s="15" t="s">
        <v>1369</v>
      </c>
      <c r="F2044" s="15" t="s">
        <v>36</v>
      </c>
      <c r="G2044" s="70">
        <f>G2045</f>
        <v>31463.02</v>
      </c>
      <c r="H2044" s="70">
        <f>H2045</f>
        <v>0</v>
      </c>
      <c r="I2044" s="70">
        <f>I2045</f>
        <v>0</v>
      </c>
      <c r="J2044" s="172"/>
      <c r="K2044" s="336"/>
      <c r="L2044" s="336"/>
      <c r="M2044" s="336"/>
      <c r="N2044" s="336"/>
      <c r="O2044" s="336"/>
      <c r="P2044" s="336"/>
      <c r="Q2044" s="336"/>
      <c r="R2044" s="336"/>
    </row>
    <row r="2045" spans="1:18" s="32" customFormat="1" ht="26.4">
      <c r="A2045" s="16" t="s">
        <v>37</v>
      </c>
      <c r="B2045" s="14">
        <v>793</v>
      </c>
      <c r="C2045" s="15" t="s">
        <v>53</v>
      </c>
      <c r="D2045" s="15" t="s">
        <v>87</v>
      </c>
      <c r="E2045" s="15" t="s">
        <v>1369</v>
      </c>
      <c r="F2045" s="15" t="s">
        <v>38</v>
      </c>
      <c r="G2045" s="70">
        <v>31463.02</v>
      </c>
      <c r="H2045" s="70">
        <v>0</v>
      </c>
      <c r="I2045" s="70">
        <v>0</v>
      </c>
      <c r="J2045" s="172"/>
      <c r="K2045" s="338"/>
      <c r="L2045" s="336"/>
      <c r="M2045" s="336"/>
      <c r="N2045" s="336"/>
      <c r="O2045" s="336"/>
      <c r="P2045" s="336"/>
      <c r="Q2045" s="336"/>
      <c r="R2045" s="336"/>
    </row>
    <row r="2046" spans="1:18" ht="32.25" customHeight="1">
      <c r="A2046" s="37" t="s">
        <v>1130</v>
      </c>
      <c r="B2046" s="14">
        <v>793</v>
      </c>
      <c r="C2046" s="15" t="s">
        <v>53</v>
      </c>
      <c r="D2046" s="15" t="s">
        <v>87</v>
      </c>
      <c r="E2046" s="14" t="s">
        <v>237</v>
      </c>
      <c r="F2046" s="14"/>
      <c r="G2046" s="70">
        <f>G2050+G2047+G2060+G2053</f>
        <v>1750000</v>
      </c>
      <c r="H2046" s="70">
        <f>H2050+H2047+H2060+H2053</f>
        <v>1114715</v>
      </c>
      <c r="I2046" s="70">
        <f>I2050+I2047+I2060+I2053</f>
        <v>1114715</v>
      </c>
      <c r="J2046" s="172"/>
      <c r="K2046" s="69"/>
      <c r="L2046" s="69"/>
      <c r="M2046" s="69"/>
      <c r="N2046" s="69"/>
      <c r="O2046" s="69"/>
      <c r="P2046" s="69"/>
      <c r="Q2046" s="69"/>
      <c r="R2046" s="69"/>
    </row>
    <row r="2047" spans="1:18" ht="27" customHeight="1">
      <c r="A2047" s="326" t="s">
        <v>1049</v>
      </c>
      <c r="B2047" s="14">
        <v>793</v>
      </c>
      <c r="C2047" s="15" t="s">
        <v>53</v>
      </c>
      <c r="D2047" s="15" t="s">
        <v>87</v>
      </c>
      <c r="E2047" s="14" t="s">
        <v>383</v>
      </c>
      <c r="F2047" s="14"/>
      <c r="G2047" s="70">
        <f t="shared" ref="G2047:I2048" si="556">G2048</f>
        <v>1050000</v>
      </c>
      <c r="H2047" s="70">
        <f t="shared" si="556"/>
        <v>414715</v>
      </c>
      <c r="I2047" s="70">
        <f t="shared" si="556"/>
        <v>414715</v>
      </c>
      <c r="J2047" s="172"/>
      <c r="K2047" s="69"/>
      <c r="L2047" s="69"/>
      <c r="M2047" s="69"/>
      <c r="N2047" s="69"/>
      <c r="O2047" s="69"/>
      <c r="P2047" s="69"/>
      <c r="Q2047" s="69"/>
      <c r="R2047" s="69"/>
    </row>
    <row r="2048" spans="1:18">
      <c r="A2048" s="16" t="s">
        <v>62</v>
      </c>
      <c r="B2048" s="14">
        <v>793</v>
      </c>
      <c r="C2048" s="15" t="s">
        <v>53</v>
      </c>
      <c r="D2048" s="15" t="s">
        <v>87</v>
      </c>
      <c r="E2048" s="14" t="s">
        <v>383</v>
      </c>
      <c r="F2048" s="14">
        <v>800</v>
      </c>
      <c r="G2048" s="70">
        <f t="shared" si="556"/>
        <v>1050000</v>
      </c>
      <c r="H2048" s="70">
        <f t="shared" si="556"/>
        <v>414715</v>
      </c>
      <c r="I2048" s="70">
        <f t="shared" si="556"/>
        <v>414715</v>
      </c>
      <c r="J2048" s="172"/>
      <c r="K2048" s="69"/>
      <c r="L2048" s="69"/>
      <c r="M2048" s="69"/>
      <c r="N2048" s="69"/>
      <c r="O2048" s="69"/>
      <c r="P2048" s="69"/>
      <c r="Q2048" s="69"/>
      <c r="R2048" s="69"/>
    </row>
    <row r="2049" spans="1:18" ht="39" customHeight="1">
      <c r="A2049" s="16" t="s">
        <v>332</v>
      </c>
      <c r="B2049" s="14">
        <v>793</v>
      </c>
      <c r="C2049" s="15" t="s">
        <v>53</v>
      </c>
      <c r="D2049" s="15" t="s">
        <v>87</v>
      </c>
      <c r="E2049" s="14" t="s">
        <v>383</v>
      </c>
      <c r="F2049" s="14">
        <v>810</v>
      </c>
      <c r="G2049" s="70">
        <v>1050000</v>
      </c>
      <c r="H2049" s="70">
        <v>414715</v>
      </c>
      <c r="I2049" s="70">
        <v>414715</v>
      </c>
      <c r="J2049" s="172"/>
      <c r="K2049" s="69"/>
      <c r="L2049" s="69"/>
      <c r="M2049" s="69"/>
      <c r="N2049" s="69"/>
      <c r="O2049" s="69"/>
      <c r="P2049" s="69"/>
      <c r="Q2049" s="69"/>
      <c r="R2049" s="69"/>
    </row>
    <row r="2050" spans="1:18" ht="47.25" customHeight="1">
      <c r="A2050" s="16" t="s">
        <v>335</v>
      </c>
      <c r="B2050" s="14">
        <v>793</v>
      </c>
      <c r="C2050" s="15" t="s">
        <v>53</v>
      </c>
      <c r="D2050" s="15" t="s">
        <v>87</v>
      </c>
      <c r="E2050" s="14" t="s">
        <v>253</v>
      </c>
      <c r="F2050" s="14"/>
      <c r="G2050" s="70">
        <f>G2051</f>
        <v>700000</v>
      </c>
      <c r="H2050" s="70">
        <f t="shared" ref="H2050:I2050" si="557">H2051</f>
        <v>700000</v>
      </c>
      <c r="I2050" s="70">
        <f t="shared" si="557"/>
        <v>700000</v>
      </c>
      <c r="J2050" s="172"/>
      <c r="K2050" s="69"/>
      <c r="L2050" s="69"/>
      <c r="M2050" s="69"/>
      <c r="N2050" s="69"/>
      <c r="O2050" s="69"/>
      <c r="P2050" s="69"/>
      <c r="Q2050" s="69"/>
      <c r="R2050" s="69"/>
    </row>
    <row r="2051" spans="1:18">
      <c r="A2051" s="16" t="s">
        <v>62</v>
      </c>
      <c r="B2051" s="14">
        <v>793</v>
      </c>
      <c r="C2051" s="15" t="s">
        <v>53</v>
      </c>
      <c r="D2051" s="15" t="s">
        <v>87</v>
      </c>
      <c r="E2051" s="14" t="s">
        <v>253</v>
      </c>
      <c r="F2051" s="14">
        <v>800</v>
      </c>
      <c r="G2051" s="70">
        <f t="shared" ref="G2051:I2051" si="558">G2052</f>
        <v>700000</v>
      </c>
      <c r="H2051" s="70">
        <f t="shared" si="558"/>
        <v>700000</v>
      </c>
      <c r="I2051" s="70">
        <f t="shared" si="558"/>
        <v>700000</v>
      </c>
      <c r="J2051" s="172"/>
      <c r="K2051" s="69"/>
      <c r="L2051" s="69"/>
      <c r="M2051" s="69"/>
      <c r="N2051" s="69"/>
      <c r="O2051" s="69"/>
      <c r="P2051" s="69"/>
      <c r="Q2051" s="69"/>
      <c r="R2051" s="69"/>
    </row>
    <row r="2052" spans="1:18" ht="45" customHeight="1">
      <c r="A2052" s="16" t="s">
        <v>332</v>
      </c>
      <c r="B2052" s="14">
        <v>793</v>
      </c>
      <c r="C2052" s="15" t="s">
        <v>53</v>
      </c>
      <c r="D2052" s="15" t="s">
        <v>87</v>
      </c>
      <c r="E2052" s="14" t="s">
        <v>253</v>
      </c>
      <c r="F2052" s="14">
        <v>810</v>
      </c>
      <c r="G2052" s="70">
        <v>700000</v>
      </c>
      <c r="H2052" s="70">
        <f>700000</f>
        <v>700000</v>
      </c>
      <c r="I2052" s="70">
        <f>700000</f>
        <v>700000</v>
      </c>
      <c r="J2052" s="172"/>
      <c r="K2052" s="69"/>
      <c r="L2052" s="69"/>
      <c r="M2052" s="69"/>
      <c r="N2052" s="69"/>
      <c r="O2052" s="69"/>
      <c r="P2052" s="69"/>
      <c r="Q2052" s="69"/>
      <c r="R2052" s="69"/>
    </row>
    <row r="2053" spans="1:18" ht="40.5" hidden="1" customHeight="1">
      <c r="A2053" s="16" t="s">
        <v>908</v>
      </c>
      <c r="B2053" s="14">
        <v>793</v>
      </c>
      <c r="C2053" s="15" t="s">
        <v>53</v>
      </c>
      <c r="D2053" s="15" t="s">
        <v>87</v>
      </c>
      <c r="E2053" s="14" t="s">
        <v>907</v>
      </c>
      <c r="F2053" s="14"/>
      <c r="G2053" s="70">
        <f>G2054+G2056+G2058</f>
        <v>0</v>
      </c>
      <c r="H2053" s="70">
        <f>H2054+H2056</f>
        <v>0</v>
      </c>
      <c r="I2053" s="70">
        <f>I2054+I2056</f>
        <v>0</v>
      </c>
      <c r="J2053" s="172"/>
      <c r="K2053" s="69"/>
      <c r="L2053" s="69"/>
      <c r="M2053" s="69"/>
      <c r="N2053" s="69"/>
      <c r="O2053" s="69"/>
      <c r="P2053" s="69"/>
      <c r="Q2053" s="69"/>
      <c r="R2053" s="69"/>
    </row>
    <row r="2054" spans="1:18" hidden="1">
      <c r="A2054" s="16" t="s">
        <v>316</v>
      </c>
      <c r="B2054" s="14">
        <v>793</v>
      </c>
      <c r="C2054" s="15" t="s">
        <v>53</v>
      </c>
      <c r="D2054" s="15" t="s">
        <v>87</v>
      </c>
      <c r="E2054" s="14" t="s">
        <v>907</v>
      </c>
      <c r="F2054" s="14">
        <v>200</v>
      </c>
      <c r="G2054" s="70">
        <f t="shared" ref="G2054:I2054" si="559">G2055</f>
        <v>0</v>
      </c>
      <c r="H2054" s="70">
        <f t="shared" si="559"/>
        <v>0</v>
      </c>
      <c r="I2054" s="70">
        <f t="shared" si="559"/>
        <v>0</v>
      </c>
      <c r="J2054" s="172"/>
      <c r="K2054" s="69"/>
      <c r="L2054" s="69"/>
      <c r="M2054" s="69"/>
      <c r="N2054" s="69"/>
      <c r="O2054" s="69"/>
      <c r="P2054" s="69"/>
      <c r="Q2054" s="69"/>
      <c r="R2054" s="69"/>
    </row>
    <row r="2055" spans="1:18" ht="31.5" hidden="1" customHeight="1">
      <c r="A2055" s="16" t="s">
        <v>37</v>
      </c>
      <c r="B2055" s="14">
        <v>793</v>
      </c>
      <c r="C2055" s="15" t="s">
        <v>53</v>
      </c>
      <c r="D2055" s="15" t="s">
        <v>87</v>
      </c>
      <c r="E2055" s="14" t="s">
        <v>907</v>
      </c>
      <c r="F2055" s="14">
        <v>240</v>
      </c>
      <c r="G2055" s="70"/>
      <c r="H2055" s="8"/>
      <c r="I2055" s="8"/>
      <c r="J2055" s="332"/>
      <c r="K2055" s="69"/>
      <c r="L2055" s="69"/>
      <c r="M2055" s="69"/>
      <c r="N2055" s="69"/>
      <c r="O2055" s="69"/>
      <c r="P2055" s="69"/>
      <c r="Q2055" s="69"/>
      <c r="R2055" s="69"/>
    </row>
    <row r="2056" spans="1:18" ht="24.75" hidden="1" customHeight="1">
      <c r="A2056" s="16" t="s">
        <v>152</v>
      </c>
      <c r="B2056" s="14">
        <v>793</v>
      </c>
      <c r="C2056" s="15" t="s">
        <v>53</v>
      </c>
      <c r="D2056" s="15" t="s">
        <v>87</v>
      </c>
      <c r="E2056" s="14" t="s">
        <v>614</v>
      </c>
      <c r="F2056" s="14">
        <v>500</v>
      </c>
      <c r="G2056" s="70">
        <f>G2057</f>
        <v>0</v>
      </c>
      <c r="H2056" s="70">
        <f>H2057</f>
        <v>0</v>
      </c>
      <c r="I2056" s="70">
        <f>I2057</f>
        <v>0</v>
      </c>
      <c r="J2056" s="172"/>
      <c r="K2056" s="69"/>
      <c r="L2056" s="69"/>
      <c r="M2056" s="69"/>
      <c r="N2056" s="69"/>
      <c r="O2056" s="69"/>
      <c r="P2056" s="69"/>
      <c r="Q2056" s="69"/>
      <c r="R2056" s="69"/>
    </row>
    <row r="2057" spans="1:18" ht="21.75" hidden="1" customHeight="1">
      <c r="A2057" s="16" t="s">
        <v>164</v>
      </c>
      <c r="B2057" s="14">
        <v>793</v>
      </c>
      <c r="C2057" s="15" t="s">
        <v>53</v>
      </c>
      <c r="D2057" s="15" t="s">
        <v>87</v>
      </c>
      <c r="E2057" s="14" t="s">
        <v>614</v>
      </c>
      <c r="F2057" s="14">
        <v>520</v>
      </c>
      <c r="G2057" s="125"/>
      <c r="H2057" s="8"/>
      <c r="I2057" s="8"/>
      <c r="J2057" s="332"/>
      <c r="K2057" s="69"/>
      <c r="L2057" s="69"/>
      <c r="M2057" s="69"/>
      <c r="N2057" s="69"/>
      <c r="O2057" s="69"/>
      <c r="P2057" s="69"/>
      <c r="Q2057" s="69"/>
      <c r="R2057" s="69"/>
    </row>
    <row r="2058" spans="1:18" ht="21" hidden="1" customHeight="1">
      <c r="A2058" s="16" t="s">
        <v>62</v>
      </c>
      <c r="B2058" s="14">
        <v>793</v>
      </c>
      <c r="C2058" s="15" t="s">
        <v>53</v>
      </c>
      <c r="D2058" s="15" t="s">
        <v>87</v>
      </c>
      <c r="E2058" s="14" t="s">
        <v>614</v>
      </c>
      <c r="F2058" s="14">
        <v>800</v>
      </c>
      <c r="G2058" s="125">
        <f>G2059</f>
        <v>0</v>
      </c>
      <c r="H2058" s="8"/>
      <c r="I2058" s="8"/>
      <c r="J2058" s="332"/>
      <c r="K2058" s="69"/>
      <c r="L2058" s="69"/>
      <c r="M2058" s="69"/>
      <c r="N2058" s="69"/>
      <c r="O2058" s="69"/>
      <c r="P2058" s="69"/>
      <c r="Q2058" s="69"/>
      <c r="R2058" s="69"/>
    </row>
    <row r="2059" spans="1:18" ht="20.25" hidden="1" customHeight="1">
      <c r="A2059" s="16" t="s">
        <v>174</v>
      </c>
      <c r="B2059" s="14">
        <v>793</v>
      </c>
      <c r="C2059" s="15" t="s">
        <v>53</v>
      </c>
      <c r="D2059" s="15" t="s">
        <v>87</v>
      </c>
      <c r="E2059" s="14" t="s">
        <v>614</v>
      </c>
      <c r="F2059" s="14">
        <v>870</v>
      </c>
      <c r="G2059" s="125">
        <f>50000-50000</f>
        <v>0</v>
      </c>
      <c r="H2059" s="8"/>
      <c r="I2059" s="8"/>
      <c r="J2059" s="332"/>
      <c r="K2059" s="69"/>
      <c r="L2059" s="69"/>
      <c r="M2059" s="69"/>
      <c r="N2059" s="69"/>
      <c r="O2059" s="69"/>
      <c r="P2059" s="69"/>
      <c r="Q2059" s="69"/>
      <c r="R2059" s="69"/>
    </row>
    <row r="2060" spans="1:18" ht="65.25" hidden="1" customHeight="1">
      <c r="A2060" s="16" t="s">
        <v>576</v>
      </c>
      <c r="B2060" s="14">
        <v>793</v>
      </c>
      <c r="C2060" s="15" t="s">
        <v>53</v>
      </c>
      <c r="D2060" s="15" t="s">
        <v>87</v>
      </c>
      <c r="E2060" s="14" t="s">
        <v>436</v>
      </c>
      <c r="F2060" s="14"/>
      <c r="G2060" s="70">
        <f>G2061</f>
        <v>0</v>
      </c>
      <c r="H2060" s="70">
        <f t="shared" ref="H2060:I2060" si="560">H2061</f>
        <v>0</v>
      </c>
      <c r="I2060" s="70">
        <f t="shared" si="560"/>
        <v>0</v>
      </c>
      <c r="J2060" s="172"/>
      <c r="K2060" s="69"/>
      <c r="L2060" s="69"/>
      <c r="M2060" s="69"/>
      <c r="N2060" s="69"/>
      <c r="O2060" s="69"/>
      <c r="P2060" s="69"/>
      <c r="Q2060" s="69"/>
      <c r="R2060" s="69"/>
    </row>
    <row r="2061" spans="1:18" ht="20.25" hidden="1" customHeight="1">
      <c r="A2061" s="16" t="s">
        <v>62</v>
      </c>
      <c r="B2061" s="14">
        <v>793</v>
      </c>
      <c r="C2061" s="15" t="s">
        <v>53</v>
      </c>
      <c r="D2061" s="15" t="s">
        <v>87</v>
      </c>
      <c r="E2061" s="14" t="s">
        <v>436</v>
      </c>
      <c r="F2061" s="14">
        <v>800</v>
      </c>
      <c r="G2061" s="70">
        <f>G2062</f>
        <v>0</v>
      </c>
      <c r="H2061" s="70">
        <f t="shared" ref="H2061:I2061" si="561">H2062</f>
        <v>0</v>
      </c>
      <c r="I2061" s="70">
        <f t="shared" si="561"/>
        <v>0</v>
      </c>
      <c r="J2061" s="172"/>
      <c r="K2061" s="69"/>
      <c r="L2061" s="69"/>
      <c r="M2061" s="69"/>
      <c r="N2061" s="69"/>
      <c r="O2061" s="69"/>
      <c r="P2061" s="69"/>
      <c r="Q2061" s="69"/>
      <c r="R2061" s="69"/>
    </row>
    <row r="2062" spans="1:18" ht="38.25" hidden="1" customHeight="1">
      <c r="A2062" s="16" t="s">
        <v>332</v>
      </c>
      <c r="B2062" s="14">
        <v>793</v>
      </c>
      <c r="C2062" s="15" t="s">
        <v>53</v>
      </c>
      <c r="D2062" s="15" t="s">
        <v>87</v>
      </c>
      <c r="E2062" s="14" t="s">
        <v>436</v>
      </c>
      <c r="F2062" s="14">
        <v>810</v>
      </c>
      <c r="G2062" s="70"/>
      <c r="H2062" s="70">
        <v>0</v>
      </c>
      <c r="I2062" s="70">
        <v>0</v>
      </c>
      <c r="J2062" s="172"/>
      <c r="K2062" s="69"/>
      <c r="L2062" s="69"/>
      <c r="M2062" s="69"/>
      <c r="N2062" s="69"/>
      <c r="O2062" s="69"/>
      <c r="P2062" s="69"/>
      <c r="Q2062" s="69"/>
      <c r="R2062" s="69"/>
    </row>
    <row r="2063" spans="1:18" ht="53.25" customHeight="1">
      <c r="A2063" s="16" t="s">
        <v>1138</v>
      </c>
      <c r="B2063" s="14">
        <v>793</v>
      </c>
      <c r="C2063" s="15" t="s">
        <v>53</v>
      </c>
      <c r="D2063" s="15" t="s">
        <v>87</v>
      </c>
      <c r="E2063" s="14" t="s">
        <v>254</v>
      </c>
      <c r="F2063" s="14"/>
      <c r="G2063" s="70">
        <f>G2064</f>
        <v>50000</v>
      </c>
      <c r="H2063" s="70">
        <f>H2064</f>
        <v>50000</v>
      </c>
      <c r="I2063" s="70">
        <f>I2064</f>
        <v>50000</v>
      </c>
      <c r="J2063" s="172"/>
      <c r="K2063" s="69"/>
      <c r="L2063" s="69"/>
      <c r="M2063" s="69"/>
      <c r="N2063" s="69"/>
      <c r="O2063" s="69"/>
      <c r="P2063" s="69"/>
      <c r="Q2063" s="69"/>
      <c r="R2063" s="69"/>
    </row>
    <row r="2064" spans="1:18" ht="39" customHeight="1">
      <c r="A2064" s="16" t="s">
        <v>357</v>
      </c>
      <c r="B2064" s="14">
        <v>793</v>
      </c>
      <c r="C2064" s="15" t="s">
        <v>53</v>
      </c>
      <c r="D2064" s="15" t="s">
        <v>87</v>
      </c>
      <c r="E2064" s="14" t="s">
        <v>255</v>
      </c>
      <c r="F2064" s="14"/>
      <c r="G2064" s="70">
        <f>G2065</f>
        <v>50000</v>
      </c>
      <c r="H2064" s="70">
        <f t="shared" ref="H2064:I2064" si="562">H2065</f>
        <v>50000</v>
      </c>
      <c r="I2064" s="70">
        <f t="shared" si="562"/>
        <v>50000</v>
      </c>
      <c r="J2064" s="172"/>
      <c r="K2064" s="69"/>
      <c r="L2064" s="69"/>
      <c r="M2064" s="69"/>
      <c r="N2064" s="69"/>
      <c r="O2064" s="69"/>
      <c r="P2064" s="69"/>
      <c r="Q2064" s="69"/>
      <c r="R2064" s="69"/>
    </row>
    <row r="2065" spans="1:18" ht="17.25" customHeight="1">
      <c r="A2065" s="16" t="s">
        <v>316</v>
      </c>
      <c r="B2065" s="14">
        <v>793</v>
      </c>
      <c r="C2065" s="15" t="s">
        <v>53</v>
      </c>
      <c r="D2065" s="15" t="s">
        <v>87</v>
      </c>
      <c r="E2065" s="14" t="s">
        <v>255</v>
      </c>
      <c r="F2065" s="14">
        <v>200</v>
      </c>
      <c r="G2065" s="70">
        <f>G2066</f>
        <v>50000</v>
      </c>
      <c r="H2065" s="70">
        <f>H2066</f>
        <v>50000</v>
      </c>
      <c r="I2065" s="70">
        <f>I2066</f>
        <v>50000</v>
      </c>
      <c r="J2065" s="172"/>
      <c r="K2065" s="69"/>
      <c r="L2065" s="69"/>
      <c r="M2065" s="69"/>
      <c r="N2065" s="69"/>
      <c r="O2065" s="69"/>
      <c r="P2065" s="69"/>
      <c r="Q2065" s="69"/>
      <c r="R2065" s="69"/>
    </row>
    <row r="2066" spans="1:18" ht="27.75" customHeight="1">
      <c r="A2066" s="16" t="s">
        <v>37</v>
      </c>
      <c r="B2066" s="14">
        <v>793</v>
      </c>
      <c r="C2066" s="15" t="s">
        <v>53</v>
      </c>
      <c r="D2066" s="15" t="s">
        <v>87</v>
      </c>
      <c r="E2066" s="14" t="s">
        <v>255</v>
      </c>
      <c r="F2066" s="14">
        <v>240</v>
      </c>
      <c r="G2066" s="70">
        <v>50000</v>
      </c>
      <c r="H2066" s="70">
        <v>50000</v>
      </c>
      <c r="I2066" s="70">
        <v>50000</v>
      </c>
      <c r="J2066" s="172"/>
      <c r="K2066" s="69"/>
      <c r="L2066" s="69"/>
      <c r="M2066" s="69"/>
      <c r="N2066" s="69"/>
      <c r="O2066" s="69"/>
      <c r="P2066" s="69"/>
      <c r="Q2066" s="69"/>
      <c r="R2066" s="69"/>
    </row>
    <row r="2067" spans="1:18" ht="15" hidden="1" customHeight="1">
      <c r="A2067" s="54" t="s">
        <v>336</v>
      </c>
      <c r="B2067" s="45">
        <v>793</v>
      </c>
      <c r="C2067" s="7" t="s">
        <v>167</v>
      </c>
      <c r="D2067" s="7"/>
      <c r="E2067" s="7"/>
      <c r="F2067" s="7"/>
      <c r="G2067" s="38">
        <f>G2068</f>
        <v>0</v>
      </c>
      <c r="H2067" s="38">
        <f t="shared" ref="H2067:I2067" si="563">H2068</f>
        <v>0</v>
      </c>
      <c r="I2067" s="38">
        <f t="shared" si="563"/>
        <v>0</v>
      </c>
      <c r="J2067" s="328"/>
      <c r="K2067" s="69"/>
      <c r="L2067" s="69"/>
      <c r="M2067" s="69"/>
      <c r="N2067" s="69"/>
      <c r="O2067" s="69"/>
      <c r="P2067" s="69"/>
      <c r="Q2067" s="69"/>
      <c r="R2067" s="69"/>
    </row>
    <row r="2068" spans="1:18" s="22" customFormat="1" ht="17.25" hidden="1" customHeight="1">
      <c r="A2068" s="16" t="s">
        <v>278</v>
      </c>
      <c r="B2068" s="14">
        <v>793</v>
      </c>
      <c r="C2068" s="15" t="s">
        <v>167</v>
      </c>
      <c r="D2068" s="15" t="s">
        <v>69</v>
      </c>
      <c r="E2068" s="15"/>
      <c r="F2068" s="15"/>
      <c r="G2068" s="70">
        <f>G2069+G2073</f>
        <v>0</v>
      </c>
      <c r="H2068" s="70">
        <f t="shared" ref="H2068:I2068" si="564">H2069+H2073</f>
        <v>0</v>
      </c>
      <c r="I2068" s="70">
        <f t="shared" si="564"/>
        <v>0</v>
      </c>
      <c r="J2068" s="172"/>
      <c r="K2068" s="61"/>
      <c r="L2068" s="61"/>
      <c r="M2068" s="61"/>
      <c r="N2068" s="61"/>
      <c r="O2068" s="61"/>
      <c r="P2068" s="61"/>
      <c r="Q2068" s="61"/>
      <c r="R2068" s="61"/>
    </row>
    <row r="2069" spans="1:18" s="22" customFormat="1" ht="53.25" hidden="1" customHeight="1">
      <c r="A2069" s="16" t="s">
        <v>467</v>
      </c>
      <c r="B2069" s="14">
        <v>793</v>
      </c>
      <c r="C2069" s="15" t="s">
        <v>167</v>
      </c>
      <c r="D2069" s="15" t="s">
        <v>69</v>
      </c>
      <c r="E2069" s="15" t="s">
        <v>289</v>
      </c>
      <c r="F2069" s="36"/>
      <c r="G2069" s="70">
        <f t="shared" ref="G2069:I2071" si="565">G2070</f>
        <v>0</v>
      </c>
      <c r="H2069" s="70">
        <f t="shared" si="565"/>
        <v>0</v>
      </c>
      <c r="I2069" s="70">
        <f t="shared" si="565"/>
        <v>0</v>
      </c>
      <c r="J2069" s="172"/>
      <c r="K2069" s="61"/>
      <c r="L2069" s="61"/>
      <c r="M2069" s="61"/>
      <c r="N2069" s="61"/>
      <c r="O2069" s="61"/>
      <c r="P2069" s="61"/>
      <c r="Q2069" s="61"/>
      <c r="R2069" s="61"/>
    </row>
    <row r="2070" spans="1:18" s="46" customFormat="1" ht="17.25" hidden="1" customHeight="1">
      <c r="A2070" s="16" t="s">
        <v>368</v>
      </c>
      <c r="B2070" s="14">
        <v>793</v>
      </c>
      <c r="C2070" s="15" t="s">
        <v>167</v>
      </c>
      <c r="D2070" s="15" t="s">
        <v>69</v>
      </c>
      <c r="E2070" s="15" t="s">
        <v>367</v>
      </c>
      <c r="F2070" s="15"/>
      <c r="G2070" s="70">
        <f t="shared" si="565"/>
        <v>0</v>
      </c>
      <c r="H2070" s="70">
        <f t="shared" si="565"/>
        <v>0</v>
      </c>
      <c r="I2070" s="70">
        <f t="shared" si="565"/>
        <v>0</v>
      </c>
      <c r="J2070" s="172"/>
      <c r="K2070" s="58"/>
      <c r="L2070" s="58"/>
      <c r="M2070" s="58"/>
      <c r="N2070" s="58"/>
      <c r="O2070" s="58"/>
      <c r="P2070" s="58"/>
      <c r="Q2070" s="58"/>
      <c r="R2070" s="58"/>
    </row>
    <row r="2071" spans="1:18" s="46" customFormat="1" ht="17.25" hidden="1" customHeight="1">
      <c r="A2071" s="16" t="s">
        <v>316</v>
      </c>
      <c r="B2071" s="14">
        <v>793</v>
      </c>
      <c r="C2071" s="15" t="s">
        <v>167</v>
      </c>
      <c r="D2071" s="15" t="s">
        <v>69</v>
      </c>
      <c r="E2071" s="15" t="s">
        <v>367</v>
      </c>
      <c r="F2071" s="15" t="s">
        <v>36</v>
      </c>
      <c r="G2071" s="70">
        <f t="shared" si="565"/>
        <v>0</v>
      </c>
      <c r="H2071" s="70">
        <f t="shared" si="565"/>
        <v>0</v>
      </c>
      <c r="I2071" s="70">
        <f t="shared" si="565"/>
        <v>0</v>
      </c>
      <c r="J2071" s="172"/>
      <c r="K2071" s="58"/>
      <c r="L2071" s="58"/>
      <c r="M2071" s="58"/>
      <c r="N2071" s="58"/>
      <c r="O2071" s="58"/>
      <c r="P2071" s="58"/>
      <c r="Q2071" s="58"/>
      <c r="R2071" s="58"/>
    </row>
    <row r="2072" spans="1:18" s="46" customFormat="1" ht="31.5" hidden="1" customHeight="1">
      <c r="A2072" s="16" t="s">
        <v>37</v>
      </c>
      <c r="B2072" s="14">
        <v>793</v>
      </c>
      <c r="C2072" s="15" t="s">
        <v>167</v>
      </c>
      <c r="D2072" s="15" t="s">
        <v>69</v>
      </c>
      <c r="E2072" s="15" t="s">
        <v>367</v>
      </c>
      <c r="F2072" s="15" t="s">
        <v>38</v>
      </c>
      <c r="G2072" s="70"/>
      <c r="H2072" s="70"/>
      <c r="I2072" s="70"/>
      <c r="J2072" s="172"/>
      <c r="K2072" s="58"/>
      <c r="L2072" s="58"/>
      <c r="M2072" s="58"/>
      <c r="N2072" s="58"/>
      <c r="O2072" s="58"/>
      <c r="P2072" s="58"/>
      <c r="Q2072" s="58"/>
      <c r="R2072" s="58"/>
    </row>
    <row r="2073" spans="1:18" ht="30.75" hidden="1" customHeight="1">
      <c r="A2073" s="16" t="s">
        <v>454</v>
      </c>
      <c r="B2073" s="14">
        <v>793</v>
      </c>
      <c r="C2073" s="15" t="s">
        <v>167</v>
      </c>
      <c r="D2073" s="15" t="s">
        <v>69</v>
      </c>
      <c r="E2073" s="15" t="s">
        <v>257</v>
      </c>
      <c r="F2073" s="15"/>
      <c r="G2073" s="70">
        <f>G2074</f>
        <v>0</v>
      </c>
      <c r="H2073" s="70">
        <v>0</v>
      </c>
      <c r="I2073" s="70">
        <v>0</v>
      </c>
      <c r="J2073" s="172"/>
      <c r="K2073" s="69"/>
      <c r="L2073" s="69"/>
      <c r="M2073" s="69"/>
      <c r="N2073" s="69"/>
      <c r="O2073" s="69"/>
      <c r="P2073" s="69"/>
      <c r="Q2073" s="69"/>
      <c r="R2073" s="69"/>
    </row>
    <row r="2074" spans="1:18" ht="21.75" hidden="1" customHeight="1">
      <c r="A2074" s="50" t="s">
        <v>488</v>
      </c>
      <c r="B2074" s="14">
        <v>793</v>
      </c>
      <c r="C2074" s="15" t="s">
        <v>167</v>
      </c>
      <c r="D2074" s="15" t="s">
        <v>69</v>
      </c>
      <c r="E2074" s="15" t="s">
        <v>493</v>
      </c>
      <c r="F2074" s="15"/>
      <c r="G2074" s="70">
        <f>G2075</f>
        <v>0</v>
      </c>
      <c r="H2074" s="70">
        <v>0</v>
      </c>
      <c r="I2074" s="70">
        <v>0</v>
      </c>
      <c r="J2074" s="172"/>
      <c r="K2074" s="69"/>
      <c r="L2074" s="69"/>
      <c r="M2074" s="69"/>
      <c r="N2074" s="69"/>
      <c r="O2074" s="69"/>
      <c r="P2074" s="69"/>
      <c r="Q2074" s="69"/>
      <c r="R2074" s="69"/>
    </row>
    <row r="2075" spans="1:18" ht="21" hidden="1" customHeight="1">
      <c r="A2075" s="16" t="s">
        <v>152</v>
      </c>
      <c r="B2075" s="14">
        <v>793</v>
      </c>
      <c r="C2075" s="15" t="s">
        <v>167</v>
      </c>
      <c r="D2075" s="15" t="s">
        <v>69</v>
      </c>
      <c r="E2075" s="15" t="s">
        <v>493</v>
      </c>
      <c r="F2075" s="15" t="s">
        <v>153</v>
      </c>
      <c r="G2075" s="70">
        <f>G2076</f>
        <v>0</v>
      </c>
      <c r="H2075" s="70">
        <v>0</v>
      </c>
      <c r="I2075" s="70">
        <v>0</v>
      </c>
      <c r="J2075" s="172"/>
      <c r="K2075" s="69"/>
      <c r="L2075" s="69"/>
      <c r="M2075" s="69"/>
      <c r="N2075" s="69"/>
      <c r="O2075" s="69"/>
      <c r="P2075" s="69"/>
      <c r="Q2075" s="69"/>
      <c r="R2075" s="69"/>
    </row>
    <row r="2076" spans="1:18" ht="1.5" customHeight="1">
      <c r="A2076" s="16" t="s">
        <v>164</v>
      </c>
      <c r="B2076" s="14">
        <v>793</v>
      </c>
      <c r="C2076" s="15" t="s">
        <v>167</v>
      </c>
      <c r="D2076" s="15" t="s">
        <v>69</v>
      </c>
      <c r="E2076" s="15" t="s">
        <v>493</v>
      </c>
      <c r="F2076" s="15" t="s">
        <v>165</v>
      </c>
      <c r="G2076" s="70"/>
      <c r="H2076" s="70">
        <v>0</v>
      </c>
      <c r="I2076" s="70">
        <v>0</v>
      </c>
      <c r="J2076" s="172"/>
      <c r="K2076" s="69"/>
      <c r="L2076" s="69"/>
      <c r="M2076" s="69"/>
      <c r="N2076" s="69"/>
      <c r="O2076" s="69"/>
      <c r="P2076" s="69"/>
      <c r="Q2076" s="69"/>
      <c r="R2076" s="69"/>
    </row>
    <row r="2077" spans="1:18" ht="51.75" customHeight="1">
      <c r="A2077" s="16" t="s">
        <v>1146</v>
      </c>
      <c r="B2077" s="14">
        <v>793</v>
      </c>
      <c r="C2077" s="15" t="s">
        <v>53</v>
      </c>
      <c r="D2077" s="15" t="s">
        <v>87</v>
      </c>
      <c r="E2077" s="14" t="s">
        <v>801</v>
      </c>
      <c r="F2077" s="14"/>
      <c r="G2077" s="70">
        <f>G2078</f>
        <v>0</v>
      </c>
      <c r="H2077" s="70">
        <f>H2078</f>
        <v>500000</v>
      </c>
      <c r="I2077" s="70">
        <f>I2078</f>
        <v>500000</v>
      </c>
      <c r="J2077" s="172"/>
      <c r="K2077" s="69"/>
      <c r="L2077" s="69"/>
      <c r="M2077" s="69"/>
      <c r="N2077" s="69"/>
      <c r="O2077" s="69"/>
      <c r="P2077" s="69"/>
      <c r="Q2077" s="69"/>
      <c r="R2077" s="69"/>
    </row>
    <row r="2078" spans="1:18" ht="39" customHeight="1">
      <c r="A2078" s="16" t="s">
        <v>803</v>
      </c>
      <c r="B2078" s="14">
        <v>793</v>
      </c>
      <c r="C2078" s="15" t="s">
        <v>53</v>
      </c>
      <c r="D2078" s="15" t="s">
        <v>87</v>
      </c>
      <c r="E2078" s="14" t="s">
        <v>802</v>
      </c>
      <c r="F2078" s="14"/>
      <c r="G2078" s="70">
        <f>G2079</f>
        <v>0</v>
      </c>
      <c r="H2078" s="70">
        <f t="shared" ref="H2078:I2078" si="566">H2079</f>
        <v>500000</v>
      </c>
      <c r="I2078" s="70">
        <f t="shared" si="566"/>
        <v>500000</v>
      </c>
      <c r="J2078" s="172"/>
      <c r="K2078" s="69"/>
      <c r="L2078" s="69"/>
      <c r="M2078" s="69"/>
      <c r="N2078" s="69"/>
      <c r="O2078" s="69"/>
      <c r="P2078" s="69"/>
      <c r="Q2078" s="69"/>
      <c r="R2078" s="69"/>
    </row>
    <row r="2079" spans="1:18" ht="17.25" customHeight="1">
      <c r="A2079" s="16" t="s">
        <v>316</v>
      </c>
      <c r="B2079" s="14">
        <v>793</v>
      </c>
      <c r="C2079" s="15" t="s">
        <v>53</v>
      </c>
      <c r="D2079" s="15" t="s">
        <v>87</v>
      </c>
      <c r="E2079" s="14" t="s">
        <v>802</v>
      </c>
      <c r="F2079" s="14">
        <v>200</v>
      </c>
      <c r="G2079" s="70">
        <f>G2080</f>
        <v>0</v>
      </c>
      <c r="H2079" s="70">
        <f>H2080</f>
        <v>500000</v>
      </c>
      <c r="I2079" s="70">
        <f>I2080</f>
        <v>500000</v>
      </c>
      <c r="J2079" s="172"/>
      <c r="K2079" s="69"/>
      <c r="L2079" s="69"/>
      <c r="M2079" s="69"/>
      <c r="N2079" s="69"/>
      <c r="O2079" s="69"/>
      <c r="P2079" s="69"/>
      <c r="Q2079" s="69"/>
      <c r="R2079" s="69"/>
    </row>
    <row r="2080" spans="1:18" ht="27.75" customHeight="1">
      <c r="A2080" s="16" t="s">
        <v>37</v>
      </c>
      <c r="B2080" s="14">
        <v>793</v>
      </c>
      <c r="C2080" s="15" t="s">
        <v>53</v>
      </c>
      <c r="D2080" s="15" t="s">
        <v>87</v>
      </c>
      <c r="E2080" s="14" t="s">
        <v>802</v>
      </c>
      <c r="F2080" s="14">
        <v>240</v>
      </c>
      <c r="G2080" s="70">
        <f>1000000-1000000</f>
        <v>0</v>
      </c>
      <c r="H2080" s="70">
        <f>1000000-500000</f>
        <v>500000</v>
      </c>
      <c r="I2080" s="70">
        <f>1000000-500000</f>
        <v>500000</v>
      </c>
      <c r="J2080" s="172"/>
      <c r="K2080" s="69"/>
      <c r="L2080" s="69"/>
      <c r="M2080" s="69"/>
      <c r="N2080" s="69"/>
      <c r="O2080" s="69"/>
      <c r="P2080" s="69"/>
      <c r="Q2080" s="69"/>
      <c r="R2080" s="69"/>
    </row>
    <row r="2081" spans="1:18" s="28" customFormat="1" ht="24.75" hidden="1" customHeight="1">
      <c r="A2081" s="37" t="s">
        <v>163</v>
      </c>
      <c r="B2081" s="14">
        <v>793</v>
      </c>
      <c r="C2081" s="15" t="s">
        <v>53</v>
      </c>
      <c r="D2081" s="15" t="s">
        <v>87</v>
      </c>
      <c r="E2081" s="15" t="s">
        <v>228</v>
      </c>
      <c r="F2081" s="39"/>
      <c r="G2081" s="70">
        <f t="shared" ref="G2081:I2085" si="567">G2082</f>
        <v>0</v>
      </c>
      <c r="H2081" s="70">
        <f t="shared" si="567"/>
        <v>0</v>
      </c>
      <c r="I2081" s="70">
        <f t="shared" si="567"/>
        <v>0</v>
      </c>
      <c r="J2081" s="172"/>
      <c r="K2081" s="313"/>
      <c r="L2081" s="313"/>
      <c r="M2081" s="313"/>
      <c r="N2081" s="313"/>
      <c r="O2081" s="313"/>
      <c r="P2081" s="313"/>
      <c r="Q2081" s="313"/>
      <c r="R2081" s="313"/>
    </row>
    <row r="2082" spans="1:18" ht="26.4" hidden="1">
      <c r="A2082" s="37" t="s">
        <v>163</v>
      </c>
      <c r="B2082" s="14">
        <v>793</v>
      </c>
      <c r="C2082" s="15" t="s">
        <v>53</v>
      </c>
      <c r="D2082" s="15" t="s">
        <v>87</v>
      </c>
      <c r="E2082" s="15" t="s">
        <v>270</v>
      </c>
      <c r="F2082" s="14"/>
      <c r="G2082" s="70">
        <f>G2085+G2083</f>
        <v>0</v>
      </c>
      <c r="H2082" s="70">
        <f>H2085</f>
        <v>0</v>
      </c>
      <c r="I2082" s="70">
        <f>I2085</f>
        <v>0</v>
      </c>
      <c r="J2082" s="172"/>
      <c r="K2082" s="69"/>
      <c r="L2082" s="69"/>
      <c r="M2082" s="69"/>
      <c r="N2082" s="69"/>
      <c r="O2082" s="69"/>
      <c r="P2082" s="69"/>
      <c r="Q2082" s="69"/>
      <c r="R2082" s="69"/>
    </row>
    <row r="2083" spans="1:18" ht="17.25" hidden="1" customHeight="1">
      <c r="A2083" s="16" t="s">
        <v>316</v>
      </c>
      <c r="B2083" s="14">
        <v>793</v>
      </c>
      <c r="C2083" s="15" t="s">
        <v>53</v>
      </c>
      <c r="D2083" s="15" t="s">
        <v>87</v>
      </c>
      <c r="E2083" s="14" t="s">
        <v>270</v>
      </c>
      <c r="F2083" s="14">
        <v>200</v>
      </c>
      <c r="G2083" s="70">
        <f>G2084</f>
        <v>0</v>
      </c>
      <c r="H2083" s="70">
        <f>H2084</f>
        <v>0</v>
      </c>
      <c r="I2083" s="70">
        <f>I2084</f>
        <v>0</v>
      </c>
      <c r="J2083" s="172"/>
      <c r="K2083" s="69"/>
      <c r="L2083" s="69"/>
      <c r="M2083" s="69"/>
      <c r="N2083" s="69"/>
      <c r="O2083" s="69"/>
      <c r="P2083" s="69"/>
      <c r="Q2083" s="69"/>
      <c r="R2083" s="69"/>
    </row>
    <row r="2084" spans="1:18" ht="27.75" hidden="1" customHeight="1">
      <c r="A2084" s="16" t="s">
        <v>37</v>
      </c>
      <c r="B2084" s="14">
        <v>793</v>
      </c>
      <c r="C2084" s="15" t="s">
        <v>53</v>
      </c>
      <c r="D2084" s="15" t="s">
        <v>87</v>
      </c>
      <c r="E2084" s="14" t="s">
        <v>270</v>
      </c>
      <c r="F2084" s="14">
        <v>240</v>
      </c>
      <c r="G2084" s="70"/>
      <c r="H2084" s="70"/>
      <c r="I2084" s="70"/>
      <c r="J2084" s="172"/>
      <c r="K2084" s="69"/>
      <c r="L2084" s="69"/>
      <c r="M2084" s="69"/>
      <c r="N2084" s="69"/>
      <c r="O2084" s="69"/>
      <c r="P2084" s="69"/>
      <c r="Q2084" s="69"/>
      <c r="R2084" s="69"/>
    </row>
    <row r="2085" spans="1:18" hidden="1">
      <c r="A2085" s="16" t="s">
        <v>152</v>
      </c>
      <c r="B2085" s="14">
        <v>793</v>
      </c>
      <c r="C2085" s="15" t="s">
        <v>53</v>
      </c>
      <c r="D2085" s="15" t="s">
        <v>87</v>
      </c>
      <c r="E2085" s="15" t="s">
        <v>270</v>
      </c>
      <c r="F2085" s="15" t="s">
        <v>153</v>
      </c>
      <c r="G2085" s="70">
        <f t="shared" si="567"/>
        <v>0</v>
      </c>
      <c r="H2085" s="70">
        <f t="shared" si="567"/>
        <v>0</v>
      </c>
      <c r="I2085" s="70">
        <f t="shared" si="567"/>
        <v>0</v>
      </c>
      <c r="J2085" s="172"/>
      <c r="K2085" s="69"/>
      <c r="L2085" s="69"/>
      <c r="M2085" s="69"/>
      <c r="N2085" s="69"/>
      <c r="O2085" s="69"/>
      <c r="P2085" s="69"/>
      <c r="Q2085" s="69"/>
      <c r="R2085" s="69"/>
    </row>
    <row r="2086" spans="1:18" hidden="1">
      <c r="A2086" s="16" t="s">
        <v>172</v>
      </c>
      <c r="B2086" s="14">
        <v>793</v>
      </c>
      <c r="C2086" s="15" t="s">
        <v>53</v>
      </c>
      <c r="D2086" s="15" t="s">
        <v>87</v>
      </c>
      <c r="E2086" s="15" t="s">
        <v>270</v>
      </c>
      <c r="F2086" s="15" t="s">
        <v>173</v>
      </c>
      <c r="G2086" s="70"/>
      <c r="H2086" s="70"/>
      <c r="I2086" s="70"/>
      <c r="J2086" s="172"/>
      <c r="K2086" s="69"/>
      <c r="L2086" s="69"/>
      <c r="M2086" s="69"/>
      <c r="N2086" s="69"/>
      <c r="O2086" s="69"/>
      <c r="P2086" s="69"/>
      <c r="Q2086" s="69"/>
      <c r="R2086" s="69"/>
    </row>
    <row r="2087" spans="1:18" ht="51.75" hidden="1" customHeight="1">
      <c r="A2087" s="16"/>
      <c r="B2087" s="14"/>
      <c r="C2087" s="15"/>
      <c r="D2087" s="15"/>
      <c r="E2087" s="14"/>
      <c r="F2087" s="14"/>
      <c r="G2087" s="70"/>
      <c r="H2087" s="70"/>
      <c r="I2087" s="70"/>
      <c r="J2087" s="172"/>
      <c r="K2087" s="69"/>
      <c r="L2087" s="69"/>
      <c r="M2087" s="69"/>
      <c r="N2087" s="69"/>
      <c r="O2087" s="69"/>
      <c r="P2087" s="69"/>
      <c r="Q2087" s="69"/>
      <c r="R2087" s="69"/>
    </row>
    <row r="2088" spans="1:18" ht="39" hidden="1" customHeight="1">
      <c r="A2088" s="16"/>
      <c r="B2088" s="14"/>
      <c r="C2088" s="15"/>
      <c r="D2088" s="15"/>
      <c r="E2088" s="14"/>
      <c r="F2088" s="14"/>
      <c r="G2088" s="70"/>
      <c r="H2088" s="70"/>
      <c r="I2088" s="70"/>
      <c r="J2088" s="172"/>
      <c r="K2088" s="69"/>
      <c r="L2088" s="69"/>
      <c r="M2088" s="69"/>
      <c r="N2088" s="69"/>
      <c r="O2088" s="69"/>
      <c r="P2088" s="69"/>
      <c r="Q2088" s="69"/>
      <c r="R2088" s="69"/>
    </row>
    <row r="2089" spans="1:18" ht="17.25" hidden="1" customHeight="1">
      <c r="A2089" s="16"/>
      <c r="B2089" s="14"/>
      <c r="C2089" s="15"/>
      <c r="D2089" s="15"/>
      <c r="E2089" s="14"/>
      <c r="F2089" s="14"/>
      <c r="G2089" s="70"/>
      <c r="H2089" s="70"/>
      <c r="I2089" s="70"/>
      <c r="J2089" s="172"/>
      <c r="K2089" s="69"/>
      <c r="L2089" s="69"/>
      <c r="M2089" s="69"/>
      <c r="N2089" s="69"/>
      <c r="O2089" s="69"/>
      <c r="P2089" s="69"/>
      <c r="Q2089" s="69"/>
      <c r="R2089" s="69"/>
    </row>
    <row r="2090" spans="1:18" ht="27.75" hidden="1" customHeight="1">
      <c r="A2090" s="16"/>
      <c r="B2090" s="14"/>
      <c r="C2090" s="15"/>
      <c r="D2090" s="15"/>
      <c r="E2090" s="14"/>
      <c r="F2090" s="14"/>
      <c r="G2090" s="70"/>
      <c r="H2090" s="70"/>
      <c r="I2090" s="70"/>
      <c r="J2090" s="172"/>
      <c r="K2090" s="69"/>
      <c r="L2090" s="69"/>
      <c r="M2090" s="69"/>
      <c r="N2090" s="69"/>
      <c r="O2090" s="69"/>
      <c r="P2090" s="69"/>
      <c r="Q2090" s="69"/>
      <c r="R2090" s="69"/>
    </row>
    <row r="2091" spans="1:18">
      <c r="A2091" s="54" t="s">
        <v>336</v>
      </c>
      <c r="B2091" s="19">
        <v>793</v>
      </c>
      <c r="C2091" s="7" t="s">
        <v>167</v>
      </c>
      <c r="D2091" s="7"/>
      <c r="E2091" s="7"/>
      <c r="F2091" s="7"/>
      <c r="G2091" s="38">
        <f>G2742+G2368+G2892+G2915+G2092+G2190+G2505</f>
        <v>1103736268.1530001</v>
      </c>
      <c r="H2091" s="38">
        <f>H2742+H2368+H2892+H2915+H2092+H2190+H2505</f>
        <v>54011385.909999996</v>
      </c>
      <c r="I2091" s="38">
        <f>I2742+I2368+I2892+I2915+I2092+I2190+I2505</f>
        <v>15161300</v>
      </c>
      <c r="J2091" s="328">
        <f>G2103+G2106+G2115+G2128+G2136+G2141+G2144+G2148+G2194+G2224+G2228+G2231+G2237+G2267+G2270+G2387+G2390+G2395+G2398+G2458+G2462+G2538</f>
        <v>66390781.07</v>
      </c>
      <c r="K2091" s="69"/>
      <c r="L2091" s="69"/>
      <c r="M2091" s="69"/>
      <c r="N2091" s="69"/>
      <c r="O2091" s="69"/>
      <c r="P2091" s="241"/>
      <c r="Q2091" s="241"/>
      <c r="R2091" s="69"/>
    </row>
    <row r="2092" spans="1:18">
      <c r="A2092" s="55" t="s">
        <v>168</v>
      </c>
      <c r="B2092" s="49">
        <v>793</v>
      </c>
      <c r="C2092" s="10" t="s">
        <v>167</v>
      </c>
      <c r="D2092" s="10" t="s">
        <v>18</v>
      </c>
      <c r="E2092" s="7"/>
      <c r="F2092" s="7"/>
      <c r="G2092" s="27">
        <f>G2093+G2119+G2176+G2160+G2164</f>
        <v>62143085.25</v>
      </c>
      <c r="H2092" s="27">
        <f t="shared" ref="H2092:I2092" si="568">H2093+H2119</f>
        <v>18028205.800000001</v>
      </c>
      <c r="I2092" s="27">
        <f t="shared" si="568"/>
        <v>1550000</v>
      </c>
      <c r="J2092" s="242">
        <f>J2091-G2091</f>
        <v>-1037345487.0830001</v>
      </c>
      <c r="K2092" s="242"/>
      <c r="L2092" s="242"/>
      <c r="M2092" s="242"/>
      <c r="N2092" s="242"/>
      <c r="O2092" s="242"/>
      <c r="P2092" s="69"/>
      <c r="Q2092" s="69"/>
      <c r="R2092" s="69"/>
    </row>
    <row r="2093" spans="1:18" ht="53.25" customHeight="1">
      <c r="A2093" s="16" t="s">
        <v>1144</v>
      </c>
      <c r="B2093" s="49">
        <v>793</v>
      </c>
      <c r="C2093" s="15" t="s">
        <v>167</v>
      </c>
      <c r="D2093" s="15" t="s">
        <v>18</v>
      </c>
      <c r="E2093" s="15" t="s">
        <v>289</v>
      </c>
      <c r="F2093" s="15"/>
      <c r="G2093" s="70">
        <f>G2096+G2100+G2103+G2109+G2104+G2113+G2116</f>
        <v>2583535.19</v>
      </c>
      <c r="H2093" s="70">
        <f t="shared" ref="H2093:I2093" si="569">H2096+H2100+H2103+H2109+H2104</f>
        <v>1500000</v>
      </c>
      <c r="I2093" s="70">
        <f t="shared" si="569"/>
        <v>1000000</v>
      </c>
      <c r="J2093" s="172"/>
      <c r="K2093" s="69"/>
      <c r="L2093" s="69"/>
      <c r="M2093" s="69"/>
      <c r="N2093" s="69"/>
      <c r="O2093" s="69"/>
      <c r="P2093" s="69"/>
      <c r="Q2093" s="69"/>
      <c r="R2093" s="69"/>
    </row>
    <row r="2094" spans="1:18" s="18" customFormat="1" ht="20.25" hidden="1" customHeight="1">
      <c r="A2094" s="16" t="s">
        <v>84</v>
      </c>
      <c r="B2094" s="49">
        <v>793</v>
      </c>
      <c r="C2094" s="15" t="s">
        <v>167</v>
      </c>
      <c r="D2094" s="15" t="s">
        <v>18</v>
      </c>
      <c r="E2094" s="15" t="s">
        <v>83</v>
      </c>
      <c r="F2094" s="15"/>
      <c r="G2094" s="70">
        <f t="shared" ref="G2094:I2095" si="570">G2095</f>
        <v>0</v>
      </c>
      <c r="H2094" s="70">
        <f t="shared" si="570"/>
        <v>0</v>
      </c>
      <c r="I2094" s="70">
        <f t="shared" si="570"/>
        <v>0</v>
      </c>
      <c r="J2094" s="172"/>
      <c r="K2094" s="180"/>
      <c r="L2094" s="180"/>
      <c r="M2094" s="180"/>
      <c r="N2094" s="180"/>
      <c r="O2094" s="180"/>
      <c r="P2094" s="180"/>
      <c r="Q2094" s="180"/>
      <c r="R2094" s="180"/>
    </row>
    <row r="2095" spans="1:18" ht="30.75" hidden="1" customHeight="1">
      <c r="A2095" s="16" t="s">
        <v>35</v>
      </c>
      <c r="B2095" s="49">
        <v>793</v>
      </c>
      <c r="C2095" s="15" t="s">
        <v>167</v>
      </c>
      <c r="D2095" s="15" t="s">
        <v>18</v>
      </c>
      <c r="E2095" s="15" t="s">
        <v>83</v>
      </c>
      <c r="F2095" s="15" t="s">
        <v>36</v>
      </c>
      <c r="G2095" s="70">
        <f t="shared" si="570"/>
        <v>0</v>
      </c>
      <c r="H2095" s="70">
        <f t="shared" si="570"/>
        <v>0</v>
      </c>
      <c r="I2095" s="70">
        <f t="shared" si="570"/>
        <v>0</v>
      </c>
      <c r="J2095" s="172"/>
      <c r="K2095" s="69"/>
      <c r="L2095" s="69"/>
      <c r="M2095" s="69"/>
      <c r="N2095" s="69"/>
      <c r="O2095" s="69"/>
      <c r="P2095" s="69"/>
      <c r="Q2095" s="69"/>
      <c r="R2095" s="69"/>
    </row>
    <row r="2096" spans="1:18" s="18" customFormat="1" ht="34.5" hidden="1" customHeight="1">
      <c r="A2096" s="16" t="s">
        <v>37</v>
      </c>
      <c r="B2096" s="49">
        <v>793</v>
      </c>
      <c r="C2096" s="15" t="s">
        <v>167</v>
      </c>
      <c r="D2096" s="15" t="s">
        <v>18</v>
      </c>
      <c r="E2096" s="15" t="s">
        <v>83</v>
      </c>
      <c r="F2096" s="15" t="s">
        <v>38</v>
      </c>
      <c r="G2096" s="70"/>
      <c r="H2096" s="70"/>
      <c r="I2096" s="70"/>
      <c r="J2096" s="172"/>
      <c r="K2096" s="180"/>
      <c r="L2096" s="180"/>
      <c r="M2096" s="180"/>
      <c r="N2096" s="180"/>
      <c r="O2096" s="180"/>
      <c r="P2096" s="180"/>
      <c r="Q2096" s="180"/>
      <c r="R2096" s="180"/>
    </row>
    <row r="2097" spans="1:18" s="3" customFormat="1" ht="52.5" hidden="1" customHeight="1">
      <c r="A2097" s="16"/>
      <c r="B2097" s="49"/>
      <c r="C2097" s="15"/>
      <c r="D2097" s="15"/>
      <c r="E2097" s="15"/>
      <c r="F2097" s="15"/>
      <c r="G2097" s="70"/>
      <c r="H2097" s="70"/>
      <c r="I2097" s="70"/>
      <c r="J2097" s="172"/>
      <c r="K2097" s="62"/>
      <c r="L2097" s="62"/>
      <c r="M2097" s="62"/>
      <c r="N2097" s="62"/>
      <c r="O2097" s="62"/>
      <c r="P2097" s="62"/>
      <c r="Q2097" s="62"/>
      <c r="R2097" s="62"/>
    </row>
    <row r="2098" spans="1:18" s="18" customFormat="1" ht="63" hidden="1" customHeight="1">
      <c r="A2098" s="16" t="s">
        <v>80</v>
      </c>
      <c r="B2098" s="49">
        <v>793</v>
      </c>
      <c r="C2098" s="15" t="s">
        <v>167</v>
      </c>
      <c r="D2098" s="15" t="s">
        <v>18</v>
      </c>
      <c r="E2098" s="15" t="s">
        <v>79</v>
      </c>
      <c r="F2098" s="15"/>
      <c r="G2098" s="70">
        <f t="shared" ref="G2098:I2099" si="571">G2099</f>
        <v>0</v>
      </c>
      <c r="H2098" s="70">
        <f t="shared" si="571"/>
        <v>0</v>
      </c>
      <c r="I2098" s="70">
        <f t="shared" si="571"/>
        <v>0</v>
      </c>
      <c r="J2098" s="172"/>
      <c r="K2098" s="180"/>
      <c r="L2098" s="180"/>
      <c r="M2098" s="180"/>
      <c r="N2098" s="180"/>
      <c r="O2098" s="180"/>
      <c r="P2098" s="180"/>
      <c r="Q2098" s="180"/>
      <c r="R2098" s="180"/>
    </row>
    <row r="2099" spans="1:18" ht="30.75" hidden="1" customHeight="1">
      <c r="A2099" s="16" t="s">
        <v>35</v>
      </c>
      <c r="B2099" s="49">
        <v>793</v>
      </c>
      <c r="C2099" s="15" t="s">
        <v>167</v>
      </c>
      <c r="D2099" s="15" t="s">
        <v>18</v>
      </c>
      <c r="E2099" s="15" t="s">
        <v>79</v>
      </c>
      <c r="F2099" s="15" t="s">
        <v>36</v>
      </c>
      <c r="G2099" s="70">
        <f t="shared" si="571"/>
        <v>0</v>
      </c>
      <c r="H2099" s="70">
        <f t="shared" si="571"/>
        <v>0</v>
      </c>
      <c r="I2099" s="70">
        <f t="shared" si="571"/>
        <v>0</v>
      </c>
      <c r="J2099" s="172"/>
      <c r="K2099" s="69"/>
      <c r="L2099" s="69"/>
      <c r="M2099" s="69"/>
      <c r="N2099" s="69"/>
      <c r="O2099" s="69"/>
      <c r="P2099" s="69"/>
      <c r="Q2099" s="69"/>
      <c r="R2099" s="69"/>
    </row>
    <row r="2100" spans="1:18" s="18" customFormat="1" ht="34.5" hidden="1" customHeight="1">
      <c r="A2100" s="16" t="s">
        <v>37</v>
      </c>
      <c r="B2100" s="49">
        <v>793</v>
      </c>
      <c r="C2100" s="15" t="s">
        <v>167</v>
      </c>
      <c r="D2100" s="15" t="s">
        <v>18</v>
      </c>
      <c r="E2100" s="15" t="s">
        <v>79</v>
      </c>
      <c r="F2100" s="15" t="s">
        <v>38</v>
      </c>
      <c r="G2100" s="70"/>
      <c r="H2100" s="70"/>
      <c r="I2100" s="70"/>
      <c r="J2100" s="172"/>
      <c r="K2100" s="180"/>
      <c r="L2100" s="180"/>
      <c r="M2100" s="180"/>
      <c r="N2100" s="180"/>
      <c r="O2100" s="180"/>
      <c r="P2100" s="180"/>
      <c r="Q2100" s="180"/>
      <c r="R2100" s="180"/>
    </row>
    <row r="2101" spans="1:18" s="18" customFormat="1" ht="35.25" customHeight="1">
      <c r="A2101" s="16" t="s">
        <v>921</v>
      </c>
      <c r="B2101" s="49">
        <v>793</v>
      </c>
      <c r="C2101" s="15" t="s">
        <v>167</v>
      </c>
      <c r="D2101" s="15" t="s">
        <v>18</v>
      </c>
      <c r="E2101" s="15" t="s">
        <v>81</v>
      </c>
      <c r="F2101" s="15"/>
      <c r="G2101" s="70">
        <f t="shared" ref="G2101:I2105" si="572">G2102</f>
        <v>2325583.54</v>
      </c>
      <c r="H2101" s="70">
        <f t="shared" si="572"/>
        <v>1000000</v>
      </c>
      <c r="I2101" s="70">
        <f t="shared" si="572"/>
        <v>500000</v>
      </c>
      <c r="J2101" s="172"/>
      <c r="K2101" s="180"/>
      <c r="L2101" s="180"/>
      <c r="M2101" s="180"/>
      <c r="N2101" s="180"/>
      <c r="O2101" s="180"/>
      <c r="P2101" s="180"/>
      <c r="Q2101" s="180"/>
      <c r="R2101" s="180"/>
    </row>
    <row r="2102" spans="1:18" ht="35.25" customHeight="1">
      <c r="A2102" s="16" t="s">
        <v>35</v>
      </c>
      <c r="B2102" s="49">
        <v>793</v>
      </c>
      <c r="C2102" s="15" t="s">
        <v>167</v>
      </c>
      <c r="D2102" s="15" t="s">
        <v>18</v>
      </c>
      <c r="E2102" s="15" t="s">
        <v>81</v>
      </c>
      <c r="F2102" s="15" t="s">
        <v>36</v>
      </c>
      <c r="G2102" s="70">
        <f t="shared" si="572"/>
        <v>2325583.54</v>
      </c>
      <c r="H2102" s="70">
        <f t="shared" si="572"/>
        <v>1000000</v>
      </c>
      <c r="I2102" s="70">
        <f t="shared" si="572"/>
        <v>500000</v>
      </c>
      <c r="J2102" s="172"/>
      <c r="K2102" s="69"/>
      <c r="L2102" s="69"/>
      <c r="M2102" s="69"/>
      <c r="N2102" s="69"/>
      <c r="O2102" s="69"/>
      <c r="P2102" s="69"/>
      <c r="Q2102" s="69"/>
      <c r="R2102" s="69"/>
    </row>
    <row r="2103" spans="1:18" s="18" customFormat="1" ht="35.25" customHeight="1">
      <c r="A2103" s="16" t="s">
        <v>37</v>
      </c>
      <c r="B2103" s="49">
        <v>793</v>
      </c>
      <c r="C2103" s="15" t="s">
        <v>167</v>
      </c>
      <c r="D2103" s="15" t="s">
        <v>18</v>
      </c>
      <c r="E2103" s="15" t="s">
        <v>81</v>
      </c>
      <c r="F2103" s="15" t="s">
        <v>38</v>
      </c>
      <c r="G2103" s="70">
        <f>2429766.22-104182.68</f>
        <v>2325583.54</v>
      </c>
      <c r="H2103" s="70">
        <f>1500000-500000</f>
        <v>1000000</v>
      </c>
      <c r="I2103" s="70">
        <v>500000</v>
      </c>
      <c r="J2103" s="172"/>
      <c r="K2103" s="180"/>
      <c r="L2103" s="180"/>
      <c r="M2103" s="180"/>
      <c r="N2103" s="180"/>
      <c r="O2103" s="180"/>
      <c r="P2103" s="180"/>
      <c r="Q2103" s="180"/>
      <c r="R2103" s="180"/>
    </row>
    <row r="2104" spans="1:18" s="18" customFormat="1" ht="35.25" customHeight="1">
      <c r="A2104" s="16" t="s">
        <v>915</v>
      </c>
      <c r="B2104" s="49">
        <v>793</v>
      </c>
      <c r="C2104" s="15" t="s">
        <v>167</v>
      </c>
      <c r="D2104" s="15" t="s">
        <v>18</v>
      </c>
      <c r="E2104" s="15" t="s">
        <v>914</v>
      </c>
      <c r="F2104" s="15"/>
      <c r="G2104" s="70">
        <f t="shared" si="572"/>
        <v>131547.65</v>
      </c>
      <c r="H2104" s="70">
        <f t="shared" si="572"/>
        <v>500000</v>
      </c>
      <c r="I2104" s="70">
        <f t="shared" si="572"/>
        <v>500000</v>
      </c>
      <c r="J2104" s="172"/>
      <c r="K2104" s="180"/>
      <c r="L2104" s="180"/>
      <c r="M2104" s="180"/>
      <c r="N2104" s="180"/>
      <c r="O2104" s="180"/>
      <c r="P2104" s="180"/>
      <c r="Q2104" s="180"/>
      <c r="R2104" s="180"/>
    </row>
    <row r="2105" spans="1:18" ht="35.25" customHeight="1">
      <c r="A2105" s="16" t="s">
        <v>35</v>
      </c>
      <c r="B2105" s="49">
        <v>793</v>
      </c>
      <c r="C2105" s="15" t="s">
        <v>167</v>
      </c>
      <c r="D2105" s="15" t="s">
        <v>18</v>
      </c>
      <c r="E2105" s="15" t="s">
        <v>914</v>
      </c>
      <c r="F2105" s="15" t="s">
        <v>36</v>
      </c>
      <c r="G2105" s="70">
        <f t="shared" si="572"/>
        <v>131547.65</v>
      </c>
      <c r="H2105" s="70">
        <f t="shared" si="572"/>
        <v>500000</v>
      </c>
      <c r="I2105" s="70">
        <f t="shared" si="572"/>
        <v>500000</v>
      </c>
      <c r="J2105" s="172"/>
      <c r="K2105" s="69"/>
      <c r="L2105" s="69"/>
      <c r="M2105" s="69"/>
      <c r="N2105" s="69"/>
      <c r="O2105" s="69"/>
      <c r="P2105" s="69"/>
      <c r="Q2105" s="69"/>
      <c r="R2105" s="69"/>
    </row>
    <row r="2106" spans="1:18" s="18" customFormat="1" ht="35.25" customHeight="1">
      <c r="A2106" s="16" t="s">
        <v>37</v>
      </c>
      <c r="B2106" s="49">
        <v>793</v>
      </c>
      <c r="C2106" s="15" t="s">
        <v>167</v>
      </c>
      <c r="D2106" s="15" t="s">
        <v>18</v>
      </c>
      <c r="E2106" s="15" t="s">
        <v>914</v>
      </c>
      <c r="F2106" s="15" t="s">
        <v>38</v>
      </c>
      <c r="G2106" s="70">
        <v>131547.65</v>
      </c>
      <c r="H2106" s="70">
        <v>500000</v>
      </c>
      <c r="I2106" s="70">
        <v>500000</v>
      </c>
      <c r="J2106" s="172"/>
      <c r="K2106" s="180"/>
      <c r="L2106" s="180"/>
      <c r="M2106" s="180"/>
      <c r="N2106" s="180"/>
      <c r="O2106" s="180"/>
      <c r="P2106" s="180"/>
      <c r="Q2106" s="180"/>
      <c r="R2106" s="180"/>
    </row>
    <row r="2107" spans="1:18" s="18" customFormat="1" ht="20.25" hidden="1" customHeight="1">
      <c r="A2107" s="16" t="s">
        <v>84</v>
      </c>
      <c r="B2107" s="49">
        <v>793</v>
      </c>
      <c r="C2107" s="15" t="s">
        <v>167</v>
      </c>
      <c r="D2107" s="15" t="s">
        <v>18</v>
      </c>
      <c r="E2107" s="15" t="s">
        <v>83</v>
      </c>
      <c r="F2107" s="15"/>
      <c r="G2107" s="70">
        <f t="shared" ref="G2107:I2114" si="573">G2108</f>
        <v>0</v>
      </c>
      <c r="H2107" s="70">
        <f t="shared" si="573"/>
        <v>0</v>
      </c>
      <c r="I2107" s="70">
        <f t="shared" si="573"/>
        <v>0</v>
      </c>
      <c r="J2107" s="172"/>
      <c r="K2107" s="180"/>
      <c r="L2107" s="180"/>
      <c r="M2107" s="180"/>
      <c r="N2107" s="180"/>
      <c r="O2107" s="180"/>
      <c r="P2107" s="180"/>
      <c r="Q2107" s="180"/>
      <c r="R2107" s="180"/>
    </row>
    <row r="2108" spans="1:18" ht="30.75" hidden="1" customHeight="1">
      <c r="A2108" s="16" t="s">
        <v>35</v>
      </c>
      <c r="B2108" s="49">
        <v>793</v>
      </c>
      <c r="C2108" s="15" t="s">
        <v>167</v>
      </c>
      <c r="D2108" s="15" t="s">
        <v>18</v>
      </c>
      <c r="E2108" s="15" t="s">
        <v>83</v>
      </c>
      <c r="F2108" s="15" t="s">
        <v>36</v>
      </c>
      <c r="G2108" s="70">
        <f t="shared" si="573"/>
        <v>0</v>
      </c>
      <c r="H2108" s="70">
        <f t="shared" si="573"/>
        <v>0</v>
      </c>
      <c r="I2108" s="70">
        <f t="shared" si="573"/>
        <v>0</v>
      </c>
      <c r="J2108" s="172"/>
      <c r="K2108" s="69"/>
      <c r="L2108" s="69"/>
      <c r="M2108" s="69"/>
      <c r="N2108" s="69"/>
      <c r="O2108" s="69"/>
      <c r="P2108" s="69"/>
      <c r="Q2108" s="69"/>
      <c r="R2108" s="69"/>
    </row>
    <row r="2109" spans="1:18" s="18" customFormat="1" ht="34.5" hidden="1" customHeight="1">
      <c r="A2109" s="16" t="s">
        <v>37</v>
      </c>
      <c r="B2109" s="49">
        <v>793</v>
      </c>
      <c r="C2109" s="15" t="s">
        <v>167</v>
      </c>
      <c r="D2109" s="15" t="s">
        <v>18</v>
      </c>
      <c r="E2109" s="15" t="s">
        <v>83</v>
      </c>
      <c r="F2109" s="15" t="s">
        <v>38</v>
      </c>
      <c r="G2109" s="70"/>
      <c r="H2109" s="70"/>
      <c r="I2109" s="70"/>
      <c r="J2109" s="172"/>
      <c r="K2109" s="180"/>
      <c r="L2109" s="180"/>
      <c r="M2109" s="180"/>
      <c r="N2109" s="180"/>
      <c r="O2109" s="180"/>
      <c r="P2109" s="180"/>
      <c r="Q2109" s="180"/>
      <c r="R2109" s="180"/>
    </row>
    <row r="2110" spans="1:18" s="18" customFormat="1" ht="39" hidden="1" customHeight="1">
      <c r="A2110" s="16"/>
      <c r="B2110" s="49">
        <v>793</v>
      </c>
      <c r="C2110" s="15" t="s">
        <v>167</v>
      </c>
      <c r="D2110" s="15" t="s">
        <v>18</v>
      </c>
      <c r="E2110" s="15" t="s">
        <v>1083</v>
      </c>
      <c r="F2110" s="15"/>
      <c r="G2110" s="70">
        <f t="shared" si="573"/>
        <v>0</v>
      </c>
      <c r="H2110" s="70">
        <f t="shared" si="573"/>
        <v>0</v>
      </c>
      <c r="I2110" s="70">
        <f t="shared" si="573"/>
        <v>0</v>
      </c>
      <c r="J2110" s="172"/>
      <c r="K2110" s="180"/>
      <c r="L2110" s="180"/>
      <c r="M2110" s="180"/>
      <c r="N2110" s="180"/>
      <c r="O2110" s="180"/>
      <c r="P2110" s="180"/>
      <c r="Q2110" s="180"/>
      <c r="R2110" s="180"/>
    </row>
    <row r="2111" spans="1:18" ht="30.75" hidden="1" customHeight="1">
      <c r="A2111" s="16" t="s">
        <v>35</v>
      </c>
      <c r="B2111" s="49">
        <v>793</v>
      </c>
      <c r="C2111" s="15" t="s">
        <v>167</v>
      </c>
      <c r="D2111" s="15" t="s">
        <v>18</v>
      </c>
      <c r="E2111" s="15" t="s">
        <v>1083</v>
      </c>
      <c r="F2111" s="15" t="s">
        <v>36</v>
      </c>
      <c r="G2111" s="70">
        <f t="shared" si="573"/>
        <v>0</v>
      </c>
      <c r="H2111" s="70">
        <f t="shared" si="573"/>
        <v>0</v>
      </c>
      <c r="I2111" s="70">
        <f t="shared" si="573"/>
        <v>0</v>
      </c>
      <c r="J2111" s="172"/>
      <c r="K2111" s="69"/>
      <c r="L2111" s="69"/>
      <c r="M2111" s="69"/>
      <c r="N2111" s="69"/>
      <c r="O2111" s="69"/>
      <c r="P2111" s="69"/>
      <c r="Q2111" s="69"/>
      <c r="R2111" s="69"/>
    </row>
    <row r="2112" spans="1:18" s="18" customFormat="1" ht="34.5" hidden="1" customHeight="1">
      <c r="A2112" s="16" t="s">
        <v>37</v>
      </c>
      <c r="B2112" s="49">
        <v>793</v>
      </c>
      <c r="C2112" s="15" t="s">
        <v>167</v>
      </c>
      <c r="D2112" s="15" t="s">
        <v>18</v>
      </c>
      <c r="E2112" s="15" t="s">
        <v>1083</v>
      </c>
      <c r="F2112" s="15" t="s">
        <v>38</v>
      </c>
      <c r="G2112" s="70"/>
      <c r="H2112" s="70"/>
      <c r="I2112" s="70"/>
      <c r="J2112" s="172"/>
      <c r="K2112" s="180"/>
      <c r="L2112" s="180"/>
      <c r="M2112" s="180"/>
      <c r="N2112" s="180"/>
      <c r="O2112" s="180"/>
      <c r="P2112" s="180"/>
      <c r="Q2112" s="180"/>
      <c r="R2112" s="180"/>
    </row>
    <row r="2113" spans="1:18" s="18" customFormat="1" ht="20.25" hidden="1" customHeight="1">
      <c r="A2113" s="16" t="s">
        <v>1113</v>
      </c>
      <c r="B2113" s="49">
        <v>793</v>
      </c>
      <c r="C2113" s="15" t="s">
        <v>167</v>
      </c>
      <c r="D2113" s="15" t="s">
        <v>18</v>
      </c>
      <c r="E2113" s="15" t="s">
        <v>1112</v>
      </c>
      <c r="F2113" s="15"/>
      <c r="G2113" s="70">
        <f t="shared" si="573"/>
        <v>0</v>
      </c>
      <c r="H2113" s="70">
        <f t="shared" si="573"/>
        <v>0</v>
      </c>
      <c r="I2113" s="70">
        <f t="shared" si="573"/>
        <v>0</v>
      </c>
      <c r="J2113" s="172"/>
      <c r="K2113" s="180"/>
      <c r="L2113" s="180"/>
      <c r="M2113" s="180"/>
      <c r="N2113" s="180"/>
      <c r="O2113" s="180"/>
      <c r="P2113" s="180"/>
      <c r="Q2113" s="180"/>
      <c r="R2113" s="180"/>
    </row>
    <row r="2114" spans="1:18" ht="30.75" hidden="1" customHeight="1">
      <c r="A2114" s="16" t="s">
        <v>35</v>
      </c>
      <c r="B2114" s="49">
        <v>793</v>
      </c>
      <c r="C2114" s="15" t="s">
        <v>167</v>
      </c>
      <c r="D2114" s="15" t="s">
        <v>18</v>
      </c>
      <c r="E2114" s="15" t="s">
        <v>1112</v>
      </c>
      <c r="F2114" s="15" t="s">
        <v>36</v>
      </c>
      <c r="G2114" s="70">
        <f t="shared" si="573"/>
        <v>0</v>
      </c>
      <c r="H2114" s="70">
        <f t="shared" si="573"/>
        <v>0</v>
      </c>
      <c r="I2114" s="70">
        <f t="shared" si="573"/>
        <v>0</v>
      </c>
      <c r="J2114" s="172"/>
      <c r="K2114" s="69"/>
      <c r="L2114" s="69"/>
      <c r="M2114" s="69"/>
      <c r="N2114" s="69"/>
      <c r="O2114" s="69"/>
      <c r="P2114" s="69"/>
      <c r="Q2114" s="69"/>
      <c r="R2114" s="69"/>
    </row>
    <row r="2115" spans="1:18" s="18" customFormat="1" ht="34.5" hidden="1" customHeight="1">
      <c r="A2115" s="16" t="s">
        <v>37</v>
      </c>
      <c r="B2115" s="49">
        <v>793</v>
      </c>
      <c r="C2115" s="15" t="s">
        <v>167</v>
      </c>
      <c r="D2115" s="15" t="s">
        <v>18</v>
      </c>
      <c r="E2115" s="15" t="s">
        <v>1112</v>
      </c>
      <c r="F2115" s="15" t="s">
        <v>38</v>
      </c>
      <c r="G2115" s="70"/>
      <c r="H2115" s="70"/>
      <c r="I2115" s="70"/>
      <c r="J2115" s="172"/>
      <c r="K2115" s="180"/>
      <c r="L2115" s="180"/>
      <c r="M2115" s="180"/>
      <c r="N2115" s="180"/>
      <c r="O2115" s="180"/>
      <c r="P2115" s="180"/>
      <c r="Q2115" s="180"/>
      <c r="R2115" s="180"/>
    </row>
    <row r="2116" spans="1:18" s="18" customFormat="1" ht="35.25" customHeight="1">
      <c r="A2116" s="16" t="s">
        <v>84</v>
      </c>
      <c r="B2116" s="49">
        <v>793</v>
      </c>
      <c r="C2116" s="15" t="s">
        <v>167</v>
      </c>
      <c r="D2116" s="15" t="s">
        <v>18</v>
      </c>
      <c r="E2116" s="15" t="s">
        <v>83</v>
      </c>
      <c r="F2116" s="15"/>
      <c r="G2116" s="70">
        <f t="shared" ref="G2116:I2117" si="574">G2117</f>
        <v>126404</v>
      </c>
      <c r="H2116" s="70">
        <f t="shared" si="574"/>
        <v>0</v>
      </c>
      <c r="I2116" s="70">
        <f t="shared" si="574"/>
        <v>0</v>
      </c>
      <c r="J2116" s="172"/>
      <c r="K2116" s="180"/>
      <c r="L2116" s="180"/>
      <c r="M2116" s="180"/>
      <c r="N2116" s="180"/>
      <c r="O2116" s="180"/>
      <c r="P2116" s="180"/>
      <c r="Q2116" s="180"/>
      <c r="R2116" s="180"/>
    </row>
    <row r="2117" spans="1:18" ht="35.25" customHeight="1">
      <c r="A2117" s="16" t="s">
        <v>35</v>
      </c>
      <c r="B2117" s="49">
        <v>793</v>
      </c>
      <c r="C2117" s="15" t="s">
        <v>167</v>
      </c>
      <c r="D2117" s="15" t="s">
        <v>18</v>
      </c>
      <c r="E2117" s="15" t="s">
        <v>83</v>
      </c>
      <c r="F2117" s="15" t="s">
        <v>36</v>
      </c>
      <c r="G2117" s="70">
        <f t="shared" si="574"/>
        <v>126404</v>
      </c>
      <c r="H2117" s="70">
        <f t="shared" si="574"/>
        <v>0</v>
      </c>
      <c r="I2117" s="70">
        <f t="shared" si="574"/>
        <v>0</v>
      </c>
      <c r="J2117" s="172"/>
      <c r="K2117" s="69"/>
      <c r="L2117" s="69"/>
      <c r="M2117" s="69"/>
      <c r="N2117" s="69"/>
      <c r="O2117" s="69"/>
      <c r="P2117" s="69"/>
      <c r="Q2117" s="69"/>
      <c r="R2117" s="69"/>
    </row>
    <row r="2118" spans="1:18" s="18" customFormat="1" ht="35.25" customHeight="1">
      <c r="A2118" s="16" t="s">
        <v>37</v>
      </c>
      <c r="B2118" s="49">
        <v>793</v>
      </c>
      <c r="C2118" s="15" t="s">
        <v>167</v>
      </c>
      <c r="D2118" s="15" t="s">
        <v>18</v>
      </c>
      <c r="E2118" s="15" t="s">
        <v>83</v>
      </c>
      <c r="F2118" s="15" t="s">
        <v>38</v>
      </c>
      <c r="G2118" s="70">
        <f>23523+102881</f>
        <v>126404</v>
      </c>
      <c r="H2118" s="70">
        <v>0</v>
      </c>
      <c r="I2118" s="70">
        <v>0</v>
      </c>
      <c r="J2118" s="172"/>
      <c r="K2118" s="180"/>
      <c r="L2118" s="180"/>
      <c r="M2118" s="180"/>
      <c r="N2118" s="180"/>
      <c r="O2118" s="180"/>
      <c r="P2118" s="180"/>
      <c r="Q2118" s="180"/>
      <c r="R2118" s="180"/>
    </row>
    <row r="2119" spans="1:18" s="18" customFormat="1" ht="73.5" customHeight="1">
      <c r="A2119" s="16" t="s">
        <v>1132</v>
      </c>
      <c r="B2119" s="49">
        <v>793</v>
      </c>
      <c r="C2119" s="10" t="s">
        <v>167</v>
      </c>
      <c r="D2119" s="10" t="s">
        <v>18</v>
      </c>
      <c r="E2119" s="15" t="s">
        <v>208</v>
      </c>
      <c r="F2119" s="15"/>
      <c r="G2119" s="70">
        <f>G2120+G2126+G2123+G2132+G2137+G2142+G2145+G2149+G2129+G2154+G2157</f>
        <v>58721169.880000003</v>
      </c>
      <c r="H2119" s="70">
        <f>H2120+H2126+H2123+H2132+H2137+H2142</f>
        <v>16528205.800000001</v>
      </c>
      <c r="I2119" s="70">
        <f>I2120+I2126+I2123+I2132+I2137+I2142</f>
        <v>550000</v>
      </c>
      <c r="J2119" s="172"/>
      <c r="K2119" s="180"/>
      <c r="L2119" s="180"/>
      <c r="M2119" s="180"/>
      <c r="N2119" s="180"/>
      <c r="O2119" s="180"/>
      <c r="P2119" s="180"/>
      <c r="Q2119" s="180"/>
      <c r="R2119" s="180"/>
    </row>
    <row r="2120" spans="1:18" s="18" customFormat="1" ht="92.4" hidden="1">
      <c r="A2120" s="16" t="s">
        <v>424</v>
      </c>
      <c r="B2120" s="49">
        <v>793</v>
      </c>
      <c r="C2120" s="10" t="s">
        <v>167</v>
      </c>
      <c r="D2120" s="10" t="s">
        <v>18</v>
      </c>
      <c r="E2120" s="15" t="s">
        <v>497</v>
      </c>
      <c r="F2120" s="15"/>
      <c r="G2120" s="70">
        <f>G2121</f>
        <v>0</v>
      </c>
      <c r="H2120" s="70">
        <f t="shared" ref="H2120:I2124" si="575">H2121</f>
        <v>0</v>
      </c>
      <c r="I2120" s="70">
        <f t="shared" si="575"/>
        <v>0</v>
      </c>
      <c r="J2120" s="172"/>
      <c r="K2120" s="180"/>
      <c r="L2120" s="180"/>
      <c r="M2120" s="180"/>
      <c r="N2120" s="180"/>
      <c r="O2120" s="180"/>
      <c r="P2120" s="180"/>
      <c r="Q2120" s="180"/>
      <c r="R2120" s="180"/>
    </row>
    <row r="2121" spans="1:18" s="18" customFormat="1" ht="23.25" hidden="1" customHeight="1">
      <c r="A2121" s="16" t="s">
        <v>62</v>
      </c>
      <c r="B2121" s="49">
        <v>793</v>
      </c>
      <c r="C2121" s="10" t="s">
        <v>167</v>
      </c>
      <c r="D2121" s="10" t="s">
        <v>18</v>
      </c>
      <c r="E2121" s="15" t="s">
        <v>497</v>
      </c>
      <c r="F2121" s="15" t="s">
        <v>63</v>
      </c>
      <c r="G2121" s="70">
        <f>G2122</f>
        <v>0</v>
      </c>
      <c r="H2121" s="70">
        <f t="shared" si="575"/>
        <v>0</v>
      </c>
      <c r="I2121" s="70">
        <f t="shared" si="575"/>
        <v>0</v>
      </c>
      <c r="J2121" s="172"/>
      <c r="K2121" s="180"/>
      <c r="L2121" s="180"/>
      <c r="M2121" s="180"/>
      <c r="N2121" s="180"/>
      <c r="O2121" s="180"/>
      <c r="P2121" s="180"/>
      <c r="Q2121" s="180"/>
      <c r="R2121" s="180"/>
    </row>
    <row r="2122" spans="1:18" s="18" customFormat="1" ht="20.25" hidden="1" customHeight="1">
      <c r="A2122" s="50" t="s">
        <v>140</v>
      </c>
      <c r="B2122" s="49">
        <v>793</v>
      </c>
      <c r="C2122" s="10" t="s">
        <v>167</v>
      </c>
      <c r="D2122" s="10" t="s">
        <v>18</v>
      </c>
      <c r="E2122" s="15" t="s">
        <v>497</v>
      </c>
      <c r="F2122" s="15" t="s">
        <v>66</v>
      </c>
      <c r="G2122" s="70"/>
      <c r="H2122" s="70"/>
      <c r="I2122" s="70"/>
      <c r="J2122" s="172"/>
      <c r="K2122" s="180"/>
      <c r="L2122" s="180"/>
      <c r="M2122" s="180"/>
      <c r="N2122" s="180"/>
      <c r="O2122" s="180"/>
      <c r="P2122" s="180"/>
      <c r="Q2122" s="180"/>
      <c r="R2122" s="180"/>
    </row>
    <row r="2123" spans="1:18" s="18" customFormat="1" ht="79.2" hidden="1">
      <c r="A2123" s="16" t="s">
        <v>425</v>
      </c>
      <c r="B2123" s="49">
        <v>793</v>
      </c>
      <c r="C2123" s="10" t="s">
        <v>167</v>
      </c>
      <c r="D2123" s="10" t="s">
        <v>18</v>
      </c>
      <c r="E2123" s="15" t="s">
        <v>498</v>
      </c>
      <c r="F2123" s="15"/>
      <c r="G2123" s="70">
        <f>G2124</f>
        <v>0</v>
      </c>
      <c r="H2123" s="70">
        <f t="shared" si="575"/>
        <v>0</v>
      </c>
      <c r="I2123" s="70">
        <f t="shared" si="575"/>
        <v>0</v>
      </c>
      <c r="J2123" s="172"/>
      <c r="K2123" s="180"/>
      <c r="L2123" s="180"/>
      <c r="M2123" s="180"/>
      <c r="N2123" s="180"/>
      <c r="O2123" s="180"/>
      <c r="P2123" s="180"/>
      <c r="Q2123" s="180"/>
      <c r="R2123" s="180"/>
    </row>
    <row r="2124" spans="1:18" s="18" customFormat="1" ht="22.5" hidden="1" customHeight="1">
      <c r="A2124" s="16" t="s">
        <v>62</v>
      </c>
      <c r="B2124" s="49">
        <v>793</v>
      </c>
      <c r="C2124" s="10" t="s">
        <v>167</v>
      </c>
      <c r="D2124" s="10" t="s">
        <v>18</v>
      </c>
      <c r="E2124" s="15" t="s">
        <v>498</v>
      </c>
      <c r="F2124" s="15" t="s">
        <v>63</v>
      </c>
      <c r="G2124" s="70">
        <f>G2125</f>
        <v>0</v>
      </c>
      <c r="H2124" s="70">
        <f t="shared" si="575"/>
        <v>0</v>
      </c>
      <c r="I2124" s="70">
        <f t="shared" si="575"/>
        <v>0</v>
      </c>
      <c r="J2124" s="172"/>
      <c r="K2124" s="180"/>
      <c r="L2124" s="180"/>
      <c r="M2124" s="180"/>
      <c r="N2124" s="180"/>
      <c r="O2124" s="180"/>
      <c r="P2124" s="180"/>
      <c r="Q2124" s="180"/>
      <c r="R2124" s="180"/>
    </row>
    <row r="2125" spans="1:18" s="18" customFormat="1" ht="17.25" hidden="1" customHeight="1">
      <c r="A2125" s="50" t="s">
        <v>140</v>
      </c>
      <c r="B2125" s="49">
        <v>793</v>
      </c>
      <c r="C2125" s="10" t="s">
        <v>167</v>
      </c>
      <c r="D2125" s="10" t="s">
        <v>18</v>
      </c>
      <c r="E2125" s="15" t="s">
        <v>498</v>
      </c>
      <c r="F2125" s="15" t="s">
        <v>66</v>
      </c>
      <c r="G2125" s="70"/>
      <c r="H2125" s="70"/>
      <c r="I2125" s="70"/>
      <c r="J2125" s="172"/>
      <c r="K2125" s="180"/>
      <c r="L2125" s="180"/>
      <c r="M2125" s="180"/>
      <c r="N2125" s="180"/>
      <c r="O2125" s="180"/>
      <c r="P2125" s="180"/>
      <c r="Q2125" s="180"/>
      <c r="R2125" s="180"/>
    </row>
    <row r="2126" spans="1:18" s="46" customFormat="1" ht="48.75" customHeight="1">
      <c r="A2126" s="16" t="s">
        <v>1187</v>
      </c>
      <c r="B2126" s="49">
        <v>793</v>
      </c>
      <c r="C2126" s="10" t="s">
        <v>167</v>
      </c>
      <c r="D2126" s="10" t="s">
        <v>18</v>
      </c>
      <c r="E2126" s="15" t="s">
        <v>365</v>
      </c>
      <c r="F2126" s="15"/>
      <c r="G2126" s="70">
        <f>G2127</f>
        <v>1647500</v>
      </c>
      <c r="H2126" s="70">
        <f t="shared" ref="G2126:I2127" si="576">H2127</f>
        <v>534005.80000000005</v>
      </c>
      <c r="I2126" s="70">
        <f t="shared" si="576"/>
        <v>550000</v>
      </c>
      <c r="J2126" s="172"/>
      <c r="K2126" s="58"/>
      <c r="L2126" s="58"/>
      <c r="M2126" s="58"/>
      <c r="N2126" s="58"/>
      <c r="O2126" s="58"/>
      <c r="P2126" s="58"/>
      <c r="Q2126" s="58"/>
      <c r="R2126" s="58"/>
    </row>
    <row r="2127" spans="1:18" s="46" customFormat="1" ht="21" customHeight="1">
      <c r="A2127" s="16" t="s">
        <v>316</v>
      </c>
      <c r="B2127" s="49">
        <v>793</v>
      </c>
      <c r="C2127" s="10" t="s">
        <v>167</v>
      </c>
      <c r="D2127" s="10" t="s">
        <v>18</v>
      </c>
      <c r="E2127" s="15" t="s">
        <v>365</v>
      </c>
      <c r="F2127" s="15" t="s">
        <v>36</v>
      </c>
      <c r="G2127" s="70">
        <f t="shared" si="576"/>
        <v>1647500</v>
      </c>
      <c r="H2127" s="70">
        <f t="shared" si="576"/>
        <v>534005.80000000005</v>
      </c>
      <c r="I2127" s="70">
        <f t="shared" si="576"/>
        <v>550000</v>
      </c>
      <c r="J2127" s="172"/>
      <c r="K2127" s="58"/>
      <c r="L2127" s="58"/>
      <c r="M2127" s="58"/>
      <c r="N2127" s="58"/>
      <c r="O2127" s="58"/>
      <c r="P2127" s="58"/>
      <c r="Q2127" s="58"/>
      <c r="R2127" s="58"/>
    </row>
    <row r="2128" spans="1:18" s="46" customFormat="1" ht="28.5" customHeight="1">
      <c r="A2128" s="16" t="s">
        <v>37</v>
      </c>
      <c r="B2128" s="49">
        <v>793</v>
      </c>
      <c r="C2128" s="10" t="s">
        <v>167</v>
      </c>
      <c r="D2128" s="10" t="s">
        <v>18</v>
      </c>
      <c r="E2128" s="15" t="s">
        <v>365</v>
      </c>
      <c r="F2128" s="15" t="s">
        <v>38</v>
      </c>
      <c r="G2128" s="70">
        <f>3025613.46-30000-1146499.92-50000-151613.54</f>
        <v>1647500</v>
      </c>
      <c r="H2128" s="70">
        <v>534005.80000000005</v>
      </c>
      <c r="I2128" s="70">
        <f>550000</f>
        <v>550000</v>
      </c>
      <c r="J2128" s="172"/>
      <c r="K2128" s="58"/>
      <c r="L2128" s="58"/>
      <c r="M2128" s="58"/>
      <c r="N2128" s="58"/>
      <c r="O2128" s="58"/>
      <c r="P2128" s="58"/>
      <c r="Q2128" s="58"/>
      <c r="R2128" s="58"/>
    </row>
    <row r="2129" spans="1:18" s="18" customFormat="1" ht="39" customHeight="1">
      <c r="A2129" s="82" t="s">
        <v>1419</v>
      </c>
      <c r="B2129" s="83">
        <v>793</v>
      </c>
      <c r="C2129" s="149" t="s">
        <v>167</v>
      </c>
      <c r="D2129" s="149" t="s">
        <v>18</v>
      </c>
      <c r="E2129" s="84" t="s">
        <v>1418</v>
      </c>
      <c r="F2129" s="84"/>
      <c r="G2129" s="87">
        <f>G2130</f>
        <v>25000</v>
      </c>
      <c r="H2129" s="87">
        <f>H2130</f>
        <v>0</v>
      </c>
      <c r="I2129" s="87">
        <f>I2130</f>
        <v>0</v>
      </c>
      <c r="J2129" s="173"/>
      <c r="K2129" s="195"/>
      <c r="L2129" s="195"/>
      <c r="M2129" s="195"/>
      <c r="N2129" s="195"/>
      <c r="O2129" s="195"/>
      <c r="P2129" s="195"/>
      <c r="Q2129" s="195"/>
      <c r="R2129" s="195"/>
    </row>
    <row r="2130" spans="1:18" ht="30.75" customHeight="1">
      <c r="A2130" s="82" t="s">
        <v>35</v>
      </c>
      <c r="B2130" s="83">
        <v>793</v>
      </c>
      <c r="C2130" s="149" t="s">
        <v>167</v>
      </c>
      <c r="D2130" s="149" t="s">
        <v>18</v>
      </c>
      <c r="E2130" s="84" t="s">
        <v>1418</v>
      </c>
      <c r="F2130" s="84" t="s">
        <v>36</v>
      </c>
      <c r="G2130" s="87">
        <f t="shared" ref="G2130:I2130" si="577">G2131</f>
        <v>25000</v>
      </c>
      <c r="H2130" s="87">
        <f t="shared" si="577"/>
        <v>0</v>
      </c>
      <c r="I2130" s="87">
        <f t="shared" si="577"/>
        <v>0</v>
      </c>
      <c r="J2130" s="173"/>
    </row>
    <row r="2131" spans="1:18" s="18" customFormat="1" ht="34.5" customHeight="1">
      <c r="A2131" s="82" t="s">
        <v>37</v>
      </c>
      <c r="B2131" s="83">
        <v>793</v>
      </c>
      <c r="C2131" s="149" t="s">
        <v>167</v>
      </c>
      <c r="D2131" s="149" t="s">
        <v>18</v>
      </c>
      <c r="E2131" s="84" t="s">
        <v>1418</v>
      </c>
      <c r="F2131" s="84" t="s">
        <v>38</v>
      </c>
      <c r="G2131" s="87">
        <f>30000-5000</f>
        <v>25000</v>
      </c>
      <c r="H2131" s="87">
        <v>0</v>
      </c>
      <c r="I2131" s="87">
        <v>0</v>
      </c>
      <c r="J2131" s="173"/>
      <c r="K2131" s="195"/>
      <c r="L2131" s="195"/>
      <c r="M2131" s="195"/>
      <c r="N2131" s="195"/>
      <c r="O2131" s="195"/>
      <c r="P2131" s="195"/>
      <c r="Q2131" s="195"/>
      <c r="R2131" s="195"/>
    </row>
    <row r="2132" spans="1:18" s="18" customFormat="1" ht="92.4">
      <c r="A2132" s="326" t="s">
        <v>1050</v>
      </c>
      <c r="B2132" s="49">
        <v>793</v>
      </c>
      <c r="C2132" s="10" t="s">
        <v>167</v>
      </c>
      <c r="D2132" s="10" t="s">
        <v>18</v>
      </c>
      <c r="E2132" s="15" t="s">
        <v>497</v>
      </c>
      <c r="F2132" s="15"/>
      <c r="G2132" s="70">
        <f>G2135+G2133</f>
        <v>53298730.799999997</v>
      </c>
      <c r="H2132" s="70">
        <f t="shared" ref="H2132:I2132" si="578">H2135+H2133</f>
        <v>15674316</v>
      </c>
      <c r="I2132" s="70">
        <f t="shared" si="578"/>
        <v>0</v>
      </c>
      <c r="J2132" s="172"/>
      <c r="K2132" s="180"/>
      <c r="L2132" s="180"/>
      <c r="M2132" s="180"/>
      <c r="N2132" s="180"/>
      <c r="O2132" s="180"/>
      <c r="P2132" s="180"/>
      <c r="Q2132" s="180"/>
      <c r="R2132" s="180"/>
    </row>
    <row r="2133" spans="1:18" s="18" customFormat="1" ht="35.25" hidden="1" customHeight="1">
      <c r="A2133" s="16" t="s">
        <v>94</v>
      </c>
      <c r="B2133" s="49">
        <v>793</v>
      </c>
      <c r="C2133" s="10" t="s">
        <v>167</v>
      </c>
      <c r="D2133" s="10" t="s">
        <v>18</v>
      </c>
      <c r="E2133" s="15" t="s">
        <v>497</v>
      </c>
      <c r="F2133" s="15" t="s">
        <v>338</v>
      </c>
      <c r="G2133" s="70">
        <f>G2134</f>
        <v>0</v>
      </c>
      <c r="H2133" s="70">
        <f t="shared" ref="H2133:I2138" si="579">H2134</f>
        <v>0</v>
      </c>
      <c r="I2133" s="70">
        <f t="shared" si="579"/>
        <v>0</v>
      </c>
      <c r="J2133" s="172"/>
      <c r="K2133" s="180"/>
      <c r="L2133" s="180"/>
      <c r="M2133" s="180"/>
      <c r="N2133" s="180"/>
      <c r="O2133" s="180"/>
      <c r="P2133" s="180"/>
      <c r="Q2133" s="180"/>
      <c r="R2133" s="180"/>
    </row>
    <row r="2134" spans="1:18" s="319" customFormat="1" ht="20.25" hidden="1" customHeight="1">
      <c r="A2134" s="320" t="s">
        <v>339</v>
      </c>
      <c r="B2134" s="321">
        <v>793</v>
      </c>
      <c r="C2134" s="322" t="s">
        <v>167</v>
      </c>
      <c r="D2134" s="322" t="s">
        <v>18</v>
      </c>
      <c r="E2134" s="298" t="s">
        <v>497</v>
      </c>
      <c r="F2134" s="298" t="s">
        <v>340</v>
      </c>
      <c r="G2134" s="160"/>
      <c r="H2134" s="160"/>
      <c r="I2134" s="160"/>
      <c r="J2134" s="302"/>
      <c r="K2134" s="318"/>
      <c r="L2134" s="318"/>
      <c r="M2134" s="318"/>
      <c r="N2134" s="318"/>
      <c r="O2134" s="318"/>
      <c r="P2134" s="318"/>
      <c r="Q2134" s="318"/>
      <c r="R2134" s="318"/>
    </row>
    <row r="2135" spans="1:18" s="18" customFormat="1" ht="23.25" customHeight="1">
      <c r="A2135" s="16" t="s">
        <v>62</v>
      </c>
      <c r="B2135" s="49">
        <v>793</v>
      </c>
      <c r="C2135" s="10" t="s">
        <v>167</v>
      </c>
      <c r="D2135" s="10" t="s">
        <v>18</v>
      </c>
      <c r="E2135" s="15" t="s">
        <v>497</v>
      </c>
      <c r="F2135" s="15" t="s">
        <v>63</v>
      </c>
      <c r="G2135" s="70">
        <f>G2136</f>
        <v>53298730.799999997</v>
      </c>
      <c r="H2135" s="70">
        <f t="shared" si="579"/>
        <v>15674316</v>
      </c>
      <c r="I2135" s="70">
        <f t="shared" si="579"/>
        <v>0</v>
      </c>
      <c r="J2135" s="172"/>
      <c r="K2135" s="180"/>
      <c r="L2135" s="180"/>
      <c r="M2135" s="180"/>
      <c r="N2135" s="180"/>
      <c r="O2135" s="180"/>
      <c r="P2135" s="180"/>
      <c r="Q2135" s="180"/>
      <c r="R2135" s="180"/>
    </row>
    <row r="2136" spans="1:18" s="18" customFormat="1" ht="20.25" customHeight="1">
      <c r="A2136" s="50" t="s">
        <v>140</v>
      </c>
      <c r="B2136" s="49">
        <v>793</v>
      </c>
      <c r="C2136" s="10" t="s">
        <v>167</v>
      </c>
      <c r="D2136" s="10" t="s">
        <v>18</v>
      </c>
      <c r="E2136" s="15" t="s">
        <v>497</v>
      </c>
      <c r="F2136" s="15" t="s">
        <v>66</v>
      </c>
      <c r="G2136" s="70">
        <v>53298730.799999997</v>
      </c>
      <c r="H2136" s="70">
        <v>15674316</v>
      </c>
      <c r="I2136" s="70">
        <v>0</v>
      </c>
      <c r="J2136" s="172"/>
      <c r="K2136" s="180"/>
      <c r="L2136" s="180"/>
      <c r="M2136" s="180"/>
      <c r="N2136" s="180"/>
      <c r="O2136" s="180"/>
      <c r="P2136" s="180"/>
      <c r="Q2136" s="180"/>
      <c r="R2136" s="180"/>
    </row>
    <row r="2137" spans="1:18" s="18" customFormat="1" ht="87.75" customHeight="1">
      <c r="A2137" s="16" t="s">
        <v>425</v>
      </c>
      <c r="B2137" s="49">
        <v>793</v>
      </c>
      <c r="C2137" s="10" t="s">
        <v>167</v>
      </c>
      <c r="D2137" s="10" t="s">
        <v>18</v>
      </c>
      <c r="E2137" s="15" t="s">
        <v>498</v>
      </c>
      <c r="F2137" s="15"/>
      <c r="G2137" s="70">
        <f>G2140+G2138</f>
        <v>1033342.74</v>
      </c>
      <c r="H2137" s="70">
        <f t="shared" ref="H2137:I2137" si="580">H2140+H2138</f>
        <v>303889.8</v>
      </c>
      <c r="I2137" s="70">
        <f t="shared" si="580"/>
        <v>0</v>
      </c>
      <c r="J2137" s="172"/>
      <c r="K2137" s="180"/>
      <c r="L2137" s="180"/>
      <c r="M2137" s="180"/>
      <c r="N2137" s="180"/>
      <c r="O2137" s="180"/>
      <c r="P2137" s="180"/>
      <c r="Q2137" s="180"/>
      <c r="R2137" s="180"/>
    </row>
    <row r="2138" spans="1:18" s="18" customFormat="1" ht="23.25" hidden="1" customHeight="1">
      <c r="A2138" s="16" t="s">
        <v>94</v>
      </c>
      <c r="B2138" s="49">
        <v>793</v>
      </c>
      <c r="C2138" s="10" t="s">
        <v>167</v>
      </c>
      <c r="D2138" s="10" t="s">
        <v>18</v>
      </c>
      <c r="E2138" s="15" t="s">
        <v>498</v>
      </c>
      <c r="F2138" s="15" t="s">
        <v>338</v>
      </c>
      <c r="G2138" s="70">
        <f>G2139</f>
        <v>0</v>
      </c>
      <c r="H2138" s="70">
        <f t="shared" si="579"/>
        <v>0</v>
      </c>
      <c r="I2138" s="70">
        <f t="shared" si="579"/>
        <v>0</v>
      </c>
      <c r="J2138" s="172"/>
      <c r="K2138" s="180"/>
      <c r="L2138" s="180"/>
      <c r="M2138" s="180"/>
      <c r="N2138" s="180"/>
      <c r="O2138" s="180"/>
      <c r="P2138" s="180"/>
      <c r="Q2138" s="180"/>
      <c r="R2138" s="180"/>
    </row>
    <row r="2139" spans="1:18" s="18" customFormat="1" ht="20.25" hidden="1" customHeight="1">
      <c r="A2139" s="50" t="s">
        <v>339</v>
      </c>
      <c r="B2139" s="49">
        <v>793</v>
      </c>
      <c r="C2139" s="10" t="s">
        <v>167</v>
      </c>
      <c r="D2139" s="10" t="s">
        <v>18</v>
      </c>
      <c r="E2139" s="15" t="s">
        <v>498</v>
      </c>
      <c r="F2139" s="15" t="s">
        <v>340</v>
      </c>
      <c r="G2139" s="70"/>
      <c r="H2139" s="70"/>
      <c r="I2139" s="70"/>
      <c r="J2139" s="172"/>
      <c r="K2139" s="180"/>
      <c r="L2139" s="180"/>
      <c r="M2139" s="180"/>
      <c r="N2139" s="180"/>
      <c r="O2139" s="180"/>
      <c r="P2139" s="180"/>
      <c r="Q2139" s="180"/>
      <c r="R2139" s="180"/>
    </row>
    <row r="2140" spans="1:18" s="18" customFormat="1" ht="22.5" customHeight="1">
      <c r="A2140" s="16" t="s">
        <v>62</v>
      </c>
      <c r="B2140" s="49">
        <v>793</v>
      </c>
      <c r="C2140" s="10" t="s">
        <v>167</v>
      </c>
      <c r="D2140" s="10" t="s">
        <v>18</v>
      </c>
      <c r="E2140" s="15" t="s">
        <v>498</v>
      </c>
      <c r="F2140" s="15" t="s">
        <v>63</v>
      </c>
      <c r="G2140" s="70">
        <f>G2141</f>
        <v>1033342.74</v>
      </c>
      <c r="H2140" s="70">
        <f>H2141</f>
        <v>303889.8</v>
      </c>
      <c r="I2140" s="70">
        <f>I2141</f>
        <v>0</v>
      </c>
      <c r="J2140" s="172"/>
      <c r="K2140" s="180"/>
      <c r="L2140" s="180"/>
      <c r="M2140" s="180"/>
      <c r="N2140" s="180"/>
      <c r="O2140" s="180"/>
      <c r="P2140" s="180"/>
      <c r="Q2140" s="180"/>
      <c r="R2140" s="180"/>
    </row>
    <row r="2141" spans="1:18" s="18" customFormat="1" ht="26.25" customHeight="1">
      <c r="A2141" s="50" t="s">
        <v>140</v>
      </c>
      <c r="B2141" s="49">
        <v>793</v>
      </c>
      <c r="C2141" s="10" t="s">
        <v>167</v>
      </c>
      <c r="D2141" s="10" t="s">
        <v>18</v>
      </c>
      <c r="E2141" s="15" t="s">
        <v>498</v>
      </c>
      <c r="F2141" s="15" t="s">
        <v>66</v>
      </c>
      <c r="G2141" s="70">
        <v>1033342.74</v>
      </c>
      <c r="H2141" s="70">
        <v>303889.8</v>
      </c>
      <c r="I2141" s="70"/>
      <c r="J2141" s="172"/>
      <c r="K2141" s="180"/>
      <c r="L2141" s="180"/>
      <c r="M2141" s="180"/>
      <c r="N2141" s="180"/>
      <c r="O2141" s="180"/>
      <c r="P2141" s="180"/>
      <c r="Q2141" s="180"/>
      <c r="R2141" s="180"/>
    </row>
    <row r="2142" spans="1:18" s="18" customFormat="1" ht="84.75" customHeight="1">
      <c r="A2142" s="16" t="s">
        <v>945</v>
      </c>
      <c r="B2142" s="49">
        <v>793</v>
      </c>
      <c r="C2142" s="10" t="s">
        <v>167</v>
      </c>
      <c r="D2142" s="10" t="s">
        <v>18</v>
      </c>
      <c r="E2142" s="15" t="s">
        <v>944</v>
      </c>
      <c r="F2142" s="15"/>
      <c r="G2142" s="70">
        <f>G2143</f>
        <v>54386.46</v>
      </c>
      <c r="H2142" s="70">
        <f t="shared" ref="H2142:I2142" si="581">H2143</f>
        <v>15994.2</v>
      </c>
      <c r="I2142" s="70">
        <f t="shared" si="581"/>
        <v>0</v>
      </c>
      <c r="J2142" s="172"/>
      <c r="K2142" s="180"/>
      <c r="L2142" s="180"/>
      <c r="M2142" s="180"/>
      <c r="N2142" s="180"/>
      <c r="O2142" s="180"/>
      <c r="P2142" s="180"/>
      <c r="Q2142" s="180"/>
      <c r="R2142" s="180"/>
    </row>
    <row r="2143" spans="1:18" s="18" customFormat="1" ht="22.5" customHeight="1">
      <c r="A2143" s="16" t="s">
        <v>62</v>
      </c>
      <c r="B2143" s="49">
        <v>793</v>
      </c>
      <c r="C2143" s="10" t="s">
        <v>167</v>
      </c>
      <c r="D2143" s="10" t="s">
        <v>18</v>
      </c>
      <c r="E2143" s="15" t="s">
        <v>944</v>
      </c>
      <c r="F2143" s="15" t="s">
        <v>63</v>
      </c>
      <c r="G2143" s="70">
        <f>G2144</f>
        <v>54386.46</v>
      </c>
      <c r="H2143" s="70">
        <f t="shared" ref="H2143:I2143" si="582">H2144</f>
        <v>15994.2</v>
      </c>
      <c r="I2143" s="70">
        <f t="shared" si="582"/>
        <v>0</v>
      </c>
      <c r="J2143" s="172"/>
      <c r="K2143" s="180"/>
      <c r="L2143" s="180"/>
      <c r="M2143" s="180"/>
      <c r="N2143" s="180"/>
      <c r="O2143" s="180"/>
      <c r="P2143" s="180"/>
      <c r="Q2143" s="180"/>
      <c r="R2143" s="180"/>
    </row>
    <row r="2144" spans="1:18" s="18" customFormat="1" ht="37.5" customHeight="1">
      <c r="A2144" s="50" t="s">
        <v>140</v>
      </c>
      <c r="B2144" s="49">
        <v>793</v>
      </c>
      <c r="C2144" s="10" t="s">
        <v>167</v>
      </c>
      <c r="D2144" s="10" t="s">
        <v>18</v>
      </c>
      <c r="E2144" s="15" t="s">
        <v>944</v>
      </c>
      <c r="F2144" s="15" t="s">
        <v>66</v>
      </c>
      <c r="G2144" s="70">
        <v>54386.46</v>
      </c>
      <c r="H2144" s="70">
        <v>15994.2</v>
      </c>
      <c r="I2144" s="70">
        <v>0</v>
      </c>
      <c r="J2144" s="172"/>
      <c r="K2144" s="180"/>
      <c r="L2144" s="180"/>
      <c r="M2144" s="180"/>
      <c r="N2144" s="180"/>
      <c r="O2144" s="180"/>
      <c r="P2144" s="180"/>
      <c r="Q2144" s="180"/>
      <c r="R2144" s="180"/>
    </row>
    <row r="2145" spans="1:20" s="18" customFormat="1" ht="63.75" hidden="1" customHeight="1">
      <c r="A2145" s="82" t="s">
        <v>1163</v>
      </c>
      <c r="B2145" s="49">
        <v>793</v>
      </c>
      <c r="C2145" s="10" t="s">
        <v>167</v>
      </c>
      <c r="D2145" s="10" t="s">
        <v>18</v>
      </c>
      <c r="E2145" s="15" t="s">
        <v>1104</v>
      </c>
      <c r="F2145" s="15"/>
      <c r="G2145" s="70">
        <f>G2147</f>
        <v>0</v>
      </c>
      <c r="H2145" s="70">
        <f>H2147</f>
        <v>0</v>
      </c>
      <c r="I2145" s="70">
        <f>I2147</f>
        <v>0</v>
      </c>
      <c r="J2145" s="172"/>
      <c r="K2145" s="180"/>
      <c r="L2145" s="180"/>
      <c r="M2145" s="180"/>
      <c r="N2145" s="180"/>
      <c r="O2145" s="180"/>
      <c r="P2145" s="180"/>
      <c r="Q2145" s="180"/>
      <c r="R2145" s="180"/>
    </row>
    <row r="2146" spans="1:20" s="18" customFormat="1" ht="39" hidden="1" customHeight="1">
      <c r="A2146" s="16" t="s">
        <v>1066</v>
      </c>
      <c r="B2146" s="49">
        <v>793</v>
      </c>
      <c r="C2146" s="10" t="s">
        <v>167</v>
      </c>
      <c r="D2146" s="10" t="s">
        <v>18</v>
      </c>
      <c r="E2146" s="15" t="s">
        <v>1104</v>
      </c>
      <c r="F2146" s="15"/>
      <c r="G2146" s="70">
        <f>G2147</f>
        <v>0</v>
      </c>
      <c r="H2146" s="70">
        <f t="shared" ref="H2146" si="583">H2147</f>
        <v>0</v>
      </c>
      <c r="I2146" s="70">
        <f t="shared" ref="I2146" si="584">I2147</f>
        <v>0</v>
      </c>
      <c r="J2146" s="172"/>
      <c r="K2146" s="180"/>
      <c r="L2146" s="180"/>
      <c r="M2146" s="180"/>
      <c r="N2146" s="180"/>
      <c r="O2146" s="180"/>
      <c r="P2146" s="180"/>
      <c r="Q2146" s="180"/>
      <c r="R2146" s="180"/>
    </row>
    <row r="2147" spans="1:20" ht="30.75" hidden="1" customHeight="1">
      <c r="A2147" s="16" t="s">
        <v>35</v>
      </c>
      <c r="B2147" s="49">
        <v>793</v>
      </c>
      <c r="C2147" s="10" t="s">
        <v>167</v>
      </c>
      <c r="D2147" s="10" t="s">
        <v>18</v>
      </c>
      <c r="E2147" s="15" t="s">
        <v>1104</v>
      </c>
      <c r="F2147" s="15" t="s">
        <v>36</v>
      </c>
      <c r="G2147" s="70">
        <f t="shared" ref="G2147:I2147" si="585">G2148</f>
        <v>0</v>
      </c>
      <c r="H2147" s="70">
        <f t="shared" si="585"/>
        <v>0</v>
      </c>
      <c r="I2147" s="70">
        <f t="shared" si="585"/>
        <v>0</v>
      </c>
      <c r="J2147" s="172"/>
      <c r="K2147" s="69"/>
      <c r="L2147" s="69"/>
      <c r="M2147" s="69"/>
      <c r="N2147" s="69"/>
      <c r="O2147" s="69"/>
      <c r="P2147" s="69"/>
      <c r="Q2147" s="69"/>
      <c r="R2147" s="69"/>
    </row>
    <row r="2148" spans="1:20" s="18" customFormat="1" ht="34.5" hidden="1" customHeight="1">
      <c r="A2148" s="16" t="s">
        <v>37</v>
      </c>
      <c r="B2148" s="49">
        <v>793</v>
      </c>
      <c r="C2148" s="10" t="s">
        <v>167</v>
      </c>
      <c r="D2148" s="10" t="s">
        <v>18</v>
      </c>
      <c r="E2148" s="15" t="s">
        <v>1104</v>
      </c>
      <c r="F2148" s="15" t="s">
        <v>38</v>
      </c>
      <c r="G2148" s="350"/>
      <c r="H2148" s="70">
        <v>0</v>
      </c>
      <c r="I2148" s="70">
        <v>0</v>
      </c>
      <c r="J2148" s="172"/>
      <c r="K2148" s="180"/>
      <c r="L2148" s="180"/>
      <c r="M2148" s="180"/>
      <c r="N2148" s="180"/>
      <c r="O2148" s="180"/>
      <c r="P2148" s="180"/>
      <c r="Q2148" s="180"/>
      <c r="R2148" s="180"/>
    </row>
    <row r="2149" spans="1:20" s="18" customFormat="1" ht="26.25" customHeight="1">
      <c r="A2149" s="16" t="s">
        <v>1447</v>
      </c>
      <c r="B2149" s="49">
        <v>793</v>
      </c>
      <c r="C2149" s="15" t="s">
        <v>167</v>
      </c>
      <c r="D2149" s="15" t="s">
        <v>18</v>
      </c>
      <c r="E2149" s="15" t="s">
        <v>1151</v>
      </c>
      <c r="F2149" s="15"/>
      <c r="G2149" s="70">
        <f>G2150+G2152</f>
        <v>1146499.9200000002</v>
      </c>
      <c r="H2149" s="70">
        <f t="shared" ref="G2149:I2158" si="586">H2150</f>
        <v>0</v>
      </c>
      <c r="I2149" s="70">
        <f t="shared" si="586"/>
        <v>0</v>
      </c>
      <c r="J2149" s="172"/>
      <c r="K2149" s="180"/>
      <c r="L2149" s="180"/>
      <c r="M2149" s="180"/>
      <c r="N2149" s="180"/>
      <c r="O2149" s="180"/>
      <c r="P2149" s="180"/>
      <c r="Q2149" s="180"/>
      <c r="R2149" s="180"/>
    </row>
    <row r="2150" spans="1:20" ht="30.75" customHeight="1">
      <c r="A2150" s="16" t="s">
        <v>35</v>
      </c>
      <c r="B2150" s="49">
        <v>793</v>
      </c>
      <c r="C2150" s="15" t="s">
        <v>167</v>
      </c>
      <c r="D2150" s="15" t="s">
        <v>18</v>
      </c>
      <c r="E2150" s="15" t="s">
        <v>1151</v>
      </c>
      <c r="F2150" s="15" t="s">
        <v>36</v>
      </c>
      <c r="G2150" s="70">
        <f t="shared" si="586"/>
        <v>1125779.05</v>
      </c>
      <c r="H2150" s="70">
        <f t="shared" si="586"/>
        <v>0</v>
      </c>
      <c r="I2150" s="70">
        <f t="shared" si="586"/>
        <v>0</v>
      </c>
      <c r="J2150" s="172"/>
      <c r="K2150" s="69"/>
      <c r="L2150" s="69"/>
      <c r="M2150" s="69"/>
      <c r="N2150" s="69"/>
      <c r="O2150" s="69"/>
      <c r="P2150" s="69"/>
      <c r="Q2150" s="69"/>
      <c r="R2150" s="69"/>
    </row>
    <row r="2151" spans="1:20" s="18" customFormat="1" ht="34.5" customHeight="1">
      <c r="A2151" s="16" t="s">
        <v>37</v>
      </c>
      <c r="B2151" s="49">
        <v>793</v>
      </c>
      <c r="C2151" s="15" t="s">
        <v>167</v>
      </c>
      <c r="D2151" s="15" t="s">
        <v>18</v>
      </c>
      <c r="E2151" s="15" t="s">
        <v>1151</v>
      </c>
      <c r="F2151" s="15" t="s">
        <v>38</v>
      </c>
      <c r="G2151" s="70">
        <f>1125779.05</f>
        <v>1125779.05</v>
      </c>
      <c r="H2151" s="70">
        <v>0</v>
      </c>
      <c r="I2151" s="70">
        <v>0</v>
      </c>
      <c r="J2151" s="172"/>
      <c r="K2151" s="180"/>
      <c r="L2151" s="180"/>
      <c r="M2151" s="180"/>
      <c r="N2151" s="180"/>
      <c r="O2151" s="180"/>
      <c r="P2151" s="180"/>
      <c r="Q2151" s="180"/>
      <c r="R2151" s="180"/>
    </row>
    <row r="2152" spans="1:20" s="18" customFormat="1" ht="24" customHeight="1">
      <c r="A2152" s="16" t="s">
        <v>62</v>
      </c>
      <c r="B2152" s="49">
        <v>793</v>
      </c>
      <c r="C2152" s="15" t="s">
        <v>167</v>
      </c>
      <c r="D2152" s="15" t="s">
        <v>18</v>
      </c>
      <c r="E2152" s="15" t="s">
        <v>1151</v>
      </c>
      <c r="F2152" s="15" t="s">
        <v>63</v>
      </c>
      <c r="G2152" s="70">
        <f>G2153</f>
        <v>20720.87</v>
      </c>
      <c r="H2152" s="70"/>
      <c r="I2152" s="70"/>
      <c r="J2152" s="172"/>
      <c r="K2152" s="180"/>
      <c r="L2152" s="180"/>
      <c r="M2152" s="180"/>
      <c r="N2152" s="180"/>
      <c r="O2152" s="180"/>
      <c r="P2152" s="180"/>
      <c r="Q2152" s="180"/>
      <c r="R2152" s="180"/>
    </row>
    <row r="2153" spans="1:20" s="18" customFormat="1" ht="23.25" customHeight="1">
      <c r="A2153" s="50" t="s">
        <v>140</v>
      </c>
      <c r="B2153" s="49">
        <v>793</v>
      </c>
      <c r="C2153" s="15" t="s">
        <v>167</v>
      </c>
      <c r="D2153" s="15" t="s">
        <v>18</v>
      </c>
      <c r="E2153" s="15" t="s">
        <v>1151</v>
      </c>
      <c r="F2153" s="15" t="s">
        <v>66</v>
      </c>
      <c r="G2153" s="70">
        <v>20720.87</v>
      </c>
      <c r="H2153" s="70"/>
      <c r="I2153" s="70"/>
      <c r="J2153" s="172"/>
      <c r="K2153" s="180"/>
      <c r="L2153" s="180"/>
      <c r="M2153" s="180"/>
      <c r="N2153" s="180"/>
      <c r="O2153" s="180"/>
      <c r="P2153" s="180"/>
      <c r="Q2153" s="180"/>
      <c r="R2153" s="180"/>
    </row>
    <row r="2154" spans="1:20" s="18" customFormat="1" ht="20.25" customHeight="1">
      <c r="A2154" s="16" t="s">
        <v>1439</v>
      </c>
      <c r="B2154" s="49">
        <v>793</v>
      </c>
      <c r="C2154" s="15" t="s">
        <v>167</v>
      </c>
      <c r="D2154" s="15" t="s">
        <v>18</v>
      </c>
      <c r="E2154" s="15" t="s">
        <v>1440</v>
      </c>
      <c r="F2154" s="15"/>
      <c r="G2154" s="70">
        <f t="shared" si="586"/>
        <v>968699.96</v>
      </c>
      <c r="H2154" s="70">
        <f t="shared" si="586"/>
        <v>0</v>
      </c>
      <c r="I2154" s="70">
        <f t="shared" si="586"/>
        <v>0</v>
      </c>
      <c r="J2154" s="172"/>
      <c r="K2154" s="180"/>
      <c r="L2154" s="180"/>
      <c r="M2154" s="180"/>
      <c r="N2154" s="180"/>
      <c r="O2154" s="180"/>
      <c r="P2154" s="180"/>
      <c r="Q2154" s="180"/>
      <c r="R2154" s="180"/>
    </row>
    <row r="2155" spans="1:20" ht="30.75" customHeight="1">
      <c r="A2155" s="16" t="s">
        <v>35</v>
      </c>
      <c r="B2155" s="49">
        <v>793</v>
      </c>
      <c r="C2155" s="15" t="s">
        <v>167</v>
      </c>
      <c r="D2155" s="15" t="s">
        <v>18</v>
      </c>
      <c r="E2155" s="15" t="s">
        <v>1440</v>
      </c>
      <c r="F2155" s="15" t="s">
        <v>36</v>
      </c>
      <c r="G2155" s="70">
        <f t="shared" si="586"/>
        <v>968699.96</v>
      </c>
      <c r="H2155" s="70">
        <f t="shared" si="586"/>
        <v>0</v>
      </c>
      <c r="I2155" s="70">
        <f t="shared" si="586"/>
        <v>0</v>
      </c>
      <c r="J2155" s="172"/>
      <c r="K2155" s="69"/>
      <c r="L2155" s="69"/>
      <c r="M2155" s="69"/>
      <c r="N2155" s="69"/>
      <c r="O2155" s="69"/>
      <c r="P2155" s="69"/>
      <c r="Q2155" s="69"/>
      <c r="R2155" s="69"/>
    </row>
    <row r="2156" spans="1:20" s="18" customFormat="1" ht="34.5" customHeight="1">
      <c r="A2156" s="16" t="s">
        <v>37</v>
      </c>
      <c r="B2156" s="49">
        <v>793</v>
      </c>
      <c r="C2156" s="15" t="s">
        <v>167</v>
      </c>
      <c r="D2156" s="15" t="s">
        <v>18</v>
      </c>
      <c r="E2156" s="15" t="s">
        <v>1440</v>
      </c>
      <c r="F2156" s="15" t="s">
        <v>38</v>
      </c>
      <c r="G2156" s="70">
        <f>2790000-1821300.04</f>
        <v>968699.96</v>
      </c>
      <c r="H2156" s="70">
        <v>0</v>
      </c>
      <c r="I2156" s="70">
        <v>0</v>
      </c>
      <c r="J2156" s="172"/>
      <c r="K2156" s="180"/>
      <c r="L2156" s="180"/>
      <c r="M2156" s="180"/>
      <c r="N2156" s="180"/>
      <c r="O2156" s="180"/>
      <c r="P2156" s="180"/>
      <c r="Q2156" s="180"/>
      <c r="R2156" s="180"/>
    </row>
    <row r="2157" spans="1:20" s="18" customFormat="1" ht="64.5" customHeight="1">
      <c r="A2157" s="16" t="s">
        <v>1466</v>
      </c>
      <c r="B2157" s="49">
        <v>793</v>
      </c>
      <c r="C2157" s="15" t="s">
        <v>167</v>
      </c>
      <c r="D2157" s="15" t="s">
        <v>18</v>
      </c>
      <c r="E2157" s="15" t="s">
        <v>1465</v>
      </c>
      <c r="F2157" s="15"/>
      <c r="G2157" s="70">
        <f t="shared" si="586"/>
        <v>547010</v>
      </c>
      <c r="H2157" s="70">
        <f t="shared" si="586"/>
        <v>0</v>
      </c>
      <c r="I2157" s="70">
        <f t="shared" si="586"/>
        <v>0</v>
      </c>
      <c r="J2157" s="172"/>
      <c r="K2157" s="180"/>
      <c r="L2157" s="180"/>
      <c r="M2157" s="180"/>
      <c r="N2157" s="180"/>
      <c r="O2157" s="180"/>
      <c r="P2157" s="180"/>
      <c r="Q2157" s="180"/>
      <c r="R2157" s="180"/>
    </row>
    <row r="2158" spans="1:20" ht="30.75" customHeight="1">
      <c r="A2158" s="16" t="s">
        <v>35</v>
      </c>
      <c r="B2158" s="49">
        <v>793</v>
      </c>
      <c r="C2158" s="15" t="s">
        <v>167</v>
      </c>
      <c r="D2158" s="15" t="s">
        <v>18</v>
      </c>
      <c r="E2158" s="15" t="s">
        <v>1465</v>
      </c>
      <c r="F2158" s="15" t="s">
        <v>36</v>
      </c>
      <c r="G2158" s="70">
        <f t="shared" si="586"/>
        <v>547010</v>
      </c>
      <c r="H2158" s="70">
        <f t="shared" si="586"/>
        <v>0</v>
      </c>
      <c r="I2158" s="70">
        <f t="shared" si="586"/>
        <v>0</v>
      </c>
      <c r="J2158" s="172"/>
      <c r="K2158" s="69"/>
      <c r="L2158" s="69"/>
      <c r="M2158" s="69"/>
      <c r="N2158" s="69"/>
      <c r="O2158" s="69"/>
      <c r="P2158" s="69"/>
      <c r="Q2158" s="69"/>
      <c r="R2158" s="69"/>
    </row>
    <row r="2159" spans="1:20" s="18" customFormat="1" ht="34.5" customHeight="1">
      <c r="A2159" s="16" t="s">
        <v>37</v>
      </c>
      <c r="B2159" s="49">
        <v>793</v>
      </c>
      <c r="C2159" s="15" t="s">
        <v>167</v>
      </c>
      <c r="D2159" s="15" t="s">
        <v>18</v>
      </c>
      <c r="E2159" s="15" t="s">
        <v>1465</v>
      </c>
      <c r="F2159" s="15" t="s">
        <v>38</v>
      </c>
      <c r="G2159" s="70">
        <f>600000-52990</f>
        <v>547010</v>
      </c>
      <c r="H2159" s="70">
        <v>0</v>
      </c>
      <c r="I2159" s="70">
        <v>0</v>
      </c>
      <c r="J2159" s="172"/>
      <c r="K2159" s="180"/>
      <c r="L2159" s="180"/>
      <c r="M2159" s="180"/>
      <c r="N2159" s="180"/>
      <c r="O2159" s="180"/>
      <c r="P2159" s="180"/>
      <c r="Q2159" s="180"/>
      <c r="R2159" s="180"/>
    </row>
    <row r="2160" spans="1:20" s="146" customFormat="1" ht="26.25" customHeight="1">
      <c r="A2160" s="16" t="s">
        <v>1278</v>
      </c>
      <c r="B2160" s="145">
        <v>793</v>
      </c>
      <c r="C2160" s="15" t="s">
        <v>167</v>
      </c>
      <c r="D2160" s="15" t="s">
        <v>18</v>
      </c>
      <c r="E2160" s="143" t="s">
        <v>228</v>
      </c>
      <c r="F2160" s="84"/>
      <c r="G2160" s="87">
        <f>G2161</f>
        <v>57000</v>
      </c>
      <c r="H2160" s="87">
        <f t="shared" ref="H2160:I2160" si="587">H2176</f>
        <v>0</v>
      </c>
      <c r="I2160" s="87">
        <f t="shared" si="587"/>
        <v>0</v>
      </c>
      <c r="J2160" s="148">
        <v>1487719</v>
      </c>
      <c r="P2160" s="148"/>
      <c r="Q2160" s="148"/>
      <c r="R2160" s="148"/>
      <c r="S2160" s="148"/>
      <c r="T2160" s="148"/>
    </row>
    <row r="2161" spans="1:20" s="122" customFormat="1" ht="32.25" customHeight="1">
      <c r="A2161" s="16" t="s">
        <v>1278</v>
      </c>
      <c r="B2161" s="145">
        <v>793</v>
      </c>
      <c r="C2161" s="15" t="s">
        <v>167</v>
      </c>
      <c r="D2161" s="15" t="s">
        <v>18</v>
      </c>
      <c r="E2161" s="84" t="s">
        <v>270</v>
      </c>
      <c r="F2161" s="84"/>
      <c r="G2161" s="87">
        <f t="shared" ref="G2161:I2162" si="588">G2162</f>
        <v>57000</v>
      </c>
      <c r="H2161" s="87">
        <f t="shared" si="588"/>
        <v>0</v>
      </c>
      <c r="I2161" s="87">
        <f t="shared" si="588"/>
        <v>0</v>
      </c>
      <c r="J2161" s="121"/>
      <c r="P2161" s="121"/>
      <c r="Q2161" s="121"/>
      <c r="R2161" s="121"/>
      <c r="S2161" s="121"/>
      <c r="T2161" s="121"/>
    </row>
    <row r="2162" spans="1:20" s="122" customFormat="1" ht="26.25" customHeight="1">
      <c r="A2162" s="16" t="s">
        <v>316</v>
      </c>
      <c r="B2162" s="145">
        <v>793</v>
      </c>
      <c r="C2162" s="15" t="s">
        <v>167</v>
      </c>
      <c r="D2162" s="15" t="s">
        <v>18</v>
      </c>
      <c r="E2162" s="84" t="s">
        <v>270</v>
      </c>
      <c r="F2162" s="84" t="s">
        <v>36</v>
      </c>
      <c r="G2162" s="87">
        <f t="shared" si="588"/>
        <v>57000</v>
      </c>
      <c r="H2162" s="87">
        <f t="shared" si="588"/>
        <v>0</v>
      </c>
      <c r="I2162" s="87">
        <f t="shared" si="588"/>
        <v>0</v>
      </c>
      <c r="J2162" s="121"/>
      <c r="P2162" s="121"/>
      <c r="Q2162" s="121"/>
      <c r="R2162" s="121"/>
      <c r="S2162" s="121"/>
      <c r="T2162" s="121"/>
    </row>
    <row r="2163" spans="1:20" s="122" customFormat="1" ht="26.25" customHeight="1">
      <c r="A2163" s="16" t="s">
        <v>37</v>
      </c>
      <c r="B2163" s="145">
        <v>793</v>
      </c>
      <c r="C2163" s="15" t="s">
        <v>167</v>
      </c>
      <c r="D2163" s="15" t="s">
        <v>18</v>
      </c>
      <c r="E2163" s="84" t="s">
        <v>270</v>
      </c>
      <c r="F2163" s="84" t="s">
        <v>38</v>
      </c>
      <c r="G2163" s="87">
        <v>57000</v>
      </c>
      <c r="H2163" s="87">
        <v>0</v>
      </c>
      <c r="I2163" s="87">
        <v>0</v>
      </c>
      <c r="J2163" s="121"/>
      <c r="P2163" s="121"/>
      <c r="Q2163" s="121"/>
      <c r="R2163" s="121"/>
      <c r="S2163" s="121"/>
      <c r="T2163" s="121"/>
    </row>
    <row r="2164" spans="1:20" s="146" customFormat="1" ht="33.75" customHeight="1">
      <c r="A2164" s="82" t="s">
        <v>1416</v>
      </c>
      <c r="B2164" s="145">
        <v>793</v>
      </c>
      <c r="C2164" s="15" t="s">
        <v>167</v>
      </c>
      <c r="D2164" s="15" t="s">
        <v>18</v>
      </c>
      <c r="E2164" s="143" t="s">
        <v>1415</v>
      </c>
      <c r="F2164" s="84"/>
      <c r="G2164" s="70">
        <f>G2170+G2174</f>
        <v>514493.7</v>
      </c>
      <c r="H2164" s="70">
        <f t="shared" ref="H2164:M2164" si="589">H2170+H2174</f>
        <v>0</v>
      </c>
      <c r="I2164" s="70">
        <f t="shared" si="589"/>
        <v>0</v>
      </c>
      <c r="J2164" s="70">
        <f t="shared" si="589"/>
        <v>0</v>
      </c>
      <c r="K2164" s="70">
        <f t="shared" si="589"/>
        <v>0</v>
      </c>
      <c r="L2164" s="70">
        <f t="shared" si="589"/>
        <v>0</v>
      </c>
      <c r="M2164" s="70">
        <f t="shared" si="589"/>
        <v>0</v>
      </c>
      <c r="P2164" s="148"/>
      <c r="Q2164" s="148"/>
      <c r="R2164" s="148"/>
      <c r="S2164" s="148"/>
      <c r="T2164" s="148"/>
    </row>
    <row r="2165" spans="1:20" s="122" customFormat="1" ht="51.75" hidden="1" customHeight="1">
      <c r="A2165" s="82" t="s">
        <v>612</v>
      </c>
      <c r="B2165" s="145">
        <v>793</v>
      </c>
      <c r="C2165" s="15" t="s">
        <v>167</v>
      </c>
      <c r="D2165" s="15" t="s">
        <v>18</v>
      </c>
      <c r="E2165" s="84" t="s">
        <v>613</v>
      </c>
      <c r="F2165" s="84"/>
      <c r="G2165" s="70">
        <f t="shared" ref="G2165:I2166" si="590">G2166</f>
        <v>30810525.050000001</v>
      </c>
      <c r="H2165" s="87">
        <f t="shared" si="590"/>
        <v>0</v>
      </c>
      <c r="I2165" s="87">
        <f t="shared" si="590"/>
        <v>0</v>
      </c>
      <c r="J2165" s="121"/>
      <c r="P2165" s="121"/>
      <c r="Q2165" s="121"/>
      <c r="R2165" s="121"/>
      <c r="S2165" s="121"/>
      <c r="T2165" s="121"/>
    </row>
    <row r="2166" spans="1:20" s="122" customFormat="1" ht="26.25" hidden="1" customHeight="1">
      <c r="A2166" s="82" t="s">
        <v>316</v>
      </c>
      <c r="B2166" s="145">
        <v>793</v>
      </c>
      <c r="C2166" s="15" t="s">
        <v>167</v>
      </c>
      <c r="D2166" s="15" t="s">
        <v>18</v>
      </c>
      <c r="E2166" s="84" t="s">
        <v>613</v>
      </c>
      <c r="F2166" s="84" t="s">
        <v>36</v>
      </c>
      <c r="G2166" s="70">
        <f t="shared" si="590"/>
        <v>30810525.050000001</v>
      </c>
      <c r="H2166" s="87">
        <f t="shared" si="590"/>
        <v>0</v>
      </c>
      <c r="I2166" s="87">
        <f t="shared" si="590"/>
        <v>0</v>
      </c>
      <c r="J2166" s="121"/>
      <c r="P2166" s="121"/>
      <c r="Q2166" s="121"/>
      <c r="R2166" s="121"/>
      <c r="S2166" s="121"/>
      <c r="T2166" s="121"/>
    </row>
    <row r="2167" spans="1:20" s="122" customFormat="1" ht="26.25" hidden="1" customHeight="1">
      <c r="A2167" s="82" t="s">
        <v>37</v>
      </c>
      <c r="B2167" s="145">
        <v>793</v>
      </c>
      <c r="C2167" s="15" t="s">
        <v>167</v>
      </c>
      <c r="D2167" s="15" t="s">
        <v>18</v>
      </c>
      <c r="E2167" s="84" t="s">
        <v>613</v>
      </c>
      <c r="F2167" s="84" t="s">
        <v>38</v>
      </c>
      <c r="G2167" s="70">
        <f>прил4!G1755</f>
        <v>30810525.050000001</v>
      </c>
      <c r="H2167" s="87"/>
      <c r="I2167" s="87"/>
      <c r="J2167" s="121"/>
      <c r="P2167" s="121"/>
      <c r="Q2167" s="121"/>
      <c r="R2167" s="121"/>
      <c r="S2167" s="121"/>
      <c r="T2167" s="121"/>
    </row>
    <row r="2168" spans="1:20" ht="29.25" hidden="1" customHeight="1">
      <c r="A2168" s="16" t="s">
        <v>316</v>
      </c>
      <c r="B2168" s="15" t="s">
        <v>92</v>
      </c>
      <c r="C2168" s="15" t="s">
        <v>167</v>
      </c>
      <c r="D2168" s="15" t="s">
        <v>18</v>
      </c>
      <c r="E2168" s="15" t="s">
        <v>205</v>
      </c>
      <c r="F2168" s="15" t="s">
        <v>36</v>
      </c>
      <c r="G2168" s="70">
        <f>G2169</f>
        <v>313689</v>
      </c>
      <c r="H2168" s="70"/>
      <c r="I2168" s="70"/>
      <c r="J2168" s="2"/>
      <c r="K2168" s="1"/>
      <c r="L2168" s="1"/>
      <c r="M2168" s="1"/>
      <c r="N2168" s="1"/>
      <c r="O2168" s="1"/>
      <c r="P2168" s="2"/>
      <c r="Q2168" s="2"/>
      <c r="R2168" s="2"/>
      <c r="S2168" s="2"/>
      <c r="T2168" s="2"/>
    </row>
    <row r="2169" spans="1:20" ht="36.75" hidden="1" customHeight="1">
      <c r="A2169" s="16" t="s">
        <v>37</v>
      </c>
      <c r="B2169" s="15" t="s">
        <v>92</v>
      </c>
      <c r="C2169" s="15" t="s">
        <v>167</v>
      </c>
      <c r="D2169" s="15" t="s">
        <v>18</v>
      </c>
      <c r="E2169" s="15" t="s">
        <v>205</v>
      </c>
      <c r="F2169" s="15" t="s">
        <v>38</v>
      </c>
      <c r="G2169" s="70">
        <f>прил4!G3325</f>
        <v>313689</v>
      </c>
      <c r="H2169" s="70"/>
      <c r="I2169" s="70"/>
      <c r="J2169" s="2"/>
      <c r="K2169" s="1"/>
      <c r="L2169" s="1"/>
      <c r="M2169" s="1"/>
      <c r="N2169" s="1"/>
      <c r="O2169" s="1"/>
      <c r="P2169" s="2"/>
      <c r="Q2169" s="2"/>
      <c r="R2169" s="2"/>
      <c r="S2169" s="2"/>
      <c r="T2169" s="2"/>
    </row>
    <row r="2170" spans="1:20">
      <c r="A2170" s="16" t="s">
        <v>316</v>
      </c>
      <c r="B2170" s="14">
        <v>793</v>
      </c>
      <c r="C2170" s="15" t="s">
        <v>167</v>
      </c>
      <c r="D2170" s="15" t="s">
        <v>18</v>
      </c>
      <c r="E2170" s="15" t="s">
        <v>1417</v>
      </c>
      <c r="F2170" s="15" t="s">
        <v>36</v>
      </c>
      <c r="G2170" s="70">
        <f t="shared" ref="G2170:I2170" si="591">G2171</f>
        <v>12493.7</v>
      </c>
      <c r="H2170" s="70">
        <f t="shared" si="591"/>
        <v>0</v>
      </c>
      <c r="I2170" s="70">
        <f t="shared" si="591"/>
        <v>0</v>
      </c>
      <c r="J2170" s="2"/>
      <c r="K2170" s="1"/>
      <c r="L2170" s="1"/>
      <c r="M2170" s="1"/>
      <c r="N2170" s="1"/>
      <c r="O2170" s="1"/>
      <c r="P2170" s="2"/>
      <c r="Q2170" s="2"/>
      <c r="R2170" s="2"/>
      <c r="S2170" s="2"/>
      <c r="T2170" s="2"/>
    </row>
    <row r="2171" spans="1:20" ht="35.25" customHeight="1">
      <c r="A2171" s="16" t="s">
        <v>37</v>
      </c>
      <c r="B2171" s="14">
        <v>793</v>
      </c>
      <c r="C2171" s="15" t="s">
        <v>167</v>
      </c>
      <c r="D2171" s="15" t="s">
        <v>18</v>
      </c>
      <c r="E2171" s="15" t="s">
        <v>1417</v>
      </c>
      <c r="F2171" s="15" t="s">
        <v>38</v>
      </c>
      <c r="G2171" s="70">
        <v>12493.7</v>
      </c>
      <c r="H2171" s="70">
        <f>прил4!H1480</f>
        <v>0</v>
      </c>
      <c r="I2171" s="70">
        <f>прил4!I1480</f>
        <v>0</v>
      </c>
      <c r="J2171" s="2"/>
      <c r="K2171" s="1"/>
      <c r="L2171" s="1"/>
      <c r="M2171" s="1"/>
      <c r="N2171" s="1"/>
      <c r="O2171" s="1"/>
      <c r="P2171" s="2"/>
      <c r="Q2171" s="2"/>
      <c r="R2171" s="2"/>
      <c r="S2171" s="2"/>
      <c r="T2171" s="2"/>
    </row>
    <row r="2172" spans="1:20" ht="29.25" hidden="1" customHeight="1">
      <c r="A2172" s="16" t="s">
        <v>316</v>
      </c>
      <c r="B2172" s="15" t="s">
        <v>92</v>
      </c>
      <c r="C2172" s="15" t="s">
        <v>167</v>
      </c>
      <c r="D2172" s="15" t="s">
        <v>18</v>
      </c>
      <c r="E2172" s="15" t="s">
        <v>205</v>
      </c>
      <c r="F2172" s="15" t="s">
        <v>36</v>
      </c>
      <c r="G2172" s="70">
        <f>G2173</f>
        <v>0</v>
      </c>
      <c r="H2172" s="70"/>
      <c r="I2172" s="70"/>
      <c r="J2172" s="2"/>
      <c r="K2172" s="1"/>
      <c r="L2172" s="1"/>
      <c r="M2172" s="1"/>
      <c r="N2172" s="1"/>
      <c r="O2172" s="1"/>
      <c r="P2172" s="2"/>
      <c r="Q2172" s="2"/>
      <c r="R2172" s="2"/>
      <c r="S2172" s="2"/>
      <c r="T2172" s="2"/>
    </row>
    <row r="2173" spans="1:20" ht="36.75" hidden="1" customHeight="1">
      <c r="A2173" s="16" t="s">
        <v>37</v>
      </c>
      <c r="B2173" s="15" t="s">
        <v>92</v>
      </c>
      <c r="C2173" s="15" t="s">
        <v>167</v>
      </c>
      <c r="D2173" s="15" t="s">
        <v>18</v>
      </c>
      <c r="E2173" s="15" t="s">
        <v>205</v>
      </c>
      <c r="F2173" s="15" t="s">
        <v>38</v>
      </c>
      <c r="G2173" s="70">
        <f>прил4!G3330</f>
        <v>0</v>
      </c>
      <c r="H2173" s="70"/>
      <c r="I2173" s="70"/>
      <c r="J2173" s="2"/>
      <c r="K2173" s="1"/>
      <c r="L2173" s="1"/>
      <c r="M2173" s="1"/>
      <c r="N2173" s="1"/>
      <c r="O2173" s="1"/>
      <c r="P2173" s="2"/>
      <c r="Q2173" s="2"/>
      <c r="R2173" s="2"/>
      <c r="S2173" s="2"/>
      <c r="T2173" s="2"/>
    </row>
    <row r="2174" spans="1:20">
      <c r="A2174" s="16" t="s">
        <v>316</v>
      </c>
      <c r="B2174" s="14">
        <v>793</v>
      </c>
      <c r="C2174" s="15" t="s">
        <v>167</v>
      </c>
      <c r="D2174" s="15" t="s">
        <v>18</v>
      </c>
      <c r="E2174" s="15" t="s">
        <v>1417</v>
      </c>
      <c r="F2174" s="15" t="s">
        <v>63</v>
      </c>
      <c r="G2174" s="70">
        <f t="shared" ref="G2174:I2174" si="592">G2175</f>
        <v>502000</v>
      </c>
      <c r="H2174" s="70">
        <f t="shared" si="592"/>
        <v>0</v>
      </c>
      <c r="I2174" s="70">
        <f t="shared" si="592"/>
        <v>0</v>
      </c>
      <c r="J2174" s="2"/>
      <c r="K2174" s="1"/>
      <c r="L2174" s="1"/>
      <c r="M2174" s="1"/>
      <c r="N2174" s="1"/>
      <c r="O2174" s="1"/>
      <c r="P2174" s="2"/>
      <c r="Q2174" s="2"/>
      <c r="R2174" s="2"/>
      <c r="S2174" s="2"/>
      <c r="T2174" s="2"/>
    </row>
    <row r="2175" spans="1:20" ht="35.25" customHeight="1">
      <c r="A2175" s="16" t="s">
        <v>37</v>
      </c>
      <c r="B2175" s="14">
        <v>793</v>
      </c>
      <c r="C2175" s="15" t="s">
        <v>167</v>
      </c>
      <c r="D2175" s="15" t="s">
        <v>18</v>
      </c>
      <c r="E2175" s="15" t="s">
        <v>1417</v>
      </c>
      <c r="F2175" s="15" t="s">
        <v>320</v>
      </c>
      <c r="G2175" s="70">
        <v>502000</v>
      </c>
      <c r="H2175" s="70">
        <f>прил4!H1485</f>
        <v>0</v>
      </c>
      <c r="I2175" s="70">
        <f>прил4!I1485</f>
        <v>0</v>
      </c>
      <c r="J2175" s="2"/>
      <c r="K2175" s="1"/>
      <c r="L2175" s="1"/>
      <c r="M2175" s="1"/>
      <c r="N2175" s="1"/>
      <c r="O2175" s="1"/>
      <c r="P2175" s="2"/>
      <c r="Q2175" s="2"/>
      <c r="R2175" s="2"/>
      <c r="S2175" s="2"/>
      <c r="T2175" s="2"/>
    </row>
    <row r="2176" spans="1:20" s="146" customFormat="1" ht="26.25" customHeight="1">
      <c r="A2176" s="82" t="s">
        <v>158</v>
      </c>
      <c r="B2176" s="145">
        <v>793</v>
      </c>
      <c r="C2176" s="15" t="s">
        <v>167</v>
      </c>
      <c r="D2176" s="15" t="s">
        <v>18</v>
      </c>
      <c r="E2176" s="143" t="s">
        <v>204</v>
      </c>
      <c r="F2176" s="84"/>
      <c r="G2176" s="70">
        <f>G2185+G2184</f>
        <v>266886.48</v>
      </c>
      <c r="H2176" s="87">
        <f t="shared" ref="H2176:I2176" si="593">H2185</f>
        <v>0</v>
      </c>
      <c r="I2176" s="87">
        <f t="shared" si="593"/>
        <v>0</v>
      </c>
      <c r="J2176" s="148">
        <v>1487719</v>
      </c>
      <c r="P2176" s="148"/>
      <c r="Q2176" s="148"/>
      <c r="R2176" s="148"/>
      <c r="S2176" s="148"/>
      <c r="T2176" s="148"/>
    </row>
    <row r="2177" spans="1:20" s="122" customFormat="1" ht="51.75" hidden="1" customHeight="1">
      <c r="A2177" s="82" t="s">
        <v>612</v>
      </c>
      <c r="B2177" s="145">
        <v>793</v>
      </c>
      <c r="C2177" s="15" t="s">
        <v>167</v>
      </c>
      <c r="D2177" s="15" t="s">
        <v>18</v>
      </c>
      <c r="E2177" s="84" t="s">
        <v>613</v>
      </c>
      <c r="F2177" s="84"/>
      <c r="G2177" s="70">
        <f t="shared" ref="G2177:I2178" si="594">G2178</f>
        <v>49374.079999999958</v>
      </c>
      <c r="H2177" s="87">
        <f t="shared" si="594"/>
        <v>0</v>
      </c>
      <c r="I2177" s="87">
        <f t="shared" si="594"/>
        <v>0</v>
      </c>
      <c r="J2177" s="121"/>
      <c r="P2177" s="121"/>
      <c r="Q2177" s="121"/>
      <c r="R2177" s="121"/>
      <c r="S2177" s="121"/>
      <c r="T2177" s="121"/>
    </row>
    <row r="2178" spans="1:20" s="122" customFormat="1" ht="26.25" hidden="1" customHeight="1">
      <c r="A2178" s="82" t="s">
        <v>316</v>
      </c>
      <c r="B2178" s="145">
        <v>793</v>
      </c>
      <c r="C2178" s="15" t="s">
        <v>167</v>
      </c>
      <c r="D2178" s="15" t="s">
        <v>18</v>
      </c>
      <c r="E2178" s="84" t="s">
        <v>613</v>
      </c>
      <c r="F2178" s="84" t="s">
        <v>36</v>
      </c>
      <c r="G2178" s="70">
        <f t="shared" si="594"/>
        <v>49374.079999999958</v>
      </c>
      <c r="H2178" s="87">
        <f t="shared" si="594"/>
        <v>0</v>
      </c>
      <c r="I2178" s="87">
        <f t="shared" si="594"/>
        <v>0</v>
      </c>
      <c r="J2178" s="121"/>
      <c r="P2178" s="121"/>
      <c r="Q2178" s="121"/>
      <c r="R2178" s="121"/>
      <c r="S2178" s="121"/>
      <c r="T2178" s="121"/>
    </row>
    <row r="2179" spans="1:20" s="122" customFormat="1" ht="26.25" hidden="1" customHeight="1">
      <c r="A2179" s="82" t="s">
        <v>37</v>
      </c>
      <c r="B2179" s="145">
        <v>793</v>
      </c>
      <c r="C2179" s="15" t="s">
        <v>167</v>
      </c>
      <c r="D2179" s="15" t="s">
        <v>18</v>
      </c>
      <c r="E2179" s="84" t="s">
        <v>613</v>
      </c>
      <c r="F2179" s="84" t="s">
        <v>38</v>
      </c>
      <c r="G2179" s="70">
        <f>прил4!G1769</f>
        <v>49374.079999999958</v>
      </c>
      <c r="H2179" s="87"/>
      <c r="I2179" s="87"/>
      <c r="J2179" s="121"/>
      <c r="P2179" s="121"/>
      <c r="Q2179" s="121"/>
      <c r="R2179" s="121"/>
      <c r="S2179" s="121"/>
      <c r="T2179" s="121"/>
    </row>
    <row r="2180" spans="1:20" ht="39" customHeight="1">
      <c r="A2180" s="16" t="s">
        <v>326</v>
      </c>
      <c r="B2180" s="14">
        <v>793</v>
      </c>
      <c r="C2180" s="15" t="s">
        <v>167</v>
      </c>
      <c r="D2180" s="15" t="s">
        <v>18</v>
      </c>
      <c r="E2180" s="15" t="s">
        <v>205</v>
      </c>
      <c r="F2180" s="15"/>
      <c r="G2180" s="70">
        <f>G2181+G2183</f>
        <v>256379.1</v>
      </c>
      <c r="H2180" s="70">
        <f t="shared" ref="H2180:I2180" si="595">H2181+H2183</f>
        <v>0</v>
      </c>
      <c r="I2180" s="70">
        <f t="shared" si="595"/>
        <v>0</v>
      </c>
      <c r="J2180" s="2"/>
      <c r="K2180" s="1"/>
      <c r="L2180" s="1"/>
      <c r="M2180" s="1"/>
      <c r="N2180" s="1"/>
      <c r="O2180" s="1"/>
      <c r="P2180" s="2"/>
      <c r="Q2180" s="2"/>
      <c r="R2180" s="2"/>
      <c r="S2180" s="2"/>
      <c r="T2180" s="2"/>
    </row>
    <row r="2181" spans="1:20" ht="29.25" hidden="1" customHeight="1">
      <c r="A2181" s="16" t="s">
        <v>316</v>
      </c>
      <c r="B2181" s="15" t="s">
        <v>92</v>
      </c>
      <c r="C2181" s="15" t="s">
        <v>167</v>
      </c>
      <c r="D2181" s="15" t="s">
        <v>18</v>
      </c>
      <c r="E2181" s="15" t="s">
        <v>205</v>
      </c>
      <c r="F2181" s="15" t="s">
        <v>36</v>
      </c>
      <c r="G2181" s="70">
        <f>G2182</f>
        <v>0</v>
      </c>
      <c r="H2181" s="70"/>
      <c r="I2181" s="70"/>
      <c r="J2181" s="2"/>
      <c r="K2181" s="1"/>
      <c r="L2181" s="1"/>
      <c r="M2181" s="1"/>
      <c r="N2181" s="1"/>
      <c r="O2181" s="1"/>
      <c r="P2181" s="2"/>
      <c r="Q2181" s="2"/>
      <c r="R2181" s="2"/>
      <c r="S2181" s="2"/>
      <c r="T2181" s="2"/>
    </row>
    <row r="2182" spans="1:20" ht="36.75" hidden="1" customHeight="1">
      <c r="A2182" s="16" t="s">
        <v>37</v>
      </c>
      <c r="B2182" s="15" t="s">
        <v>92</v>
      </c>
      <c r="C2182" s="15" t="s">
        <v>167</v>
      </c>
      <c r="D2182" s="15" t="s">
        <v>18</v>
      </c>
      <c r="E2182" s="15" t="s">
        <v>205</v>
      </c>
      <c r="F2182" s="15" t="s">
        <v>38</v>
      </c>
      <c r="G2182" s="70">
        <f>прил4!G3339</f>
        <v>0</v>
      </c>
      <c r="H2182" s="70"/>
      <c r="I2182" s="70"/>
      <c r="J2182" s="2"/>
      <c r="K2182" s="1"/>
      <c r="L2182" s="1"/>
      <c r="M2182" s="1"/>
      <c r="N2182" s="1"/>
      <c r="O2182" s="1"/>
      <c r="P2182" s="2"/>
      <c r="Q2182" s="2"/>
      <c r="R2182" s="2"/>
      <c r="S2182" s="2"/>
      <c r="T2182" s="2"/>
    </row>
    <row r="2183" spans="1:20">
      <c r="A2183" s="16" t="s">
        <v>316</v>
      </c>
      <c r="B2183" s="14">
        <v>793</v>
      </c>
      <c r="C2183" s="15" t="s">
        <v>167</v>
      </c>
      <c r="D2183" s="15" t="s">
        <v>18</v>
      </c>
      <c r="E2183" s="15" t="s">
        <v>205</v>
      </c>
      <c r="F2183" s="15" t="s">
        <v>36</v>
      </c>
      <c r="G2183" s="70">
        <f t="shared" ref="G2183:I2183" si="596">G2184</f>
        <v>256379.1</v>
      </c>
      <c r="H2183" s="70">
        <f t="shared" si="596"/>
        <v>0</v>
      </c>
      <c r="I2183" s="70">
        <f t="shared" si="596"/>
        <v>0</v>
      </c>
      <c r="J2183" s="2"/>
      <c r="K2183" s="1"/>
      <c r="L2183" s="1"/>
      <c r="M2183" s="1"/>
      <c r="N2183" s="1"/>
      <c r="O2183" s="1"/>
      <c r="P2183" s="2"/>
      <c r="Q2183" s="2"/>
      <c r="R2183" s="2"/>
      <c r="S2183" s="2"/>
      <c r="T2183" s="2"/>
    </row>
    <row r="2184" spans="1:20" ht="35.25" customHeight="1">
      <c r="A2184" s="16" t="s">
        <v>37</v>
      </c>
      <c r="B2184" s="14">
        <v>793</v>
      </c>
      <c r="C2184" s="15" t="s">
        <v>167</v>
      </c>
      <c r="D2184" s="15" t="s">
        <v>18</v>
      </c>
      <c r="E2184" s="15" t="s">
        <v>205</v>
      </c>
      <c r="F2184" s="15" t="s">
        <v>38</v>
      </c>
      <c r="G2184" s="70">
        <v>256379.1</v>
      </c>
      <c r="H2184" s="70">
        <f>прил4!H1494</f>
        <v>0</v>
      </c>
      <c r="I2184" s="70">
        <f>прил4!I1494</f>
        <v>0</v>
      </c>
      <c r="J2184" s="2"/>
      <c r="K2184" s="1"/>
      <c r="L2184" s="1"/>
      <c r="M2184" s="1"/>
      <c r="N2184" s="1"/>
      <c r="O2184" s="1"/>
      <c r="P2184" s="2"/>
      <c r="Q2184" s="2"/>
      <c r="R2184" s="2"/>
      <c r="S2184" s="2"/>
      <c r="T2184" s="2"/>
    </row>
    <row r="2185" spans="1:20" ht="39" customHeight="1">
      <c r="A2185" s="16" t="s">
        <v>1271</v>
      </c>
      <c r="B2185" s="14">
        <v>793</v>
      </c>
      <c r="C2185" s="15" t="s">
        <v>167</v>
      </c>
      <c r="D2185" s="15" t="s">
        <v>18</v>
      </c>
      <c r="E2185" s="15" t="s">
        <v>1274</v>
      </c>
      <c r="F2185" s="15"/>
      <c r="G2185" s="70">
        <f>G2186+G2188</f>
        <v>10507.38</v>
      </c>
      <c r="H2185" s="70">
        <f t="shared" ref="H2185:I2185" si="597">H2186+H2188</f>
        <v>0</v>
      </c>
      <c r="I2185" s="70">
        <f t="shared" si="597"/>
        <v>0</v>
      </c>
      <c r="J2185" s="2"/>
      <c r="K2185" s="1"/>
      <c r="L2185" s="1"/>
      <c r="M2185" s="1"/>
      <c r="N2185" s="1"/>
      <c r="O2185" s="1"/>
      <c r="P2185" s="2"/>
      <c r="Q2185" s="2"/>
      <c r="R2185" s="2"/>
      <c r="S2185" s="2"/>
      <c r="T2185" s="2"/>
    </row>
    <row r="2186" spans="1:20" ht="29.25" hidden="1" customHeight="1">
      <c r="A2186" s="16" t="s">
        <v>316</v>
      </c>
      <c r="B2186" s="15" t="s">
        <v>92</v>
      </c>
      <c r="C2186" s="15" t="s">
        <v>167</v>
      </c>
      <c r="D2186" s="15" t="s">
        <v>18</v>
      </c>
      <c r="E2186" s="15" t="s">
        <v>205</v>
      </c>
      <c r="F2186" s="15" t="s">
        <v>36</v>
      </c>
      <c r="G2186" s="70">
        <f>G2187</f>
        <v>0</v>
      </c>
      <c r="H2186" s="70"/>
      <c r="I2186" s="70"/>
      <c r="J2186" s="2"/>
      <c r="K2186" s="1"/>
      <c r="L2186" s="1"/>
      <c r="M2186" s="1"/>
      <c r="N2186" s="1"/>
      <c r="O2186" s="1"/>
      <c r="P2186" s="2"/>
      <c r="Q2186" s="2"/>
      <c r="R2186" s="2"/>
      <c r="S2186" s="2"/>
      <c r="T2186" s="2"/>
    </row>
    <row r="2187" spans="1:20" ht="36.75" hidden="1" customHeight="1">
      <c r="A2187" s="16" t="s">
        <v>37</v>
      </c>
      <c r="B2187" s="15" t="s">
        <v>92</v>
      </c>
      <c r="C2187" s="15" t="s">
        <v>167</v>
      </c>
      <c r="D2187" s="15" t="s">
        <v>18</v>
      </c>
      <c r="E2187" s="15" t="s">
        <v>205</v>
      </c>
      <c r="F2187" s="15" t="s">
        <v>38</v>
      </c>
      <c r="G2187" s="70">
        <f>прил4!G3344</f>
        <v>0</v>
      </c>
      <c r="H2187" s="70"/>
      <c r="I2187" s="70"/>
      <c r="J2187" s="2"/>
      <c r="K2187" s="1"/>
      <c r="L2187" s="1"/>
      <c r="M2187" s="1"/>
      <c r="N2187" s="1"/>
      <c r="O2187" s="1"/>
      <c r="P2187" s="2"/>
      <c r="Q2187" s="2"/>
      <c r="R2187" s="2"/>
      <c r="S2187" s="2"/>
      <c r="T2187" s="2"/>
    </row>
    <row r="2188" spans="1:20">
      <c r="A2188" s="16" t="s">
        <v>316</v>
      </c>
      <c r="B2188" s="14">
        <v>793</v>
      </c>
      <c r="C2188" s="15" t="s">
        <v>167</v>
      </c>
      <c r="D2188" s="15" t="s">
        <v>18</v>
      </c>
      <c r="E2188" s="15" t="s">
        <v>1274</v>
      </c>
      <c r="F2188" s="15" t="s">
        <v>36</v>
      </c>
      <c r="G2188" s="70">
        <f t="shared" ref="G2188:I2188" si="598">G2189</f>
        <v>10507.38</v>
      </c>
      <c r="H2188" s="70">
        <f t="shared" si="598"/>
        <v>0</v>
      </c>
      <c r="I2188" s="70">
        <f t="shared" si="598"/>
        <v>0</v>
      </c>
      <c r="J2188" s="2"/>
      <c r="K2188" s="1"/>
      <c r="L2188" s="1"/>
      <c r="M2188" s="1"/>
      <c r="N2188" s="1"/>
      <c r="O2188" s="1"/>
      <c r="P2188" s="2"/>
      <c r="Q2188" s="2"/>
      <c r="R2188" s="2"/>
      <c r="S2188" s="2"/>
      <c r="T2188" s="2"/>
    </row>
    <row r="2189" spans="1:20" ht="35.25" customHeight="1">
      <c r="A2189" s="16" t="s">
        <v>37</v>
      </c>
      <c r="B2189" s="14">
        <v>793</v>
      </c>
      <c r="C2189" s="15" t="s">
        <v>167</v>
      </c>
      <c r="D2189" s="15" t="s">
        <v>18</v>
      </c>
      <c r="E2189" s="15" t="s">
        <v>1274</v>
      </c>
      <c r="F2189" s="15" t="s">
        <v>38</v>
      </c>
      <c r="G2189" s="70">
        <v>10507.38</v>
      </c>
      <c r="H2189" s="70">
        <f>прил4!H1499</f>
        <v>0</v>
      </c>
      <c r="I2189" s="70">
        <f>прил4!I1499</f>
        <v>0</v>
      </c>
      <c r="J2189" s="2"/>
      <c r="K2189" s="1"/>
      <c r="L2189" s="1"/>
      <c r="M2189" s="1"/>
      <c r="N2189" s="1"/>
      <c r="O2189" s="1"/>
      <c r="P2189" s="2"/>
      <c r="Q2189" s="2"/>
      <c r="R2189" s="2"/>
      <c r="S2189" s="2"/>
      <c r="T2189" s="2"/>
    </row>
    <row r="2190" spans="1:20" ht="16.5" customHeight="1">
      <c r="A2190" s="13" t="s">
        <v>169</v>
      </c>
      <c r="B2190" s="49">
        <v>793</v>
      </c>
      <c r="C2190" s="15" t="s">
        <v>167</v>
      </c>
      <c r="D2190" s="15" t="s">
        <v>27</v>
      </c>
      <c r="E2190" s="15"/>
      <c r="F2190" s="15"/>
      <c r="G2190" s="70">
        <f>G2191+G2274+G2356+G2341+G2308+G2345</f>
        <v>987286288.66000009</v>
      </c>
      <c r="H2190" s="70">
        <f t="shared" ref="H2190:I2190" si="599">H2191</f>
        <v>5822000</v>
      </c>
      <c r="I2190" s="70">
        <f t="shared" si="599"/>
        <v>1500000</v>
      </c>
      <c r="J2190" s="172"/>
      <c r="K2190" s="69"/>
      <c r="L2190" s="69"/>
      <c r="M2190" s="69"/>
      <c r="N2190" s="69"/>
      <c r="O2190" s="69"/>
      <c r="P2190" s="69"/>
      <c r="Q2190" s="69"/>
      <c r="R2190" s="69"/>
    </row>
    <row r="2191" spans="1:20" s="3" customFormat="1" ht="52.5" customHeight="1">
      <c r="A2191" s="16" t="s">
        <v>1144</v>
      </c>
      <c r="B2191" s="49">
        <v>793</v>
      </c>
      <c r="C2191" s="15" t="s">
        <v>167</v>
      </c>
      <c r="D2191" s="15" t="s">
        <v>27</v>
      </c>
      <c r="E2191" s="15" t="s">
        <v>289</v>
      </c>
      <c r="F2191" s="15"/>
      <c r="G2191" s="70">
        <f>G2192+G2216+G2222+G2226+G2229+G2235+G2261+G2265+G2278+G2281+G2293+G2210+G2219+G2284+G2296+G2299+G2302+G2305+G2213+G2287++G2290</f>
        <v>985667386.55000007</v>
      </c>
      <c r="H2191" s="70">
        <f t="shared" ref="H2191:I2191" si="600">H2192+H2216+H2222+H2226+H2229+H2235+H2261+H2265+H2278+H2281+H2293</f>
        <v>5822000</v>
      </c>
      <c r="I2191" s="70">
        <f t="shared" si="600"/>
        <v>1500000</v>
      </c>
      <c r="J2191" s="172"/>
      <c r="K2191" s="62"/>
      <c r="L2191" s="62"/>
      <c r="M2191" s="62"/>
      <c r="N2191" s="62"/>
      <c r="O2191" s="62"/>
      <c r="P2191" s="62"/>
      <c r="Q2191" s="62"/>
      <c r="R2191" s="62"/>
    </row>
    <row r="2192" spans="1:20">
      <c r="A2192" s="16" t="s">
        <v>720</v>
      </c>
      <c r="B2192" s="49">
        <v>793</v>
      </c>
      <c r="C2192" s="15" t="s">
        <v>167</v>
      </c>
      <c r="D2192" s="15" t="s">
        <v>27</v>
      </c>
      <c r="E2192" s="15" t="s">
        <v>290</v>
      </c>
      <c r="F2192" s="15"/>
      <c r="G2192" s="70">
        <f>G2193+G2195</f>
        <v>0</v>
      </c>
      <c r="H2192" s="70">
        <f t="shared" ref="G2192:I2207" si="601">H2193</f>
        <v>1000000</v>
      </c>
      <c r="I2192" s="70">
        <f t="shared" si="601"/>
        <v>1000000</v>
      </c>
      <c r="J2192" s="172"/>
      <c r="K2192" s="69"/>
      <c r="L2192" s="69"/>
      <c r="M2192" s="69"/>
      <c r="N2192" s="69"/>
      <c r="O2192" s="69"/>
      <c r="P2192" s="69"/>
      <c r="Q2192" s="69"/>
      <c r="R2192" s="69"/>
    </row>
    <row r="2193" spans="1:18" ht="26.4">
      <c r="A2193" s="16" t="s">
        <v>35</v>
      </c>
      <c r="B2193" s="49">
        <v>793</v>
      </c>
      <c r="C2193" s="15" t="s">
        <v>167</v>
      </c>
      <c r="D2193" s="15" t="s">
        <v>27</v>
      </c>
      <c r="E2193" s="15" t="s">
        <v>290</v>
      </c>
      <c r="F2193" s="15" t="s">
        <v>36</v>
      </c>
      <c r="G2193" s="70">
        <f t="shared" si="601"/>
        <v>0</v>
      </c>
      <c r="H2193" s="70">
        <f t="shared" si="601"/>
        <v>1000000</v>
      </c>
      <c r="I2193" s="70">
        <f t="shared" si="601"/>
        <v>1000000</v>
      </c>
      <c r="J2193" s="172"/>
      <c r="K2193" s="69"/>
      <c r="L2193" s="69"/>
      <c r="M2193" s="69"/>
      <c r="N2193" s="69"/>
      <c r="O2193" s="69"/>
      <c r="P2193" s="69"/>
      <c r="Q2193" s="69"/>
      <c r="R2193" s="69"/>
    </row>
    <row r="2194" spans="1:18" ht="26.4">
      <c r="A2194" s="16" t="s">
        <v>37</v>
      </c>
      <c r="B2194" s="49">
        <v>793</v>
      </c>
      <c r="C2194" s="15" t="s">
        <v>167</v>
      </c>
      <c r="D2194" s="15" t="s">
        <v>27</v>
      </c>
      <c r="E2194" s="15" t="s">
        <v>290</v>
      </c>
      <c r="F2194" s="15" t="s">
        <v>38</v>
      </c>
      <c r="G2194" s="70">
        <f>1000000-1000000</f>
        <v>0</v>
      </c>
      <c r="H2194" s="70">
        <v>1000000</v>
      </c>
      <c r="I2194" s="70">
        <v>1000000</v>
      </c>
      <c r="J2194" s="172"/>
      <c r="K2194" s="69"/>
      <c r="L2194" s="69"/>
      <c r="M2194" s="69"/>
      <c r="N2194" s="69"/>
      <c r="O2194" s="69"/>
      <c r="P2194" s="69"/>
      <c r="Q2194" s="69"/>
      <c r="R2194" s="69"/>
    </row>
    <row r="2195" spans="1:18" hidden="1">
      <c r="A2195" s="16" t="s">
        <v>62</v>
      </c>
      <c r="B2195" s="49">
        <v>793</v>
      </c>
      <c r="C2195" s="15" t="s">
        <v>167</v>
      </c>
      <c r="D2195" s="15" t="s">
        <v>27</v>
      </c>
      <c r="E2195" s="15" t="s">
        <v>290</v>
      </c>
      <c r="F2195" s="15" t="s">
        <v>63</v>
      </c>
      <c r="G2195" s="70">
        <f>G2196</f>
        <v>0</v>
      </c>
      <c r="H2195" s="70"/>
      <c r="I2195" s="70"/>
      <c r="J2195" s="172"/>
      <c r="K2195" s="69"/>
      <c r="L2195" s="69"/>
      <c r="M2195" s="69"/>
      <c r="N2195" s="69"/>
      <c r="O2195" s="69"/>
      <c r="P2195" s="69"/>
      <c r="Q2195" s="69"/>
      <c r="R2195" s="69"/>
    </row>
    <row r="2196" spans="1:18" hidden="1">
      <c r="A2196" s="16" t="s">
        <v>174</v>
      </c>
      <c r="B2196" s="49">
        <v>793</v>
      </c>
      <c r="C2196" s="15" t="s">
        <v>167</v>
      </c>
      <c r="D2196" s="15" t="s">
        <v>27</v>
      </c>
      <c r="E2196" s="15" t="s">
        <v>290</v>
      </c>
      <c r="F2196" s="15" t="s">
        <v>175</v>
      </c>
      <c r="G2196" s="70">
        <v>0</v>
      </c>
      <c r="H2196" s="70"/>
      <c r="I2196" s="70"/>
      <c r="J2196" s="172"/>
      <c r="K2196" s="69"/>
      <c r="L2196" s="69"/>
      <c r="M2196" s="69"/>
      <c r="N2196" s="69"/>
      <c r="O2196" s="69"/>
      <c r="P2196" s="69"/>
      <c r="Q2196" s="69"/>
      <c r="R2196" s="69"/>
    </row>
    <row r="2197" spans="1:18" hidden="1">
      <c r="A2197" s="16" t="s">
        <v>665</v>
      </c>
      <c r="B2197" s="49">
        <v>793</v>
      </c>
      <c r="C2197" s="15" t="s">
        <v>167</v>
      </c>
      <c r="D2197" s="15" t="s">
        <v>27</v>
      </c>
      <c r="E2197" s="15" t="s">
        <v>664</v>
      </c>
      <c r="F2197" s="15"/>
      <c r="G2197" s="70">
        <f t="shared" si="601"/>
        <v>0</v>
      </c>
      <c r="H2197" s="70">
        <f t="shared" si="601"/>
        <v>0</v>
      </c>
      <c r="I2197" s="70">
        <f t="shared" si="601"/>
        <v>0</v>
      </c>
      <c r="J2197" s="172"/>
      <c r="K2197" s="69"/>
      <c r="L2197" s="69"/>
      <c r="M2197" s="69"/>
      <c r="N2197" s="69"/>
      <c r="O2197" s="69"/>
      <c r="P2197" s="69"/>
      <c r="Q2197" s="69"/>
      <c r="R2197" s="69"/>
    </row>
    <row r="2198" spans="1:18" ht="26.4" hidden="1">
      <c r="A2198" s="16" t="s">
        <v>35</v>
      </c>
      <c r="B2198" s="49">
        <v>793</v>
      </c>
      <c r="C2198" s="15" t="s">
        <v>167</v>
      </c>
      <c r="D2198" s="15" t="s">
        <v>27</v>
      </c>
      <c r="E2198" s="15" t="s">
        <v>664</v>
      </c>
      <c r="F2198" s="15" t="s">
        <v>36</v>
      </c>
      <c r="G2198" s="70">
        <f t="shared" si="601"/>
        <v>0</v>
      </c>
      <c r="H2198" s="70">
        <f t="shared" si="601"/>
        <v>0</v>
      </c>
      <c r="I2198" s="70">
        <f t="shared" si="601"/>
        <v>0</v>
      </c>
      <c r="J2198" s="172"/>
      <c r="K2198" s="69"/>
      <c r="L2198" s="69"/>
      <c r="M2198" s="69"/>
      <c r="N2198" s="69"/>
      <c r="O2198" s="69"/>
      <c r="P2198" s="69"/>
      <c r="Q2198" s="69"/>
      <c r="R2198" s="69"/>
    </row>
    <row r="2199" spans="1:18" ht="26.4" hidden="1">
      <c r="A2199" s="16" t="s">
        <v>37</v>
      </c>
      <c r="B2199" s="49">
        <v>793</v>
      </c>
      <c r="C2199" s="15" t="s">
        <v>167</v>
      </c>
      <c r="D2199" s="15" t="s">
        <v>27</v>
      </c>
      <c r="E2199" s="15" t="s">
        <v>664</v>
      </c>
      <c r="F2199" s="15" t="s">
        <v>38</v>
      </c>
      <c r="G2199" s="70"/>
      <c r="H2199" s="70">
        <v>0</v>
      </c>
      <c r="I2199" s="70">
        <v>0</v>
      </c>
      <c r="J2199" s="172"/>
      <c r="K2199" s="69"/>
      <c r="L2199" s="69"/>
      <c r="M2199" s="69"/>
      <c r="N2199" s="69"/>
      <c r="O2199" s="69"/>
      <c r="P2199" s="69"/>
      <c r="Q2199" s="69"/>
      <c r="R2199" s="69"/>
    </row>
    <row r="2200" spans="1:18" hidden="1">
      <c r="A2200" s="16" t="s">
        <v>711</v>
      </c>
      <c r="B2200" s="49">
        <v>793</v>
      </c>
      <c r="C2200" s="15" t="s">
        <v>167</v>
      </c>
      <c r="D2200" s="15" t="s">
        <v>27</v>
      </c>
      <c r="E2200" s="15" t="s">
        <v>710</v>
      </c>
      <c r="F2200" s="15"/>
      <c r="G2200" s="70">
        <f t="shared" si="601"/>
        <v>0</v>
      </c>
      <c r="H2200" s="70">
        <f t="shared" si="601"/>
        <v>0</v>
      </c>
      <c r="I2200" s="70">
        <f t="shared" si="601"/>
        <v>0</v>
      </c>
      <c r="J2200" s="172"/>
      <c r="K2200" s="69"/>
      <c r="L2200" s="69"/>
      <c r="M2200" s="69"/>
      <c r="N2200" s="69"/>
      <c r="O2200" s="69"/>
      <c r="P2200" s="69"/>
      <c r="Q2200" s="69"/>
      <c r="R2200" s="69"/>
    </row>
    <row r="2201" spans="1:18" ht="26.4" hidden="1">
      <c r="A2201" s="16" t="s">
        <v>35</v>
      </c>
      <c r="B2201" s="49">
        <v>793</v>
      </c>
      <c r="C2201" s="15" t="s">
        <v>167</v>
      </c>
      <c r="D2201" s="15" t="s">
        <v>27</v>
      </c>
      <c r="E2201" s="15" t="s">
        <v>710</v>
      </c>
      <c r="F2201" s="15" t="s">
        <v>36</v>
      </c>
      <c r="G2201" s="70">
        <f t="shared" si="601"/>
        <v>0</v>
      </c>
      <c r="H2201" s="70">
        <f t="shared" si="601"/>
        <v>0</v>
      </c>
      <c r="I2201" s="70">
        <f t="shared" si="601"/>
        <v>0</v>
      </c>
      <c r="J2201" s="172"/>
      <c r="K2201" s="69"/>
      <c r="L2201" s="69"/>
      <c r="M2201" s="69"/>
      <c r="N2201" s="69"/>
      <c r="O2201" s="69"/>
      <c r="P2201" s="69"/>
      <c r="Q2201" s="69"/>
      <c r="R2201" s="69"/>
    </row>
    <row r="2202" spans="1:18" ht="26.4" hidden="1">
      <c r="A2202" s="16" t="s">
        <v>37</v>
      </c>
      <c r="B2202" s="49">
        <v>793</v>
      </c>
      <c r="C2202" s="15" t="s">
        <v>167</v>
      </c>
      <c r="D2202" s="15" t="s">
        <v>27</v>
      </c>
      <c r="E2202" s="15" t="s">
        <v>710</v>
      </c>
      <c r="F2202" s="15" t="s">
        <v>38</v>
      </c>
      <c r="G2202" s="70"/>
      <c r="H2202" s="70"/>
      <c r="I2202" s="70"/>
      <c r="J2202" s="172"/>
      <c r="K2202" s="69"/>
      <c r="L2202" s="69"/>
      <c r="M2202" s="69"/>
      <c r="N2202" s="69"/>
      <c r="O2202" s="69"/>
      <c r="P2202" s="69"/>
      <c r="Q2202" s="69"/>
      <c r="R2202" s="69"/>
    </row>
    <row r="2203" spans="1:18" ht="26.4" hidden="1">
      <c r="A2203" s="16" t="s">
        <v>1006</v>
      </c>
      <c r="B2203" s="49">
        <v>793</v>
      </c>
      <c r="C2203" s="15" t="s">
        <v>167</v>
      </c>
      <c r="D2203" s="15" t="s">
        <v>27</v>
      </c>
      <c r="E2203" s="15" t="s">
        <v>1009</v>
      </c>
      <c r="F2203" s="15"/>
      <c r="G2203" s="70">
        <f>G2204</f>
        <v>0</v>
      </c>
      <c r="H2203" s="70">
        <f t="shared" si="601"/>
        <v>0</v>
      </c>
      <c r="I2203" s="70">
        <f t="shared" si="601"/>
        <v>0</v>
      </c>
      <c r="J2203" s="172"/>
      <c r="K2203" s="69"/>
      <c r="L2203" s="69"/>
      <c r="M2203" s="69"/>
      <c r="N2203" s="69"/>
      <c r="O2203" s="69"/>
      <c r="P2203" s="69"/>
      <c r="Q2203" s="69"/>
      <c r="R2203" s="69"/>
    </row>
    <row r="2204" spans="1:18" ht="26.4" hidden="1">
      <c r="A2204" s="16" t="s">
        <v>35</v>
      </c>
      <c r="B2204" s="49">
        <v>793</v>
      </c>
      <c r="C2204" s="15" t="s">
        <v>167</v>
      </c>
      <c r="D2204" s="15" t="s">
        <v>27</v>
      </c>
      <c r="E2204" s="15" t="s">
        <v>1009</v>
      </c>
      <c r="F2204" s="15" t="s">
        <v>338</v>
      </c>
      <c r="G2204" s="70">
        <f t="shared" si="601"/>
        <v>0</v>
      </c>
      <c r="H2204" s="70">
        <f t="shared" si="601"/>
        <v>0</v>
      </c>
      <c r="I2204" s="70">
        <f t="shared" si="601"/>
        <v>0</v>
      </c>
      <c r="J2204" s="172"/>
      <c r="K2204" s="69"/>
      <c r="L2204" s="69"/>
      <c r="M2204" s="69"/>
      <c r="N2204" s="69"/>
      <c r="O2204" s="69"/>
      <c r="P2204" s="69"/>
      <c r="Q2204" s="69"/>
      <c r="R2204" s="69"/>
    </row>
    <row r="2205" spans="1:18" ht="26.4" hidden="1">
      <c r="A2205" s="16" t="s">
        <v>37</v>
      </c>
      <c r="B2205" s="49">
        <v>793</v>
      </c>
      <c r="C2205" s="15" t="s">
        <v>167</v>
      </c>
      <c r="D2205" s="15" t="s">
        <v>27</v>
      </c>
      <c r="E2205" s="15" t="s">
        <v>1009</v>
      </c>
      <c r="F2205" s="15" t="s">
        <v>340</v>
      </c>
      <c r="G2205" s="70"/>
      <c r="H2205" s="70"/>
      <c r="I2205" s="70"/>
      <c r="J2205" s="172"/>
      <c r="K2205" s="69"/>
      <c r="L2205" s="69"/>
      <c r="M2205" s="69"/>
      <c r="N2205" s="69"/>
      <c r="O2205" s="69"/>
      <c r="P2205" s="69"/>
      <c r="Q2205" s="69"/>
      <c r="R2205" s="69"/>
    </row>
    <row r="2206" spans="1:18" ht="26.4" hidden="1">
      <c r="A2206" s="16" t="s">
        <v>947</v>
      </c>
      <c r="B2206" s="49">
        <v>793</v>
      </c>
      <c r="C2206" s="15" t="s">
        <v>167</v>
      </c>
      <c r="D2206" s="15" t="s">
        <v>27</v>
      </c>
      <c r="E2206" s="15" t="s">
        <v>946</v>
      </c>
      <c r="F2206" s="15"/>
      <c r="G2206" s="70">
        <f>G2207</f>
        <v>0</v>
      </c>
      <c r="H2206" s="70">
        <f t="shared" si="601"/>
        <v>0</v>
      </c>
      <c r="I2206" s="70">
        <f t="shared" si="601"/>
        <v>0</v>
      </c>
      <c r="J2206" s="172"/>
      <c r="K2206" s="69"/>
      <c r="L2206" s="69"/>
      <c r="M2206" s="69"/>
      <c r="N2206" s="69"/>
      <c r="O2206" s="69"/>
      <c r="P2206" s="69"/>
      <c r="Q2206" s="69"/>
      <c r="R2206" s="69"/>
    </row>
    <row r="2207" spans="1:18" ht="26.4" hidden="1">
      <c r="A2207" s="16" t="s">
        <v>94</v>
      </c>
      <c r="B2207" s="49">
        <v>793</v>
      </c>
      <c r="C2207" s="15" t="s">
        <v>167</v>
      </c>
      <c r="D2207" s="15" t="s">
        <v>27</v>
      </c>
      <c r="E2207" s="15" t="s">
        <v>946</v>
      </c>
      <c r="F2207" s="15" t="s">
        <v>338</v>
      </c>
      <c r="G2207" s="70">
        <f t="shared" si="601"/>
        <v>0</v>
      </c>
      <c r="H2207" s="70">
        <f t="shared" si="601"/>
        <v>0</v>
      </c>
      <c r="I2207" s="70">
        <f t="shared" si="601"/>
        <v>0</v>
      </c>
      <c r="J2207" s="172"/>
      <c r="K2207" s="69"/>
      <c r="L2207" s="69"/>
      <c r="M2207" s="69"/>
      <c r="N2207" s="69"/>
      <c r="O2207" s="69"/>
      <c r="P2207" s="69"/>
      <c r="Q2207" s="69"/>
      <c r="R2207" s="69"/>
    </row>
    <row r="2208" spans="1:18" hidden="1">
      <c r="A2208" s="16" t="s">
        <v>339</v>
      </c>
      <c r="B2208" s="49">
        <v>793</v>
      </c>
      <c r="C2208" s="15" t="s">
        <v>167</v>
      </c>
      <c r="D2208" s="15" t="s">
        <v>27</v>
      </c>
      <c r="E2208" s="15" t="s">
        <v>946</v>
      </c>
      <c r="F2208" s="15" t="s">
        <v>340</v>
      </c>
      <c r="G2208" s="70"/>
      <c r="H2208" s="70"/>
      <c r="I2208" s="70"/>
      <c r="J2208" s="172"/>
      <c r="K2208" s="69"/>
      <c r="L2208" s="69"/>
      <c r="M2208" s="69"/>
      <c r="N2208" s="69"/>
      <c r="O2208" s="69"/>
      <c r="P2208" s="69"/>
      <c r="Q2208" s="69"/>
      <c r="R2208" s="69"/>
    </row>
    <row r="2209" spans="1:18" s="18" customFormat="1" ht="39" hidden="1" customHeight="1">
      <c r="A2209" s="16" t="s">
        <v>1082</v>
      </c>
      <c r="B2209" s="49">
        <v>793</v>
      </c>
      <c r="C2209" s="15" t="s">
        <v>167</v>
      </c>
      <c r="D2209" s="15" t="s">
        <v>27</v>
      </c>
      <c r="E2209" s="15" t="s">
        <v>1083</v>
      </c>
      <c r="F2209" s="15"/>
      <c r="G2209" s="70">
        <f>G2223</f>
        <v>0</v>
      </c>
      <c r="H2209" s="70">
        <f>H2223</f>
        <v>0</v>
      </c>
      <c r="I2209" s="70">
        <f>I2223</f>
        <v>0</v>
      </c>
      <c r="J2209" s="172"/>
      <c r="K2209" s="180"/>
      <c r="L2209" s="180"/>
      <c r="M2209" s="180"/>
      <c r="N2209" s="180"/>
      <c r="O2209" s="180"/>
      <c r="P2209" s="180"/>
      <c r="Q2209" s="180"/>
      <c r="R2209" s="180"/>
    </row>
    <row r="2210" spans="1:18" ht="26.4">
      <c r="A2210" s="16" t="s">
        <v>1376</v>
      </c>
      <c r="B2210" s="49">
        <v>793</v>
      </c>
      <c r="C2210" s="15" t="s">
        <v>167</v>
      </c>
      <c r="D2210" s="15" t="s">
        <v>27</v>
      </c>
      <c r="E2210" s="15" t="s">
        <v>1375</v>
      </c>
      <c r="F2210" s="15"/>
      <c r="G2210" s="70">
        <f>G2211</f>
        <v>1000000</v>
      </c>
      <c r="H2210" s="70">
        <f t="shared" ref="G2210:I2211" si="602">H2211</f>
        <v>0</v>
      </c>
      <c r="I2210" s="70">
        <f t="shared" si="602"/>
        <v>0</v>
      </c>
      <c r="J2210" s="172"/>
      <c r="K2210" s="69"/>
      <c r="L2210" s="69"/>
      <c r="M2210" s="69"/>
      <c r="N2210" s="69"/>
      <c r="O2210" s="69"/>
      <c r="P2210" s="69"/>
      <c r="Q2210" s="69"/>
      <c r="R2210" s="69"/>
    </row>
    <row r="2211" spans="1:18" ht="26.4">
      <c r="A2211" s="16" t="s">
        <v>35</v>
      </c>
      <c r="B2211" s="49">
        <v>793</v>
      </c>
      <c r="C2211" s="15" t="s">
        <v>167</v>
      </c>
      <c r="D2211" s="15" t="s">
        <v>27</v>
      </c>
      <c r="E2211" s="15" t="s">
        <v>1375</v>
      </c>
      <c r="F2211" s="15" t="s">
        <v>36</v>
      </c>
      <c r="G2211" s="70">
        <f t="shared" si="602"/>
        <v>1000000</v>
      </c>
      <c r="H2211" s="70">
        <f t="shared" si="602"/>
        <v>0</v>
      </c>
      <c r="I2211" s="70">
        <f t="shared" si="602"/>
        <v>0</v>
      </c>
      <c r="J2211" s="172"/>
      <c r="K2211" s="69"/>
      <c r="L2211" s="69"/>
      <c r="M2211" s="69"/>
      <c r="N2211" s="69"/>
      <c r="O2211" s="69"/>
      <c r="P2211" s="69"/>
      <c r="Q2211" s="69"/>
      <c r="R2211" s="69"/>
    </row>
    <row r="2212" spans="1:18" ht="26.4">
      <c r="A2212" s="16" t="s">
        <v>37</v>
      </c>
      <c r="B2212" s="49">
        <v>793</v>
      </c>
      <c r="C2212" s="15" t="s">
        <v>167</v>
      </c>
      <c r="D2212" s="15" t="s">
        <v>27</v>
      </c>
      <c r="E2212" s="15" t="s">
        <v>1375</v>
      </c>
      <c r="F2212" s="15" t="s">
        <v>38</v>
      </c>
      <c r="G2212" s="70">
        <v>1000000</v>
      </c>
      <c r="H2212" s="70">
        <v>0</v>
      </c>
      <c r="I2212" s="70">
        <v>0</v>
      </c>
      <c r="J2212" s="172"/>
      <c r="K2212" s="69"/>
      <c r="L2212" s="69"/>
      <c r="M2212" s="69"/>
      <c r="N2212" s="69"/>
      <c r="O2212" s="69"/>
      <c r="P2212" s="69"/>
      <c r="Q2212" s="69"/>
      <c r="R2212" s="69"/>
    </row>
    <row r="2213" spans="1:18" ht="52.8">
      <c r="A2213" s="16" t="s">
        <v>1493</v>
      </c>
      <c r="B2213" s="49">
        <v>793</v>
      </c>
      <c r="C2213" s="15" t="s">
        <v>167</v>
      </c>
      <c r="D2213" s="15" t="s">
        <v>27</v>
      </c>
      <c r="E2213" s="15" t="s">
        <v>1492</v>
      </c>
      <c r="F2213" s="15"/>
      <c r="G2213" s="70">
        <f>G2214</f>
        <v>977300000</v>
      </c>
      <c r="H2213" s="70">
        <f t="shared" ref="G2213:I2214" si="603">H2214</f>
        <v>0</v>
      </c>
      <c r="I2213" s="70">
        <f t="shared" si="603"/>
        <v>0</v>
      </c>
      <c r="J2213" s="172"/>
      <c r="K2213" s="69"/>
      <c r="L2213" s="69"/>
      <c r="M2213" s="69"/>
      <c r="N2213" s="69"/>
      <c r="O2213" s="69"/>
      <c r="P2213" s="69"/>
      <c r="Q2213" s="69"/>
      <c r="R2213" s="69"/>
    </row>
    <row r="2214" spans="1:18" ht="26.4">
      <c r="A2214" s="16" t="s">
        <v>94</v>
      </c>
      <c r="B2214" s="49">
        <v>793</v>
      </c>
      <c r="C2214" s="15" t="s">
        <v>167</v>
      </c>
      <c r="D2214" s="15" t="s">
        <v>27</v>
      </c>
      <c r="E2214" s="15" t="s">
        <v>1254</v>
      </c>
      <c r="F2214" s="15" t="s">
        <v>338</v>
      </c>
      <c r="G2214" s="70">
        <f t="shared" si="603"/>
        <v>977300000</v>
      </c>
      <c r="H2214" s="70">
        <f t="shared" si="603"/>
        <v>0</v>
      </c>
      <c r="I2214" s="70">
        <f t="shared" si="603"/>
        <v>0</v>
      </c>
      <c r="J2214" s="172"/>
      <c r="K2214" s="69"/>
      <c r="L2214" s="69"/>
      <c r="M2214" s="69"/>
      <c r="N2214" s="69"/>
      <c r="O2214" s="69"/>
      <c r="P2214" s="69"/>
      <c r="Q2214" s="69"/>
      <c r="R2214" s="69"/>
    </row>
    <row r="2215" spans="1:18">
      <c r="A2215" s="16" t="s">
        <v>339</v>
      </c>
      <c r="B2215" s="49">
        <v>793</v>
      </c>
      <c r="C2215" s="15" t="s">
        <v>167</v>
      </c>
      <c r="D2215" s="15" t="s">
        <v>27</v>
      </c>
      <c r="E2215" s="15" t="s">
        <v>1254</v>
      </c>
      <c r="F2215" s="15" t="s">
        <v>340</v>
      </c>
      <c r="G2215" s="70">
        <v>977300000</v>
      </c>
      <c r="H2215" s="70">
        <v>0</v>
      </c>
      <c r="I2215" s="70">
        <v>0</v>
      </c>
      <c r="J2215" s="172"/>
      <c r="K2215" s="69"/>
      <c r="L2215" s="69"/>
      <c r="M2215" s="69"/>
      <c r="N2215" s="69"/>
      <c r="O2215" s="69"/>
      <c r="P2215" s="69"/>
      <c r="Q2215" s="69"/>
      <c r="R2215" s="69"/>
    </row>
    <row r="2216" spans="1:18" ht="26.4" hidden="1">
      <c r="A2216" s="16" t="s">
        <v>1255</v>
      </c>
      <c r="B2216" s="49">
        <v>793</v>
      </c>
      <c r="C2216" s="15" t="s">
        <v>167</v>
      </c>
      <c r="D2216" s="15" t="s">
        <v>27</v>
      </c>
      <c r="E2216" s="15" t="s">
        <v>1254</v>
      </c>
      <c r="F2216" s="15"/>
      <c r="G2216" s="70">
        <f>G2217</f>
        <v>0</v>
      </c>
      <c r="H2216" s="70">
        <f t="shared" ref="G2216:I2217" si="604">H2217</f>
        <v>0</v>
      </c>
      <c r="I2216" s="70">
        <f t="shared" si="604"/>
        <v>0</v>
      </c>
      <c r="J2216" s="172"/>
      <c r="K2216" s="69"/>
      <c r="L2216" s="69"/>
      <c r="M2216" s="69"/>
      <c r="N2216" s="69"/>
      <c r="O2216" s="69"/>
      <c r="P2216" s="69"/>
      <c r="Q2216" s="69"/>
      <c r="R2216" s="69"/>
    </row>
    <row r="2217" spans="1:18" ht="26.4" hidden="1">
      <c r="A2217" s="16" t="s">
        <v>94</v>
      </c>
      <c r="B2217" s="49">
        <v>793</v>
      </c>
      <c r="C2217" s="15" t="s">
        <v>167</v>
      </c>
      <c r="D2217" s="15" t="s">
        <v>27</v>
      </c>
      <c r="E2217" s="15" t="s">
        <v>1254</v>
      </c>
      <c r="F2217" s="15" t="s">
        <v>338</v>
      </c>
      <c r="G2217" s="70">
        <f t="shared" si="604"/>
        <v>0</v>
      </c>
      <c r="H2217" s="70">
        <f t="shared" si="604"/>
        <v>0</v>
      </c>
      <c r="I2217" s="70">
        <f t="shared" si="604"/>
        <v>0</v>
      </c>
      <c r="J2217" s="172"/>
      <c r="K2217" s="69"/>
      <c r="L2217" s="69"/>
      <c r="M2217" s="69"/>
      <c r="N2217" s="69"/>
      <c r="O2217" s="69"/>
      <c r="P2217" s="69"/>
      <c r="Q2217" s="69"/>
      <c r="R2217" s="69"/>
    </row>
    <row r="2218" spans="1:18" hidden="1">
      <c r="A2218" s="16" t="s">
        <v>339</v>
      </c>
      <c r="B2218" s="49">
        <v>793</v>
      </c>
      <c r="C2218" s="15" t="s">
        <v>167</v>
      </c>
      <c r="D2218" s="15" t="s">
        <v>27</v>
      </c>
      <c r="E2218" s="15" t="s">
        <v>1254</v>
      </c>
      <c r="F2218" s="15" t="s">
        <v>340</v>
      </c>
      <c r="G2218" s="70">
        <f>692816.76-96955.76-190000-405861</f>
        <v>0</v>
      </c>
      <c r="H2218" s="70">
        <v>0</v>
      </c>
      <c r="I2218" s="70">
        <v>0</v>
      </c>
      <c r="J2218" s="172"/>
      <c r="K2218" s="69"/>
      <c r="L2218" s="69"/>
      <c r="M2218" s="69"/>
      <c r="N2218" s="69"/>
      <c r="O2218" s="69"/>
      <c r="P2218" s="69"/>
      <c r="Q2218" s="69"/>
      <c r="R2218" s="69"/>
    </row>
    <row r="2219" spans="1:18" ht="39.6">
      <c r="A2219" s="16" t="s">
        <v>1379</v>
      </c>
      <c r="B2219" s="49">
        <v>793</v>
      </c>
      <c r="C2219" s="15" t="s">
        <v>167</v>
      </c>
      <c r="D2219" s="15" t="s">
        <v>27</v>
      </c>
      <c r="E2219" s="15" t="s">
        <v>1378</v>
      </c>
      <c r="F2219" s="15"/>
      <c r="G2219" s="70">
        <f>G2220</f>
        <v>20000</v>
      </c>
      <c r="H2219" s="70">
        <f t="shared" ref="G2219:I2220" si="605">H2220</f>
        <v>0</v>
      </c>
      <c r="I2219" s="70">
        <f t="shared" si="605"/>
        <v>0</v>
      </c>
      <c r="J2219" s="172"/>
      <c r="K2219" s="69"/>
      <c r="L2219" s="69"/>
      <c r="M2219" s="69"/>
      <c r="N2219" s="69"/>
      <c r="O2219" s="69"/>
      <c r="P2219" s="69"/>
      <c r="Q2219" s="69"/>
      <c r="R2219" s="69"/>
    </row>
    <row r="2220" spans="1:18" ht="26.4">
      <c r="A2220" s="16" t="s">
        <v>35</v>
      </c>
      <c r="B2220" s="49">
        <v>793</v>
      </c>
      <c r="C2220" s="15" t="s">
        <v>167</v>
      </c>
      <c r="D2220" s="15" t="s">
        <v>27</v>
      </c>
      <c r="E2220" s="15" t="s">
        <v>1378</v>
      </c>
      <c r="F2220" s="15" t="s">
        <v>36</v>
      </c>
      <c r="G2220" s="70">
        <f t="shared" si="605"/>
        <v>20000</v>
      </c>
      <c r="H2220" s="70">
        <f t="shared" si="605"/>
        <v>0</v>
      </c>
      <c r="I2220" s="70">
        <f t="shared" si="605"/>
        <v>0</v>
      </c>
      <c r="J2220" s="172"/>
      <c r="K2220" s="69"/>
      <c r="L2220" s="69"/>
      <c r="M2220" s="69"/>
      <c r="N2220" s="69"/>
      <c r="O2220" s="69"/>
      <c r="P2220" s="69"/>
      <c r="Q2220" s="69"/>
      <c r="R2220" s="69"/>
    </row>
    <row r="2221" spans="1:18" ht="26.4">
      <c r="A2221" s="16" t="s">
        <v>37</v>
      </c>
      <c r="B2221" s="49">
        <v>793</v>
      </c>
      <c r="C2221" s="15" t="s">
        <v>167</v>
      </c>
      <c r="D2221" s="15" t="s">
        <v>27</v>
      </c>
      <c r="E2221" s="15" t="s">
        <v>1378</v>
      </c>
      <c r="F2221" s="15" t="s">
        <v>38</v>
      </c>
      <c r="G2221" s="70">
        <v>20000</v>
      </c>
      <c r="H2221" s="70">
        <v>0</v>
      </c>
      <c r="I2221" s="70">
        <v>0</v>
      </c>
      <c r="J2221" s="172"/>
      <c r="K2221" s="69"/>
      <c r="L2221" s="69"/>
      <c r="M2221" s="69"/>
      <c r="N2221" s="69"/>
      <c r="O2221" s="69"/>
      <c r="P2221" s="69"/>
      <c r="Q2221" s="69"/>
      <c r="R2221" s="69"/>
    </row>
    <row r="2222" spans="1:18" s="18" customFormat="1" ht="110.25" hidden="1" customHeight="1">
      <c r="A2222" s="16" t="s">
        <v>1393</v>
      </c>
      <c r="B2222" s="49">
        <v>793</v>
      </c>
      <c r="C2222" s="15" t="s">
        <v>167</v>
      </c>
      <c r="D2222" s="15" t="s">
        <v>27</v>
      </c>
      <c r="E2222" s="15" t="s">
        <v>1083</v>
      </c>
      <c r="F2222" s="15"/>
      <c r="G2222" s="70">
        <f>G2223</f>
        <v>0</v>
      </c>
      <c r="H2222" s="70">
        <f t="shared" ref="H2222:I2222" si="606">H2223</f>
        <v>0</v>
      </c>
      <c r="I2222" s="70">
        <f t="shared" si="606"/>
        <v>0</v>
      </c>
      <c r="J2222" s="172"/>
      <c r="K2222" s="180"/>
      <c r="L2222" s="180"/>
      <c r="M2222" s="180"/>
      <c r="N2222" s="180"/>
      <c r="O2222" s="180"/>
      <c r="P2222" s="180"/>
      <c r="Q2222" s="180"/>
      <c r="R2222" s="180"/>
    </row>
    <row r="2223" spans="1:18" ht="30.75" hidden="1" customHeight="1">
      <c r="A2223" s="16" t="s">
        <v>35</v>
      </c>
      <c r="B2223" s="49">
        <v>793</v>
      </c>
      <c r="C2223" s="15" t="s">
        <v>167</v>
      </c>
      <c r="D2223" s="15" t="s">
        <v>27</v>
      </c>
      <c r="E2223" s="15" t="s">
        <v>1083</v>
      </c>
      <c r="F2223" s="15" t="s">
        <v>36</v>
      </c>
      <c r="G2223" s="70">
        <f t="shared" ref="G2223:I2227" si="607">G2224</f>
        <v>0</v>
      </c>
      <c r="H2223" s="70">
        <f t="shared" si="607"/>
        <v>0</v>
      </c>
      <c r="I2223" s="70">
        <f t="shared" si="607"/>
        <v>0</v>
      </c>
      <c r="J2223" s="172"/>
      <c r="K2223" s="69"/>
      <c r="L2223" s="69"/>
      <c r="M2223" s="69"/>
      <c r="N2223" s="69"/>
      <c r="O2223" s="69"/>
      <c r="P2223" s="69"/>
      <c r="Q2223" s="69"/>
      <c r="R2223" s="69"/>
    </row>
    <row r="2224" spans="1:18" s="18" customFormat="1" ht="34.5" hidden="1" customHeight="1">
      <c r="A2224" s="16" t="s">
        <v>37</v>
      </c>
      <c r="B2224" s="49">
        <v>793</v>
      </c>
      <c r="C2224" s="15" t="s">
        <v>167</v>
      </c>
      <c r="D2224" s="15" t="s">
        <v>27</v>
      </c>
      <c r="E2224" s="15" t="s">
        <v>1083</v>
      </c>
      <c r="F2224" s="15" t="s">
        <v>38</v>
      </c>
      <c r="G2224" s="70">
        <f>1300000+1461380-2761380</f>
        <v>0</v>
      </c>
      <c r="H2224" s="70">
        <v>0</v>
      </c>
      <c r="I2224" s="70">
        <v>0</v>
      </c>
      <c r="J2224" s="172"/>
      <c r="K2224" s="180"/>
      <c r="L2224" s="180"/>
      <c r="M2224" s="180"/>
      <c r="N2224" s="180"/>
      <c r="O2224" s="180"/>
      <c r="P2224" s="180"/>
      <c r="Q2224" s="180"/>
      <c r="R2224" s="180"/>
    </row>
    <row r="2225" spans="1:18" s="18" customFormat="1" ht="39" hidden="1" customHeight="1">
      <c r="A2225" s="82" t="s">
        <v>1197</v>
      </c>
      <c r="B2225" s="49">
        <v>793</v>
      </c>
      <c r="C2225" s="15" t="s">
        <v>167</v>
      </c>
      <c r="D2225" s="15" t="s">
        <v>27</v>
      </c>
      <c r="E2225" s="15" t="s">
        <v>1084</v>
      </c>
      <c r="F2225" s="15"/>
      <c r="G2225" s="70">
        <f>G2227</f>
        <v>0</v>
      </c>
      <c r="H2225" s="70">
        <f>H2227</f>
        <v>0</v>
      </c>
      <c r="I2225" s="70">
        <f>I2227</f>
        <v>0</v>
      </c>
      <c r="J2225" s="172"/>
      <c r="K2225" s="180"/>
      <c r="L2225" s="180"/>
      <c r="M2225" s="180"/>
      <c r="N2225" s="180"/>
      <c r="O2225" s="180"/>
      <c r="P2225" s="180"/>
      <c r="Q2225" s="180"/>
      <c r="R2225" s="180"/>
    </row>
    <row r="2226" spans="1:18" s="18" customFormat="1" ht="39" hidden="1" customHeight="1">
      <c r="A2226" s="82" t="s">
        <v>1198</v>
      </c>
      <c r="B2226" s="49">
        <v>793</v>
      </c>
      <c r="C2226" s="15" t="s">
        <v>167</v>
      </c>
      <c r="D2226" s="15" t="s">
        <v>27</v>
      </c>
      <c r="E2226" s="15" t="s">
        <v>1084</v>
      </c>
      <c r="F2226" s="15"/>
      <c r="G2226" s="70">
        <f>G2227</f>
        <v>0</v>
      </c>
      <c r="H2226" s="70">
        <f t="shared" ref="H2226:I2226" si="608">H2227</f>
        <v>0</v>
      </c>
      <c r="I2226" s="70">
        <f t="shared" si="608"/>
        <v>0</v>
      </c>
      <c r="J2226" s="172"/>
      <c r="K2226" s="180"/>
      <c r="L2226" s="180"/>
      <c r="M2226" s="180"/>
      <c r="N2226" s="180"/>
      <c r="O2226" s="180"/>
      <c r="P2226" s="180"/>
      <c r="Q2226" s="180"/>
      <c r="R2226" s="180"/>
    </row>
    <row r="2227" spans="1:18" ht="30.75" hidden="1" customHeight="1">
      <c r="A2227" s="16" t="s">
        <v>35</v>
      </c>
      <c r="B2227" s="49">
        <v>793</v>
      </c>
      <c r="C2227" s="15" t="s">
        <v>167</v>
      </c>
      <c r="D2227" s="15" t="s">
        <v>27</v>
      </c>
      <c r="E2227" s="15" t="s">
        <v>1084</v>
      </c>
      <c r="F2227" s="15" t="s">
        <v>36</v>
      </c>
      <c r="G2227" s="70">
        <f t="shared" si="607"/>
        <v>0</v>
      </c>
      <c r="H2227" s="70">
        <f t="shared" si="607"/>
        <v>0</v>
      </c>
      <c r="I2227" s="70">
        <f t="shared" si="607"/>
        <v>0</v>
      </c>
      <c r="J2227" s="172"/>
      <c r="K2227" s="69"/>
      <c r="L2227" s="69"/>
      <c r="M2227" s="69"/>
      <c r="N2227" s="69"/>
      <c r="O2227" s="69"/>
      <c r="P2227" s="69"/>
      <c r="Q2227" s="69"/>
      <c r="R2227" s="69"/>
    </row>
    <row r="2228" spans="1:18" s="18" customFormat="1" ht="34.5" hidden="1" customHeight="1">
      <c r="A2228" s="16" t="s">
        <v>37</v>
      </c>
      <c r="B2228" s="49">
        <v>793</v>
      </c>
      <c r="C2228" s="15" t="s">
        <v>167</v>
      </c>
      <c r="D2228" s="15" t="s">
        <v>27</v>
      </c>
      <c r="E2228" s="15" t="s">
        <v>1084</v>
      </c>
      <c r="F2228" s="15" t="s">
        <v>38</v>
      </c>
      <c r="G2228" s="70">
        <f>200000-200000</f>
        <v>0</v>
      </c>
      <c r="H2228" s="70">
        <v>0</v>
      </c>
      <c r="I2228" s="70">
        <v>0</v>
      </c>
      <c r="J2228" s="172"/>
      <c r="K2228" s="180"/>
      <c r="L2228" s="180"/>
      <c r="M2228" s="180"/>
      <c r="N2228" s="180"/>
      <c r="O2228" s="180"/>
      <c r="P2228" s="180"/>
      <c r="Q2228" s="180"/>
      <c r="R2228" s="180"/>
    </row>
    <row r="2229" spans="1:18" s="18" customFormat="1" ht="58.5" hidden="1" customHeight="1">
      <c r="A2229" s="82" t="s">
        <v>1165</v>
      </c>
      <c r="B2229" s="49">
        <v>793</v>
      </c>
      <c r="C2229" s="15" t="s">
        <v>167</v>
      </c>
      <c r="D2229" s="15" t="s">
        <v>27</v>
      </c>
      <c r="E2229" s="15" t="s">
        <v>1087</v>
      </c>
      <c r="F2229" s="15"/>
      <c r="G2229" s="70">
        <f>G2230+G2233</f>
        <v>0</v>
      </c>
      <c r="H2229" s="70">
        <f t="shared" ref="H2229" si="609">H2230</f>
        <v>0</v>
      </c>
      <c r="I2229" s="70">
        <f t="shared" ref="I2229" si="610">I2230</f>
        <v>0</v>
      </c>
      <c r="J2229" s="172"/>
      <c r="K2229" s="180"/>
      <c r="L2229" s="180"/>
      <c r="M2229" s="180"/>
      <c r="N2229" s="180"/>
      <c r="O2229" s="180"/>
      <c r="P2229" s="180"/>
      <c r="Q2229" s="180"/>
      <c r="R2229" s="180"/>
    </row>
    <row r="2230" spans="1:18" ht="30.75" hidden="1" customHeight="1">
      <c r="A2230" s="16" t="s">
        <v>35</v>
      </c>
      <c r="B2230" s="49">
        <v>793</v>
      </c>
      <c r="C2230" s="15" t="s">
        <v>167</v>
      </c>
      <c r="D2230" s="15" t="s">
        <v>27</v>
      </c>
      <c r="E2230" s="15" t="s">
        <v>1087</v>
      </c>
      <c r="F2230" s="15" t="s">
        <v>36</v>
      </c>
      <c r="G2230" s="70">
        <f t="shared" ref="G2230:I2230" si="611">G2231</f>
        <v>0</v>
      </c>
      <c r="H2230" s="70">
        <f t="shared" si="611"/>
        <v>0</v>
      </c>
      <c r="I2230" s="70">
        <f t="shared" si="611"/>
        <v>0</v>
      </c>
      <c r="J2230" s="172"/>
      <c r="K2230" s="69"/>
      <c r="L2230" s="69"/>
      <c r="M2230" s="69"/>
      <c r="N2230" s="69"/>
      <c r="O2230" s="69"/>
      <c r="P2230" s="69"/>
      <c r="Q2230" s="69"/>
      <c r="R2230" s="69"/>
    </row>
    <row r="2231" spans="1:18" s="18" customFormat="1" ht="34.5" hidden="1" customHeight="1">
      <c r="A2231" s="16" t="s">
        <v>37</v>
      </c>
      <c r="B2231" s="49">
        <v>793</v>
      </c>
      <c r="C2231" s="15" t="s">
        <v>167</v>
      </c>
      <c r="D2231" s="15" t="s">
        <v>27</v>
      </c>
      <c r="E2231" s="15" t="s">
        <v>1087</v>
      </c>
      <c r="F2231" s="15" t="s">
        <v>38</v>
      </c>
      <c r="G2231" s="70">
        <f>5000000-5000000</f>
        <v>0</v>
      </c>
      <c r="H2231" s="70">
        <v>0</v>
      </c>
      <c r="I2231" s="70">
        <v>0</v>
      </c>
      <c r="J2231" s="172"/>
      <c r="K2231" s="180"/>
      <c r="L2231" s="180"/>
      <c r="M2231" s="180"/>
      <c r="N2231" s="180"/>
      <c r="O2231" s="180"/>
      <c r="P2231" s="180"/>
      <c r="Q2231" s="180"/>
      <c r="R2231" s="180"/>
    </row>
    <row r="2232" spans="1:18" s="18" customFormat="1" ht="39" hidden="1" customHeight="1">
      <c r="A2232" s="16" t="s">
        <v>1090</v>
      </c>
      <c r="B2232" s="49">
        <v>793</v>
      </c>
      <c r="C2232" s="15" t="s">
        <v>167</v>
      </c>
      <c r="D2232" s="15" t="s">
        <v>27</v>
      </c>
      <c r="E2232" s="15" t="s">
        <v>1089</v>
      </c>
      <c r="F2232" s="15"/>
      <c r="G2232" s="70">
        <f>G2236</f>
        <v>0</v>
      </c>
      <c r="H2232" s="70">
        <f>H2236</f>
        <v>0</v>
      </c>
      <c r="I2232" s="70">
        <f>I2236</f>
        <v>0</v>
      </c>
      <c r="J2232" s="172"/>
      <c r="K2232" s="180"/>
      <c r="L2232" s="180"/>
      <c r="M2232" s="180"/>
      <c r="N2232" s="180"/>
      <c r="O2232" s="180"/>
      <c r="P2232" s="180"/>
      <c r="Q2232" s="180"/>
      <c r="R2232" s="180"/>
    </row>
    <row r="2233" spans="1:18" ht="30.75" hidden="1" customHeight="1">
      <c r="A2233" s="16" t="s">
        <v>94</v>
      </c>
      <c r="B2233" s="49">
        <v>793</v>
      </c>
      <c r="C2233" s="15" t="s">
        <v>167</v>
      </c>
      <c r="D2233" s="15" t="s">
        <v>27</v>
      </c>
      <c r="E2233" s="15" t="s">
        <v>1087</v>
      </c>
      <c r="F2233" s="15" t="s">
        <v>338</v>
      </c>
      <c r="G2233" s="70">
        <f t="shared" ref="G2233:I2233" si="612">G2234</f>
        <v>0</v>
      </c>
      <c r="H2233" s="70">
        <f t="shared" si="612"/>
        <v>0</v>
      </c>
      <c r="I2233" s="70">
        <f t="shared" si="612"/>
        <v>0</v>
      </c>
      <c r="J2233" s="172"/>
      <c r="K2233" s="69"/>
      <c r="L2233" s="69"/>
      <c r="M2233" s="69"/>
      <c r="N2233" s="69"/>
      <c r="O2233" s="69"/>
      <c r="P2233" s="69"/>
      <c r="Q2233" s="69"/>
      <c r="R2233" s="69"/>
    </row>
    <row r="2234" spans="1:18" s="18" customFormat="1" ht="34.5" hidden="1" customHeight="1">
      <c r="A2234" s="16" t="s">
        <v>339</v>
      </c>
      <c r="B2234" s="49">
        <v>793</v>
      </c>
      <c r="C2234" s="15" t="s">
        <v>167</v>
      </c>
      <c r="D2234" s="15" t="s">
        <v>27</v>
      </c>
      <c r="E2234" s="15" t="s">
        <v>1087</v>
      </c>
      <c r="F2234" s="15" t="s">
        <v>340</v>
      </c>
      <c r="G2234" s="70">
        <f>5000000-5000000</f>
        <v>0</v>
      </c>
      <c r="H2234" s="70">
        <v>0</v>
      </c>
      <c r="I2234" s="70">
        <v>0</v>
      </c>
      <c r="J2234" s="172"/>
      <c r="K2234" s="180"/>
      <c r="L2234" s="180"/>
      <c r="M2234" s="180"/>
      <c r="N2234" s="180"/>
      <c r="O2234" s="180"/>
      <c r="P2234" s="180"/>
      <c r="Q2234" s="180"/>
      <c r="R2234" s="180"/>
    </row>
    <row r="2235" spans="1:18" s="18" customFormat="1" ht="42" hidden="1" customHeight="1">
      <c r="A2235" s="351" t="s">
        <v>1199</v>
      </c>
      <c r="B2235" s="49">
        <v>793</v>
      </c>
      <c r="C2235" s="15" t="s">
        <v>167</v>
      </c>
      <c r="D2235" s="15" t="s">
        <v>27</v>
      </c>
      <c r="E2235" s="15" t="s">
        <v>1089</v>
      </c>
      <c r="F2235" s="15"/>
      <c r="G2235" s="70">
        <f>G2236</f>
        <v>0</v>
      </c>
      <c r="H2235" s="70">
        <f t="shared" ref="H2235" si="613">H2236</f>
        <v>0</v>
      </c>
      <c r="I2235" s="70">
        <f t="shared" ref="I2235" si="614">I2236</f>
        <v>0</v>
      </c>
      <c r="J2235" s="172"/>
      <c r="K2235" s="180"/>
      <c r="L2235" s="180"/>
      <c r="M2235" s="180"/>
      <c r="N2235" s="180"/>
      <c r="O2235" s="180"/>
      <c r="P2235" s="180"/>
      <c r="Q2235" s="180"/>
      <c r="R2235" s="180"/>
    </row>
    <row r="2236" spans="1:18" ht="30.75" hidden="1" customHeight="1">
      <c r="A2236" s="16" t="s">
        <v>35</v>
      </c>
      <c r="B2236" s="49">
        <v>793</v>
      </c>
      <c r="C2236" s="15" t="s">
        <v>167</v>
      </c>
      <c r="D2236" s="15" t="s">
        <v>27</v>
      </c>
      <c r="E2236" s="15" t="s">
        <v>1089</v>
      </c>
      <c r="F2236" s="15" t="s">
        <v>36</v>
      </c>
      <c r="G2236" s="70">
        <f t="shared" ref="G2236:I2236" si="615">G2237</f>
        <v>0</v>
      </c>
      <c r="H2236" s="70">
        <f t="shared" si="615"/>
        <v>0</v>
      </c>
      <c r="I2236" s="70">
        <f t="shared" si="615"/>
        <v>0</v>
      </c>
      <c r="J2236" s="172"/>
      <c r="K2236" s="69"/>
      <c r="L2236" s="69"/>
      <c r="M2236" s="69"/>
      <c r="N2236" s="69"/>
      <c r="O2236" s="69"/>
      <c r="P2236" s="69"/>
      <c r="Q2236" s="69"/>
      <c r="R2236" s="69"/>
    </row>
    <row r="2237" spans="1:18" s="18" customFormat="1" ht="34.5" hidden="1" customHeight="1">
      <c r="A2237" s="16" t="s">
        <v>37</v>
      </c>
      <c r="B2237" s="49">
        <v>793</v>
      </c>
      <c r="C2237" s="15" t="s">
        <v>167</v>
      </c>
      <c r="D2237" s="15" t="s">
        <v>27</v>
      </c>
      <c r="E2237" s="15" t="s">
        <v>1089</v>
      </c>
      <c r="F2237" s="15" t="s">
        <v>38</v>
      </c>
      <c r="G2237" s="70">
        <f>2000000-2000000</f>
        <v>0</v>
      </c>
      <c r="H2237" s="70">
        <v>0</v>
      </c>
      <c r="I2237" s="70">
        <v>0</v>
      </c>
      <c r="J2237" s="172"/>
      <c r="K2237" s="180"/>
      <c r="L2237" s="180"/>
      <c r="M2237" s="180"/>
      <c r="N2237" s="180"/>
      <c r="O2237" s="180"/>
      <c r="P2237" s="180"/>
      <c r="Q2237" s="180"/>
      <c r="R2237" s="180"/>
    </row>
    <row r="2238" spans="1:18" s="3" customFormat="1" ht="67.5" hidden="1" customHeight="1">
      <c r="A2238" s="16" t="s">
        <v>313</v>
      </c>
      <c r="B2238" s="49">
        <v>793</v>
      </c>
      <c r="C2238" s="15" t="s">
        <v>167</v>
      </c>
      <c r="D2238" s="15" t="s">
        <v>27</v>
      </c>
      <c r="E2238" s="15" t="s">
        <v>314</v>
      </c>
      <c r="F2238" s="15"/>
      <c r="G2238" s="70">
        <f>G2242+G2240</f>
        <v>0</v>
      </c>
      <c r="H2238" s="70">
        <f>H2242+H2240</f>
        <v>0</v>
      </c>
      <c r="I2238" s="70">
        <f>I2242+I2240</f>
        <v>0</v>
      </c>
      <c r="J2238" s="172"/>
      <c r="K2238" s="62"/>
      <c r="L2238" s="62"/>
      <c r="M2238" s="62"/>
      <c r="N2238" s="62"/>
      <c r="O2238" s="62"/>
      <c r="P2238" s="62"/>
      <c r="Q2238" s="62"/>
      <c r="R2238" s="62"/>
    </row>
    <row r="2239" spans="1:18" ht="26.4" hidden="1">
      <c r="A2239" s="16" t="s">
        <v>35</v>
      </c>
      <c r="B2239" s="49">
        <v>793</v>
      </c>
      <c r="C2239" s="15" t="s">
        <v>167</v>
      </c>
      <c r="D2239" s="15" t="s">
        <v>27</v>
      </c>
      <c r="E2239" s="15" t="s">
        <v>314</v>
      </c>
      <c r="F2239" s="15" t="s">
        <v>36</v>
      </c>
      <c r="G2239" s="70">
        <f>G2240</f>
        <v>0</v>
      </c>
      <c r="H2239" s="70">
        <f>H2240</f>
        <v>0</v>
      </c>
      <c r="I2239" s="70">
        <f>I2240</f>
        <v>0</v>
      </c>
      <c r="J2239" s="172"/>
      <c r="K2239" s="69"/>
      <c r="L2239" s="69"/>
      <c r="M2239" s="69"/>
      <c r="N2239" s="69"/>
      <c r="O2239" s="69"/>
      <c r="P2239" s="69"/>
      <c r="Q2239" s="69"/>
      <c r="R2239" s="69"/>
    </row>
    <row r="2240" spans="1:18" ht="26.4" hidden="1">
      <c r="A2240" s="16" t="s">
        <v>37</v>
      </c>
      <c r="B2240" s="49">
        <v>793</v>
      </c>
      <c r="C2240" s="15" t="s">
        <v>167</v>
      </c>
      <c r="D2240" s="15" t="s">
        <v>27</v>
      </c>
      <c r="E2240" s="15" t="s">
        <v>314</v>
      </c>
      <c r="F2240" s="15" t="s">
        <v>38</v>
      </c>
      <c r="G2240" s="70"/>
      <c r="H2240" s="70"/>
      <c r="I2240" s="70"/>
      <c r="J2240" s="172"/>
      <c r="K2240" s="69"/>
      <c r="L2240" s="69"/>
      <c r="M2240" s="69"/>
      <c r="N2240" s="69"/>
      <c r="O2240" s="69"/>
      <c r="P2240" s="69"/>
      <c r="Q2240" s="69"/>
      <c r="R2240" s="69"/>
    </row>
    <row r="2241" spans="1:18" hidden="1">
      <c r="A2241" s="16" t="s">
        <v>152</v>
      </c>
      <c r="B2241" s="49">
        <v>793</v>
      </c>
      <c r="C2241" s="15" t="s">
        <v>167</v>
      </c>
      <c r="D2241" s="15" t="s">
        <v>27</v>
      </c>
      <c r="E2241" s="15" t="s">
        <v>314</v>
      </c>
      <c r="F2241" s="15" t="s">
        <v>153</v>
      </c>
      <c r="G2241" s="70">
        <f>G2242</f>
        <v>0</v>
      </c>
      <c r="H2241" s="70">
        <f>H2242</f>
        <v>0</v>
      </c>
      <c r="I2241" s="70">
        <f>I2242</f>
        <v>0</v>
      </c>
      <c r="J2241" s="172"/>
      <c r="K2241" s="69"/>
      <c r="L2241" s="69"/>
      <c r="M2241" s="69"/>
      <c r="N2241" s="69"/>
      <c r="O2241" s="69"/>
      <c r="P2241" s="69"/>
      <c r="Q2241" s="69"/>
      <c r="R2241" s="69"/>
    </row>
    <row r="2242" spans="1:18" hidden="1">
      <c r="A2242" s="16" t="s">
        <v>172</v>
      </c>
      <c r="B2242" s="49">
        <v>793</v>
      </c>
      <c r="C2242" s="15" t="s">
        <v>167</v>
      </c>
      <c r="D2242" s="15" t="s">
        <v>27</v>
      </c>
      <c r="E2242" s="15" t="s">
        <v>314</v>
      </c>
      <c r="F2242" s="15" t="s">
        <v>173</v>
      </c>
      <c r="G2242" s="70"/>
      <c r="H2242" s="70"/>
      <c r="I2242" s="70"/>
      <c r="J2242" s="172"/>
      <c r="K2242" s="69"/>
      <c r="L2242" s="69"/>
      <c r="M2242" s="69"/>
      <c r="N2242" s="69"/>
      <c r="O2242" s="69"/>
      <c r="P2242" s="69"/>
      <c r="Q2242" s="69"/>
      <c r="R2242" s="69"/>
    </row>
    <row r="2243" spans="1:18" ht="44.25" hidden="1" customHeight="1">
      <c r="A2243" s="16" t="s">
        <v>774</v>
      </c>
      <c r="B2243" s="49">
        <v>793</v>
      </c>
      <c r="C2243" s="15" t="s">
        <v>167</v>
      </c>
      <c r="D2243" s="15" t="s">
        <v>27</v>
      </c>
      <c r="E2243" s="15" t="s">
        <v>773</v>
      </c>
      <c r="F2243" s="15"/>
      <c r="G2243" s="70">
        <f t="shared" ref="G2243:I2253" si="616">G2244</f>
        <v>0</v>
      </c>
      <c r="H2243" s="70">
        <f t="shared" si="616"/>
        <v>0</v>
      </c>
      <c r="I2243" s="70">
        <f t="shared" si="616"/>
        <v>0</v>
      </c>
      <c r="J2243" s="172"/>
      <c r="K2243" s="69"/>
      <c r="L2243" s="69"/>
      <c r="M2243" s="69"/>
      <c r="N2243" s="69"/>
      <c r="O2243" s="69"/>
      <c r="P2243" s="69"/>
      <c r="Q2243" s="69"/>
      <c r="R2243" s="69"/>
    </row>
    <row r="2244" spans="1:18" ht="34.5" hidden="1" customHeight="1">
      <c r="A2244" s="16" t="s">
        <v>35</v>
      </c>
      <c r="B2244" s="49">
        <v>793</v>
      </c>
      <c r="C2244" s="15" t="s">
        <v>167</v>
      </c>
      <c r="D2244" s="15" t="s">
        <v>27</v>
      </c>
      <c r="E2244" s="15" t="s">
        <v>773</v>
      </c>
      <c r="F2244" s="15" t="s">
        <v>338</v>
      </c>
      <c r="G2244" s="70">
        <f t="shared" si="616"/>
        <v>0</v>
      </c>
      <c r="H2244" s="70">
        <f t="shared" si="616"/>
        <v>0</v>
      </c>
      <c r="I2244" s="70">
        <f t="shared" si="616"/>
        <v>0</v>
      </c>
      <c r="J2244" s="172"/>
      <c r="K2244" s="69"/>
      <c r="L2244" s="69"/>
      <c r="M2244" s="69"/>
      <c r="N2244" s="69"/>
      <c r="O2244" s="69"/>
      <c r="P2244" s="69"/>
      <c r="Q2244" s="69"/>
      <c r="R2244" s="69"/>
    </row>
    <row r="2245" spans="1:18" ht="34.5" hidden="1" customHeight="1">
      <c r="A2245" s="16" t="s">
        <v>37</v>
      </c>
      <c r="B2245" s="49">
        <v>793</v>
      </c>
      <c r="C2245" s="15" t="s">
        <v>167</v>
      </c>
      <c r="D2245" s="15" t="s">
        <v>27</v>
      </c>
      <c r="E2245" s="15" t="s">
        <v>773</v>
      </c>
      <c r="F2245" s="15" t="s">
        <v>340</v>
      </c>
      <c r="G2245" s="70"/>
      <c r="H2245" s="70"/>
      <c r="I2245" s="70"/>
      <c r="J2245" s="172"/>
      <c r="K2245" s="69"/>
      <c r="L2245" s="69"/>
      <c r="M2245" s="69"/>
      <c r="N2245" s="69"/>
      <c r="O2245" s="69"/>
      <c r="P2245" s="69"/>
      <c r="Q2245" s="69"/>
      <c r="R2245" s="69"/>
    </row>
    <row r="2246" spans="1:18" ht="44.25" hidden="1" customHeight="1">
      <c r="A2246" s="16" t="s">
        <v>776</v>
      </c>
      <c r="B2246" s="49">
        <v>793</v>
      </c>
      <c r="C2246" s="15" t="s">
        <v>167</v>
      </c>
      <c r="D2246" s="15" t="s">
        <v>27</v>
      </c>
      <c r="E2246" s="15" t="s">
        <v>775</v>
      </c>
      <c r="F2246" s="15"/>
      <c r="G2246" s="70">
        <f t="shared" si="616"/>
        <v>0</v>
      </c>
      <c r="H2246" s="70">
        <f t="shared" si="616"/>
        <v>0</v>
      </c>
      <c r="I2246" s="70">
        <f t="shared" si="616"/>
        <v>0</v>
      </c>
      <c r="J2246" s="172"/>
      <c r="K2246" s="69"/>
      <c r="L2246" s="69"/>
      <c r="M2246" s="69"/>
      <c r="N2246" s="69"/>
      <c r="O2246" s="69"/>
      <c r="P2246" s="69"/>
      <c r="Q2246" s="69"/>
      <c r="R2246" s="69"/>
    </row>
    <row r="2247" spans="1:18" ht="34.5" hidden="1" customHeight="1">
      <c r="A2247" s="16" t="s">
        <v>35</v>
      </c>
      <c r="B2247" s="49">
        <v>793</v>
      </c>
      <c r="C2247" s="15" t="s">
        <v>167</v>
      </c>
      <c r="D2247" s="15" t="s">
        <v>27</v>
      </c>
      <c r="E2247" s="15" t="s">
        <v>775</v>
      </c>
      <c r="F2247" s="15" t="s">
        <v>338</v>
      </c>
      <c r="G2247" s="70">
        <f t="shared" si="616"/>
        <v>0</v>
      </c>
      <c r="H2247" s="70">
        <f t="shared" si="616"/>
        <v>0</v>
      </c>
      <c r="I2247" s="70">
        <f t="shared" si="616"/>
        <v>0</v>
      </c>
      <c r="J2247" s="172"/>
      <c r="K2247" s="69"/>
      <c r="L2247" s="69"/>
      <c r="M2247" s="69"/>
      <c r="N2247" s="69"/>
      <c r="O2247" s="69"/>
      <c r="P2247" s="69"/>
      <c r="Q2247" s="69"/>
      <c r="R2247" s="69"/>
    </row>
    <row r="2248" spans="1:18" ht="34.5" hidden="1" customHeight="1">
      <c r="A2248" s="16" t="s">
        <v>37</v>
      </c>
      <c r="B2248" s="49">
        <v>793</v>
      </c>
      <c r="C2248" s="15" t="s">
        <v>167</v>
      </c>
      <c r="D2248" s="15" t="s">
        <v>27</v>
      </c>
      <c r="E2248" s="15" t="s">
        <v>775</v>
      </c>
      <c r="F2248" s="15" t="s">
        <v>340</v>
      </c>
      <c r="G2248" s="70"/>
      <c r="H2248" s="70"/>
      <c r="I2248" s="70"/>
      <c r="J2248" s="172"/>
      <c r="K2248" s="69"/>
      <c r="L2248" s="69"/>
      <c r="M2248" s="69"/>
      <c r="N2248" s="69"/>
      <c r="O2248" s="69"/>
      <c r="P2248" s="69"/>
      <c r="Q2248" s="69"/>
      <c r="R2248" s="69"/>
    </row>
    <row r="2249" spans="1:18" ht="44.25" hidden="1" customHeight="1">
      <c r="A2249" s="16" t="s">
        <v>778</v>
      </c>
      <c r="B2249" s="49">
        <v>793</v>
      </c>
      <c r="C2249" s="15" t="s">
        <v>167</v>
      </c>
      <c r="D2249" s="15" t="s">
        <v>27</v>
      </c>
      <c r="E2249" s="15" t="s">
        <v>777</v>
      </c>
      <c r="F2249" s="15"/>
      <c r="G2249" s="70">
        <f t="shared" si="616"/>
        <v>0</v>
      </c>
      <c r="H2249" s="70">
        <f t="shared" si="616"/>
        <v>0</v>
      </c>
      <c r="I2249" s="70">
        <f t="shared" si="616"/>
        <v>0</v>
      </c>
      <c r="J2249" s="172"/>
      <c r="K2249" s="69"/>
      <c r="L2249" s="69"/>
      <c r="M2249" s="69"/>
      <c r="N2249" s="69"/>
      <c r="O2249" s="69"/>
      <c r="P2249" s="69"/>
      <c r="Q2249" s="69"/>
      <c r="R2249" s="69"/>
    </row>
    <row r="2250" spans="1:18" ht="34.5" hidden="1" customHeight="1">
      <c r="A2250" s="16" t="s">
        <v>35</v>
      </c>
      <c r="B2250" s="49">
        <v>793</v>
      </c>
      <c r="C2250" s="15" t="s">
        <v>167</v>
      </c>
      <c r="D2250" s="15" t="s">
        <v>27</v>
      </c>
      <c r="E2250" s="15" t="s">
        <v>777</v>
      </c>
      <c r="F2250" s="15" t="s">
        <v>338</v>
      </c>
      <c r="G2250" s="70">
        <f t="shared" si="616"/>
        <v>0</v>
      </c>
      <c r="H2250" s="70">
        <f t="shared" si="616"/>
        <v>0</v>
      </c>
      <c r="I2250" s="70">
        <f t="shared" si="616"/>
        <v>0</v>
      </c>
      <c r="J2250" s="172"/>
      <c r="K2250" s="69"/>
      <c r="L2250" s="69"/>
      <c r="M2250" s="69"/>
      <c r="N2250" s="69"/>
      <c r="O2250" s="69"/>
      <c r="P2250" s="69"/>
      <c r="Q2250" s="69"/>
      <c r="R2250" s="69"/>
    </row>
    <row r="2251" spans="1:18" ht="34.5" hidden="1" customHeight="1">
      <c r="A2251" s="16" t="s">
        <v>37</v>
      </c>
      <c r="B2251" s="49">
        <v>793</v>
      </c>
      <c r="C2251" s="15" t="s">
        <v>167</v>
      </c>
      <c r="D2251" s="15" t="s">
        <v>27</v>
      </c>
      <c r="E2251" s="15" t="s">
        <v>777</v>
      </c>
      <c r="F2251" s="15" t="s">
        <v>340</v>
      </c>
      <c r="G2251" s="70"/>
      <c r="H2251" s="70"/>
      <c r="I2251" s="70"/>
      <c r="J2251" s="172"/>
      <c r="K2251" s="69"/>
      <c r="L2251" s="69"/>
      <c r="M2251" s="69"/>
      <c r="N2251" s="69"/>
      <c r="O2251" s="69"/>
      <c r="P2251" s="69"/>
      <c r="Q2251" s="69"/>
      <c r="R2251" s="69"/>
    </row>
    <row r="2252" spans="1:18" ht="57" hidden="1" customHeight="1">
      <c r="A2252" s="16" t="s">
        <v>780</v>
      </c>
      <c r="B2252" s="49">
        <v>793</v>
      </c>
      <c r="C2252" s="15" t="s">
        <v>167</v>
      </c>
      <c r="D2252" s="15" t="s">
        <v>27</v>
      </c>
      <c r="E2252" s="15" t="s">
        <v>779</v>
      </c>
      <c r="F2252" s="15"/>
      <c r="G2252" s="70">
        <f t="shared" si="616"/>
        <v>0</v>
      </c>
      <c r="H2252" s="70">
        <f t="shared" si="616"/>
        <v>0</v>
      </c>
      <c r="I2252" s="70">
        <f t="shared" si="616"/>
        <v>0</v>
      </c>
      <c r="J2252" s="172"/>
      <c r="K2252" s="69"/>
      <c r="L2252" s="69"/>
      <c r="M2252" s="69"/>
      <c r="N2252" s="69"/>
      <c r="O2252" s="69"/>
      <c r="P2252" s="69"/>
      <c r="Q2252" s="69"/>
      <c r="R2252" s="69"/>
    </row>
    <row r="2253" spans="1:18" ht="34.5" hidden="1" customHeight="1">
      <c r="A2253" s="16" t="s">
        <v>35</v>
      </c>
      <c r="B2253" s="49">
        <v>793</v>
      </c>
      <c r="C2253" s="15" t="s">
        <v>167</v>
      </c>
      <c r="D2253" s="15" t="s">
        <v>27</v>
      </c>
      <c r="E2253" s="15" t="s">
        <v>779</v>
      </c>
      <c r="F2253" s="15" t="s">
        <v>338</v>
      </c>
      <c r="G2253" s="70">
        <f t="shared" si="616"/>
        <v>0</v>
      </c>
      <c r="H2253" s="70">
        <f t="shared" si="616"/>
        <v>0</v>
      </c>
      <c r="I2253" s="70">
        <f t="shared" si="616"/>
        <v>0</v>
      </c>
      <c r="J2253" s="172"/>
      <c r="K2253" s="69"/>
      <c r="L2253" s="69"/>
      <c r="M2253" s="69"/>
      <c r="N2253" s="69"/>
      <c r="O2253" s="69"/>
      <c r="P2253" s="69"/>
      <c r="Q2253" s="69"/>
      <c r="R2253" s="69"/>
    </row>
    <row r="2254" spans="1:18" ht="34.5" hidden="1" customHeight="1">
      <c r="A2254" s="16" t="s">
        <v>37</v>
      </c>
      <c r="B2254" s="49">
        <v>793</v>
      </c>
      <c r="C2254" s="15" t="s">
        <v>167</v>
      </c>
      <c r="D2254" s="15" t="s">
        <v>27</v>
      </c>
      <c r="E2254" s="15" t="s">
        <v>779</v>
      </c>
      <c r="F2254" s="15" t="s">
        <v>340</v>
      </c>
      <c r="G2254" s="70"/>
      <c r="H2254" s="70"/>
      <c r="I2254" s="70"/>
      <c r="J2254" s="172"/>
      <c r="K2254" s="69"/>
      <c r="L2254" s="69"/>
      <c r="M2254" s="69"/>
      <c r="N2254" s="69"/>
      <c r="O2254" s="69"/>
      <c r="P2254" s="69"/>
      <c r="Q2254" s="69"/>
      <c r="R2254" s="69"/>
    </row>
    <row r="2255" spans="1:18" ht="34.5" hidden="1" customHeight="1">
      <c r="A2255" s="16" t="s">
        <v>482</v>
      </c>
      <c r="B2255" s="49">
        <v>793</v>
      </c>
      <c r="C2255" s="15" t="s">
        <v>167</v>
      </c>
      <c r="D2255" s="15" t="s">
        <v>27</v>
      </c>
      <c r="E2255" s="15" t="s">
        <v>483</v>
      </c>
      <c r="F2255" s="15"/>
      <c r="G2255" s="70">
        <f t="shared" ref="G2255:I2262" si="617">G2256</f>
        <v>0</v>
      </c>
      <c r="H2255" s="70">
        <f t="shared" si="617"/>
        <v>0</v>
      </c>
      <c r="I2255" s="70">
        <f t="shared" si="617"/>
        <v>0</v>
      </c>
      <c r="J2255" s="172"/>
      <c r="K2255" s="69"/>
      <c r="L2255" s="69"/>
      <c r="M2255" s="69"/>
      <c r="N2255" s="69"/>
      <c r="O2255" s="69"/>
      <c r="P2255" s="69"/>
      <c r="Q2255" s="69"/>
      <c r="R2255" s="69"/>
    </row>
    <row r="2256" spans="1:18" ht="34.5" hidden="1" customHeight="1">
      <c r="A2256" s="16" t="s">
        <v>35</v>
      </c>
      <c r="B2256" s="49">
        <v>793</v>
      </c>
      <c r="C2256" s="15" t="s">
        <v>167</v>
      </c>
      <c r="D2256" s="15" t="s">
        <v>27</v>
      </c>
      <c r="E2256" s="15" t="s">
        <v>483</v>
      </c>
      <c r="F2256" s="15" t="s">
        <v>36</v>
      </c>
      <c r="G2256" s="70">
        <f t="shared" si="617"/>
        <v>0</v>
      </c>
      <c r="H2256" s="70">
        <f t="shared" si="617"/>
        <v>0</v>
      </c>
      <c r="I2256" s="70">
        <f t="shared" si="617"/>
        <v>0</v>
      </c>
      <c r="J2256" s="172"/>
      <c r="K2256" s="69"/>
      <c r="L2256" s="69"/>
      <c r="M2256" s="69"/>
      <c r="N2256" s="69"/>
      <c r="O2256" s="69"/>
      <c r="P2256" s="69"/>
      <c r="Q2256" s="69"/>
      <c r="R2256" s="69"/>
    </row>
    <row r="2257" spans="1:18" ht="34.5" hidden="1" customHeight="1">
      <c r="A2257" s="16" t="s">
        <v>37</v>
      </c>
      <c r="B2257" s="49">
        <v>793</v>
      </c>
      <c r="C2257" s="15" t="s">
        <v>167</v>
      </c>
      <c r="D2257" s="15" t="s">
        <v>27</v>
      </c>
      <c r="E2257" s="15" t="s">
        <v>483</v>
      </c>
      <c r="F2257" s="15" t="s">
        <v>38</v>
      </c>
      <c r="G2257" s="70">
        <v>0</v>
      </c>
      <c r="H2257" s="70">
        <f>167220-167220</f>
        <v>0</v>
      </c>
      <c r="I2257" s="70"/>
      <c r="J2257" s="172"/>
      <c r="K2257" s="69"/>
      <c r="L2257" s="69"/>
      <c r="M2257" s="69"/>
      <c r="N2257" s="69"/>
      <c r="O2257" s="69"/>
      <c r="P2257" s="69"/>
      <c r="Q2257" s="69"/>
      <c r="R2257" s="69"/>
    </row>
    <row r="2258" spans="1:18" ht="18" hidden="1" customHeight="1">
      <c r="A2258" s="16" t="s">
        <v>152</v>
      </c>
      <c r="B2258" s="49">
        <v>793</v>
      </c>
      <c r="C2258" s="15" t="s">
        <v>167</v>
      </c>
      <c r="D2258" s="15" t="s">
        <v>27</v>
      </c>
      <c r="E2258" s="15" t="s">
        <v>686</v>
      </c>
      <c r="F2258" s="15" t="s">
        <v>153</v>
      </c>
      <c r="G2258" s="70">
        <f>G2259</f>
        <v>0</v>
      </c>
      <c r="H2258" s="70">
        <f>H2259</f>
        <v>0</v>
      </c>
      <c r="I2258" s="70">
        <f>I2259</f>
        <v>0</v>
      </c>
      <c r="J2258" s="172"/>
      <c r="K2258" s="69"/>
      <c r="L2258" s="69"/>
      <c r="M2258" s="69"/>
      <c r="N2258" s="69"/>
      <c r="O2258" s="69"/>
      <c r="P2258" s="69"/>
      <c r="Q2258" s="69"/>
      <c r="R2258" s="69"/>
    </row>
    <row r="2259" spans="1:18" ht="18" hidden="1" customHeight="1">
      <c r="A2259" s="16" t="s">
        <v>172</v>
      </c>
      <c r="B2259" s="49">
        <v>793</v>
      </c>
      <c r="C2259" s="15" t="s">
        <v>167</v>
      </c>
      <c r="D2259" s="15" t="s">
        <v>27</v>
      </c>
      <c r="E2259" s="15" t="s">
        <v>686</v>
      </c>
      <c r="F2259" s="15" t="s">
        <v>173</v>
      </c>
      <c r="G2259" s="70"/>
      <c r="H2259" s="70">
        <v>0</v>
      </c>
      <c r="I2259" s="70">
        <v>0</v>
      </c>
      <c r="J2259" s="172"/>
      <c r="K2259" s="69"/>
      <c r="L2259" s="69"/>
      <c r="M2259" s="69"/>
      <c r="N2259" s="69"/>
      <c r="O2259" s="69"/>
      <c r="P2259" s="69"/>
      <c r="Q2259" s="69"/>
      <c r="R2259" s="69"/>
    </row>
    <row r="2260" spans="1:18" s="3" customFormat="1" ht="67.5" hidden="1" customHeight="1">
      <c r="A2260" s="16" t="s">
        <v>313</v>
      </c>
      <c r="B2260" s="49">
        <v>793</v>
      </c>
      <c r="C2260" s="15" t="s">
        <v>167</v>
      </c>
      <c r="D2260" s="15" t="s">
        <v>27</v>
      </c>
      <c r="E2260" s="15" t="s">
        <v>314</v>
      </c>
      <c r="F2260" s="15"/>
      <c r="G2260" s="70">
        <f>G2240</f>
        <v>0</v>
      </c>
      <c r="H2260" s="70"/>
      <c r="I2260" s="70"/>
      <c r="J2260" s="172"/>
      <c r="K2260" s="62"/>
      <c r="L2260" s="62"/>
      <c r="M2260" s="62"/>
      <c r="N2260" s="62"/>
      <c r="O2260" s="62"/>
      <c r="P2260" s="62"/>
      <c r="Q2260" s="62"/>
      <c r="R2260" s="62"/>
    </row>
    <row r="2261" spans="1:18" ht="34.5" customHeight="1">
      <c r="A2261" s="16" t="s">
        <v>1457</v>
      </c>
      <c r="B2261" s="49">
        <v>793</v>
      </c>
      <c r="C2261" s="15" t="s">
        <v>167</v>
      </c>
      <c r="D2261" s="15" t="s">
        <v>27</v>
      </c>
      <c r="E2261" s="15" t="s">
        <v>507</v>
      </c>
      <c r="F2261" s="15"/>
      <c r="G2261" s="70">
        <f t="shared" si="617"/>
        <v>0</v>
      </c>
      <c r="H2261" s="70">
        <f t="shared" si="617"/>
        <v>500000</v>
      </c>
      <c r="I2261" s="70">
        <f t="shared" si="617"/>
        <v>500000</v>
      </c>
      <c r="J2261" s="172"/>
      <c r="K2261" s="69"/>
      <c r="L2261" s="69"/>
      <c r="M2261" s="69"/>
      <c r="N2261" s="69"/>
      <c r="O2261" s="69"/>
      <c r="P2261" s="69"/>
      <c r="Q2261" s="69"/>
      <c r="R2261" s="69"/>
    </row>
    <row r="2262" spans="1:18" ht="34.5" customHeight="1">
      <c r="A2262" s="16" t="s">
        <v>35</v>
      </c>
      <c r="B2262" s="49">
        <v>793</v>
      </c>
      <c r="C2262" s="15" t="s">
        <v>167</v>
      </c>
      <c r="D2262" s="15" t="s">
        <v>27</v>
      </c>
      <c r="E2262" s="15" t="s">
        <v>507</v>
      </c>
      <c r="F2262" s="15" t="s">
        <v>36</v>
      </c>
      <c r="G2262" s="70">
        <f t="shared" si="617"/>
        <v>0</v>
      </c>
      <c r="H2262" s="70">
        <f t="shared" si="617"/>
        <v>500000</v>
      </c>
      <c r="I2262" s="70">
        <f t="shared" si="617"/>
        <v>500000</v>
      </c>
      <c r="J2262" s="172"/>
      <c r="K2262" s="69"/>
      <c r="L2262" s="69"/>
      <c r="M2262" s="69"/>
      <c r="N2262" s="69"/>
      <c r="O2262" s="69"/>
      <c r="P2262" s="69"/>
      <c r="Q2262" s="69"/>
      <c r="R2262" s="69"/>
    </row>
    <row r="2263" spans="1:18" ht="34.5" customHeight="1">
      <c r="A2263" s="16" t="s">
        <v>37</v>
      </c>
      <c r="B2263" s="49">
        <v>793</v>
      </c>
      <c r="C2263" s="15" t="s">
        <v>167</v>
      </c>
      <c r="D2263" s="15" t="s">
        <v>27</v>
      </c>
      <c r="E2263" s="15" t="s">
        <v>507</v>
      </c>
      <c r="F2263" s="15" t="s">
        <v>38</v>
      </c>
      <c r="G2263" s="70">
        <v>0</v>
      </c>
      <c r="H2263" s="70">
        <v>500000</v>
      </c>
      <c r="I2263" s="70">
        <v>500000</v>
      </c>
      <c r="J2263" s="172"/>
      <c r="K2263" s="69"/>
      <c r="L2263" s="69"/>
      <c r="M2263" s="69"/>
      <c r="N2263" s="69"/>
      <c r="O2263" s="69"/>
      <c r="P2263" s="69"/>
      <c r="Q2263" s="69"/>
      <c r="R2263" s="69"/>
    </row>
    <row r="2264" spans="1:18" s="22" customFormat="1" ht="57" hidden="1" customHeight="1">
      <c r="A2264" s="16"/>
      <c r="B2264" s="49"/>
      <c r="C2264" s="41"/>
      <c r="D2264" s="41"/>
      <c r="E2264" s="41"/>
      <c r="F2264" s="66"/>
      <c r="G2264" s="29"/>
      <c r="H2264" s="29"/>
      <c r="I2264" s="29"/>
      <c r="J2264" s="61"/>
      <c r="K2264" s="61"/>
      <c r="L2264" s="61"/>
      <c r="M2264" s="61"/>
      <c r="N2264" s="61"/>
      <c r="O2264" s="61"/>
      <c r="P2264" s="61"/>
      <c r="Q2264" s="61"/>
      <c r="R2264" s="61"/>
    </row>
    <row r="2265" spans="1:18" ht="34.5" customHeight="1">
      <c r="A2265" s="16" t="s">
        <v>852</v>
      </c>
      <c r="B2265" s="14">
        <v>793</v>
      </c>
      <c r="C2265" s="15" t="s">
        <v>167</v>
      </c>
      <c r="D2265" s="15" t="s">
        <v>27</v>
      </c>
      <c r="E2265" s="15" t="s">
        <v>853</v>
      </c>
      <c r="F2265" s="15"/>
      <c r="G2265" s="70">
        <f t="shared" ref="G2265:I2272" si="618">G2266</f>
        <v>1399689.88</v>
      </c>
      <c r="H2265" s="70">
        <f t="shared" si="618"/>
        <v>122000</v>
      </c>
      <c r="I2265" s="70">
        <f t="shared" si="618"/>
        <v>0</v>
      </c>
      <c r="J2265" s="69"/>
      <c r="K2265" s="69"/>
      <c r="L2265" s="69"/>
      <c r="M2265" s="69"/>
      <c r="N2265" s="69"/>
      <c r="O2265" s="69"/>
      <c r="P2265" s="69"/>
      <c r="Q2265" s="69"/>
      <c r="R2265" s="69"/>
    </row>
    <row r="2266" spans="1:18" ht="34.5" customHeight="1">
      <c r="A2266" s="16" t="s">
        <v>35</v>
      </c>
      <c r="B2266" s="14">
        <v>793</v>
      </c>
      <c r="C2266" s="15" t="s">
        <v>167</v>
      </c>
      <c r="D2266" s="15" t="s">
        <v>27</v>
      </c>
      <c r="E2266" s="15" t="s">
        <v>853</v>
      </c>
      <c r="F2266" s="15" t="s">
        <v>36</v>
      </c>
      <c r="G2266" s="70">
        <f t="shared" si="618"/>
        <v>1399689.88</v>
      </c>
      <c r="H2266" s="70">
        <f t="shared" si="618"/>
        <v>122000</v>
      </c>
      <c r="I2266" s="70">
        <f t="shared" si="618"/>
        <v>0</v>
      </c>
      <c r="J2266" s="69"/>
      <c r="K2266" s="69"/>
      <c r="L2266" s="69"/>
      <c r="M2266" s="69"/>
      <c r="N2266" s="69"/>
      <c r="O2266" s="69"/>
      <c r="P2266" s="69"/>
      <c r="Q2266" s="69"/>
      <c r="R2266" s="69"/>
    </row>
    <row r="2267" spans="1:18" ht="34.5" customHeight="1">
      <c r="A2267" s="16" t="s">
        <v>37</v>
      </c>
      <c r="B2267" s="14">
        <v>793</v>
      </c>
      <c r="C2267" s="15" t="s">
        <v>167</v>
      </c>
      <c r="D2267" s="15" t="s">
        <v>27</v>
      </c>
      <c r="E2267" s="15" t="s">
        <v>853</v>
      </c>
      <c r="F2267" s="15" t="s">
        <v>38</v>
      </c>
      <c r="G2267" s="70">
        <f>1400000-310.12</f>
        <v>1399689.88</v>
      </c>
      <c r="H2267" s="70">
        <v>122000</v>
      </c>
      <c r="I2267" s="70">
        <v>0</v>
      </c>
      <c r="J2267" s="69"/>
      <c r="K2267" s="69"/>
      <c r="L2267" s="69"/>
      <c r="M2267" s="69"/>
      <c r="N2267" s="69"/>
      <c r="O2267" s="69"/>
      <c r="P2267" s="69"/>
      <c r="Q2267" s="69"/>
      <c r="R2267" s="69"/>
    </row>
    <row r="2268" spans="1:18" ht="34.5" hidden="1" customHeight="1">
      <c r="A2268" s="16" t="s">
        <v>1115</v>
      </c>
      <c r="B2268" s="14">
        <v>793</v>
      </c>
      <c r="C2268" s="15" t="s">
        <v>167</v>
      </c>
      <c r="D2268" s="15" t="s">
        <v>27</v>
      </c>
      <c r="E2268" s="15" t="s">
        <v>1114</v>
      </c>
      <c r="F2268" s="15"/>
      <c r="G2268" s="70">
        <f t="shared" si="618"/>
        <v>0</v>
      </c>
      <c r="H2268" s="70">
        <f t="shared" si="618"/>
        <v>0</v>
      </c>
      <c r="I2268" s="70">
        <f t="shared" si="618"/>
        <v>0</v>
      </c>
      <c r="J2268" s="69"/>
      <c r="K2268" s="69"/>
      <c r="L2268" s="69"/>
      <c r="M2268" s="69"/>
      <c r="N2268" s="69"/>
      <c r="O2268" s="69"/>
      <c r="P2268" s="69"/>
      <c r="Q2268" s="69"/>
      <c r="R2268" s="69"/>
    </row>
    <row r="2269" spans="1:18" ht="34.5" hidden="1" customHeight="1">
      <c r="A2269" s="16" t="s">
        <v>35</v>
      </c>
      <c r="B2269" s="14">
        <v>793</v>
      </c>
      <c r="C2269" s="15" t="s">
        <v>167</v>
      </c>
      <c r="D2269" s="15" t="s">
        <v>27</v>
      </c>
      <c r="E2269" s="15" t="s">
        <v>1114</v>
      </c>
      <c r="F2269" s="15" t="s">
        <v>36</v>
      </c>
      <c r="G2269" s="70">
        <f t="shared" si="618"/>
        <v>0</v>
      </c>
      <c r="H2269" s="70">
        <f t="shared" si="618"/>
        <v>0</v>
      </c>
      <c r="I2269" s="70">
        <f t="shared" si="618"/>
        <v>0</v>
      </c>
      <c r="J2269" s="69"/>
      <c r="K2269" s="69"/>
      <c r="L2269" s="69"/>
      <c r="M2269" s="69"/>
      <c r="N2269" s="69"/>
      <c r="O2269" s="69"/>
      <c r="P2269" s="69"/>
      <c r="Q2269" s="69"/>
      <c r="R2269" s="69"/>
    </row>
    <row r="2270" spans="1:18" ht="34.5" hidden="1" customHeight="1">
      <c r="A2270" s="16" t="s">
        <v>37</v>
      </c>
      <c r="B2270" s="14">
        <v>793</v>
      </c>
      <c r="C2270" s="15" t="s">
        <v>167</v>
      </c>
      <c r="D2270" s="15" t="s">
        <v>27</v>
      </c>
      <c r="E2270" s="15" t="s">
        <v>1114</v>
      </c>
      <c r="F2270" s="15" t="s">
        <v>38</v>
      </c>
      <c r="G2270" s="70">
        <f>1950000-1950000</f>
        <v>0</v>
      </c>
      <c r="H2270" s="70">
        <v>0</v>
      </c>
      <c r="I2270" s="70">
        <v>0</v>
      </c>
      <c r="J2270" s="69"/>
      <c r="K2270" s="69"/>
      <c r="L2270" s="69"/>
      <c r="M2270" s="69"/>
      <c r="N2270" s="69"/>
      <c r="O2270" s="69"/>
      <c r="P2270" s="69"/>
      <c r="Q2270" s="69"/>
      <c r="R2270" s="69"/>
    </row>
    <row r="2271" spans="1:18" ht="69" hidden="1" customHeight="1">
      <c r="A2271" s="16" t="s">
        <v>1011</v>
      </c>
      <c r="B2271" s="14">
        <v>793</v>
      </c>
      <c r="C2271" s="15" t="s">
        <v>167</v>
      </c>
      <c r="D2271" s="15" t="s">
        <v>27</v>
      </c>
      <c r="E2271" s="15" t="s">
        <v>1008</v>
      </c>
      <c r="F2271" s="15"/>
      <c r="G2271" s="70">
        <f t="shared" si="618"/>
        <v>0</v>
      </c>
      <c r="H2271" s="70">
        <f t="shared" si="618"/>
        <v>0</v>
      </c>
      <c r="I2271" s="70">
        <f t="shared" si="618"/>
        <v>0</v>
      </c>
      <c r="J2271" s="69"/>
      <c r="K2271" s="69"/>
      <c r="L2271" s="69"/>
      <c r="M2271" s="69"/>
      <c r="N2271" s="69"/>
      <c r="O2271" s="69"/>
      <c r="P2271" s="69"/>
      <c r="Q2271" s="69"/>
      <c r="R2271" s="69"/>
    </row>
    <row r="2272" spans="1:18" ht="34.5" hidden="1" customHeight="1">
      <c r="A2272" s="16" t="s">
        <v>62</v>
      </c>
      <c r="B2272" s="14">
        <v>793</v>
      </c>
      <c r="C2272" s="15" t="s">
        <v>167</v>
      </c>
      <c r="D2272" s="15" t="s">
        <v>27</v>
      </c>
      <c r="E2272" s="15" t="s">
        <v>1008</v>
      </c>
      <c r="F2272" s="15" t="s">
        <v>63</v>
      </c>
      <c r="G2272" s="70">
        <f t="shared" si="618"/>
        <v>0</v>
      </c>
      <c r="H2272" s="70">
        <f t="shared" si="618"/>
        <v>0</v>
      </c>
      <c r="I2272" s="70">
        <f t="shared" si="618"/>
        <v>0</v>
      </c>
      <c r="J2272" s="69"/>
      <c r="K2272" s="69"/>
      <c r="L2272" s="69"/>
      <c r="M2272" s="69"/>
      <c r="N2272" s="69"/>
      <c r="O2272" s="69"/>
      <c r="P2272" s="69"/>
      <c r="Q2272" s="69"/>
      <c r="R2272" s="69"/>
    </row>
    <row r="2273" spans="1:18" ht="34.5" hidden="1" customHeight="1">
      <c r="A2273" s="16" t="s">
        <v>174</v>
      </c>
      <c r="B2273" s="14">
        <v>793</v>
      </c>
      <c r="C2273" s="15" t="s">
        <v>167</v>
      </c>
      <c r="D2273" s="15" t="s">
        <v>27</v>
      </c>
      <c r="E2273" s="15" t="s">
        <v>1008</v>
      </c>
      <c r="F2273" s="15" t="s">
        <v>175</v>
      </c>
      <c r="G2273" s="70"/>
      <c r="H2273" s="70"/>
      <c r="I2273" s="70"/>
      <c r="J2273" s="69"/>
      <c r="K2273" s="69"/>
      <c r="L2273" s="69"/>
      <c r="M2273" s="69"/>
      <c r="N2273" s="69"/>
      <c r="O2273" s="69"/>
      <c r="P2273" s="69"/>
      <c r="Q2273" s="69"/>
      <c r="R2273" s="69"/>
    </row>
    <row r="2274" spans="1:18" ht="27.75" hidden="1" customHeight="1">
      <c r="A2274" s="16" t="s">
        <v>267</v>
      </c>
      <c r="B2274" s="49">
        <v>793</v>
      </c>
      <c r="C2274" s="15" t="s">
        <v>167</v>
      </c>
      <c r="D2274" s="15" t="s">
        <v>27</v>
      </c>
      <c r="E2274" s="15" t="s">
        <v>543</v>
      </c>
      <c r="F2274" s="15"/>
      <c r="G2274" s="70">
        <f>G2275</f>
        <v>0</v>
      </c>
      <c r="H2274" s="70">
        <f>H2276</f>
        <v>0</v>
      </c>
      <c r="I2274" s="70">
        <f>I2276</f>
        <v>0</v>
      </c>
      <c r="J2274" s="172"/>
      <c r="K2274" s="69"/>
      <c r="L2274" s="69"/>
      <c r="M2274" s="69"/>
      <c r="N2274" s="69"/>
      <c r="O2274" s="69"/>
      <c r="P2274" s="69"/>
      <c r="Q2274" s="69"/>
      <c r="R2274" s="69"/>
    </row>
    <row r="2275" spans="1:18" ht="23.25" hidden="1" customHeight="1">
      <c r="A2275" s="16" t="s">
        <v>267</v>
      </c>
      <c r="B2275" s="49">
        <v>793</v>
      </c>
      <c r="C2275" s="15" t="s">
        <v>167</v>
      </c>
      <c r="D2275" s="15" t="s">
        <v>27</v>
      </c>
      <c r="E2275" s="15" t="s">
        <v>544</v>
      </c>
      <c r="F2275" s="15"/>
      <c r="G2275" s="70">
        <f>G2276</f>
        <v>0</v>
      </c>
      <c r="H2275" s="70"/>
      <c r="I2275" s="70"/>
      <c r="J2275" s="172"/>
      <c r="K2275" s="69"/>
      <c r="L2275" s="69"/>
      <c r="M2275" s="69"/>
      <c r="N2275" s="69"/>
      <c r="O2275" s="69"/>
      <c r="P2275" s="69"/>
      <c r="Q2275" s="69"/>
      <c r="R2275" s="69"/>
    </row>
    <row r="2276" spans="1:18" ht="34.5" hidden="1" customHeight="1">
      <c r="A2276" s="16" t="s">
        <v>35</v>
      </c>
      <c r="B2276" s="49">
        <v>793</v>
      </c>
      <c r="C2276" s="15" t="s">
        <v>167</v>
      </c>
      <c r="D2276" s="15" t="s">
        <v>27</v>
      </c>
      <c r="E2276" s="15" t="s">
        <v>544</v>
      </c>
      <c r="F2276" s="15" t="s">
        <v>338</v>
      </c>
      <c r="G2276" s="70">
        <f>G2277</f>
        <v>0</v>
      </c>
      <c r="H2276" s="70">
        <f>H2277</f>
        <v>0</v>
      </c>
      <c r="I2276" s="70">
        <f>I2277</f>
        <v>0</v>
      </c>
      <c r="J2276" s="172"/>
      <c r="K2276" s="69"/>
      <c r="L2276" s="69"/>
      <c r="M2276" s="69"/>
      <c r="N2276" s="69"/>
      <c r="O2276" s="69"/>
      <c r="P2276" s="69"/>
      <c r="Q2276" s="69"/>
      <c r="R2276" s="69"/>
    </row>
    <row r="2277" spans="1:18" ht="34.5" hidden="1" customHeight="1">
      <c r="A2277" s="16" t="s">
        <v>37</v>
      </c>
      <c r="B2277" s="49">
        <v>793</v>
      </c>
      <c r="C2277" s="15" t="s">
        <v>167</v>
      </c>
      <c r="D2277" s="15" t="s">
        <v>27</v>
      </c>
      <c r="E2277" s="15" t="s">
        <v>544</v>
      </c>
      <c r="F2277" s="15" t="s">
        <v>340</v>
      </c>
      <c r="G2277" s="70"/>
      <c r="H2277" s="70"/>
      <c r="I2277" s="70"/>
      <c r="J2277" s="172"/>
      <c r="K2277" s="69"/>
      <c r="L2277" s="69"/>
      <c r="M2277" s="69"/>
      <c r="N2277" s="69"/>
      <c r="O2277" s="69"/>
      <c r="P2277" s="69"/>
      <c r="Q2277" s="69"/>
      <c r="R2277" s="69"/>
    </row>
    <row r="2278" spans="1:18" ht="44.25" hidden="1" customHeight="1">
      <c r="A2278" s="16" t="s">
        <v>1306</v>
      </c>
      <c r="B2278" s="14">
        <v>793</v>
      </c>
      <c r="C2278" s="15" t="s">
        <v>167</v>
      </c>
      <c r="D2278" s="15" t="s">
        <v>27</v>
      </c>
      <c r="E2278" s="15" t="s">
        <v>1305</v>
      </c>
      <c r="F2278" s="15"/>
      <c r="G2278" s="70">
        <f t="shared" ref="G2278:I2279" si="619">G2279</f>
        <v>0</v>
      </c>
      <c r="H2278" s="70">
        <f t="shared" si="619"/>
        <v>0</v>
      </c>
      <c r="I2278" s="70">
        <f t="shared" si="619"/>
        <v>0</v>
      </c>
      <c r="J2278" s="69"/>
      <c r="K2278" s="69"/>
      <c r="L2278" s="69"/>
      <c r="M2278" s="69"/>
      <c r="N2278" s="69"/>
      <c r="O2278" s="69"/>
      <c r="P2278" s="69"/>
      <c r="Q2278" s="69"/>
      <c r="R2278" s="69"/>
    </row>
    <row r="2279" spans="1:18" ht="34.5" hidden="1" customHeight="1">
      <c r="A2279" s="16" t="s">
        <v>35</v>
      </c>
      <c r="B2279" s="14">
        <v>793</v>
      </c>
      <c r="C2279" s="15" t="s">
        <v>167</v>
      </c>
      <c r="D2279" s="15" t="s">
        <v>27</v>
      </c>
      <c r="E2279" s="15" t="s">
        <v>1305</v>
      </c>
      <c r="F2279" s="15" t="s">
        <v>36</v>
      </c>
      <c r="G2279" s="70">
        <f t="shared" si="619"/>
        <v>0</v>
      </c>
      <c r="H2279" s="70">
        <f t="shared" si="619"/>
        <v>0</v>
      </c>
      <c r="I2279" s="70">
        <f t="shared" si="619"/>
        <v>0</v>
      </c>
      <c r="J2279" s="69"/>
      <c r="K2279" s="69"/>
      <c r="L2279" s="69"/>
      <c r="M2279" s="69"/>
      <c r="N2279" s="69"/>
      <c r="O2279" s="69"/>
      <c r="P2279" s="69"/>
      <c r="Q2279" s="69"/>
      <c r="R2279" s="69"/>
    </row>
    <row r="2280" spans="1:18" ht="34.5" hidden="1" customHeight="1">
      <c r="A2280" s="16" t="s">
        <v>37</v>
      </c>
      <c r="B2280" s="14">
        <v>793</v>
      </c>
      <c r="C2280" s="15" t="s">
        <v>167</v>
      </c>
      <c r="D2280" s="15" t="s">
        <v>27</v>
      </c>
      <c r="E2280" s="15" t="s">
        <v>1305</v>
      </c>
      <c r="F2280" s="15" t="s">
        <v>38</v>
      </c>
      <c r="G2280" s="70">
        <f>170000-170000</f>
        <v>0</v>
      </c>
      <c r="H2280" s="70">
        <v>0</v>
      </c>
      <c r="I2280" s="70">
        <v>0</v>
      </c>
      <c r="J2280" s="69"/>
      <c r="K2280" s="69"/>
      <c r="L2280" s="69"/>
      <c r="M2280" s="69"/>
      <c r="N2280" s="69"/>
      <c r="O2280" s="69"/>
      <c r="P2280" s="69"/>
      <c r="Q2280" s="69"/>
      <c r="R2280" s="69"/>
    </row>
    <row r="2281" spans="1:18" ht="34.5" customHeight="1">
      <c r="A2281" s="16" t="s">
        <v>774</v>
      </c>
      <c r="B2281" s="14">
        <v>793</v>
      </c>
      <c r="C2281" s="15" t="s">
        <v>167</v>
      </c>
      <c r="D2281" s="15" t="s">
        <v>27</v>
      </c>
      <c r="E2281" s="15" t="s">
        <v>775</v>
      </c>
      <c r="F2281" s="15"/>
      <c r="G2281" s="70">
        <f t="shared" ref="G2281:I2294" si="620">G2282</f>
        <v>100000</v>
      </c>
      <c r="H2281" s="70">
        <f t="shared" si="620"/>
        <v>0</v>
      </c>
      <c r="I2281" s="70">
        <f t="shared" si="620"/>
        <v>0</v>
      </c>
      <c r="J2281" s="69"/>
      <c r="K2281" s="69"/>
      <c r="L2281" s="69"/>
      <c r="M2281" s="69"/>
      <c r="N2281" s="69"/>
      <c r="O2281" s="69"/>
      <c r="P2281" s="69"/>
      <c r="Q2281" s="69"/>
      <c r="R2281" s="69"/>
    </row>
    <row r="2282" spans="1:18" ht="34.5" customHeight="1">
      <c r="A2282" s="16" t="s">
        <v>94</v>
      </c>
      <c r="B2282" s="14">
        <v>793</v>
      </c>
      <c r="C2282" s="15" t="s">
        <v>167</v>
      </c>
      <c r="D2282" s="15" t="s">
        <v>27</v>
      </c>
      <c r="E2282" s="15" t="s">
        <v>775</v>
      </c>
      <c r="F2282" s="15" t="s">
        <v>338</v>
      </c>
      <c r="G2282" s="70">
        <f t="shared" si="620"/>
        <v>100000</v>
      </c>
      <c r="H2282" s="70">
        <f t="shared" si="620"/>
        <v>0</v>
      </c>
      <c r="I2282" s="70">
        <f t="shared" si="620"/>
        <v>0</v>
      </c>
      <c r="J2282" s="69"/>
      <c r="K2282" s="69"/>
      <c r="L2282" s="69"/>
      <c r="M2282" s="69"/>
      <c r="N2282" s="69"/>
      <c r="O2282" s="69"/>
      <c r="P2282" s="69"/>
      <c r="Q2282" s="69"/>
      <c r="R2282" s="69"/>
    </row>
    <row r="2283" spans="1:18" ht="34.5" customHeight="1">
      <c r="A2283" s="16" t="s">
        <v>339</v>
      </c>
      <c r="B2283" s="14">
        <v>793</v>
      </c>
      <c r="C2283" s="15" t="s">
        <v>167</v>
      </c>
      <c r="D2283" s="15" t="s">
        <v>27</v>
      </c>
      <c r="E2283" s="15" t="s">
        <v>775</v>
      </c>
      <c r="F2283" s="15" t="s">
        <v>340</v>
      </c>
      <c r="G2283" s="70">
        <f>300000-200000</f>
        <v>100000</v>
      </c>
      <c r="H2283" s="70">
        <v>0</v>
      </c>
      <c r="I2283" s="70">
        <v>0</v>
      </c>
      <c r="J2283" s="69"/>
      <c r="K2283" s="69"/>
      <c r="L2283" s="69"/>
      <c r="M2283" s="69"/>
      <c r="N2283" s="69"/>
      <c r="O2283" s="69"/>
      <c r="P2283" s="69"/>
      <c r="Q2283" s="69"/>
      <c r="R2283" s="69"/>
    </row>
    <row r="2284" spans="1:18" ht="51" customHeight="1">
      <c r="A2284" s="16" t="s">
        <v>1377</v>
      </c>
      <c r="B2284" s="14">
        <v>793</v>
      </c>
      <c r="C2284" s="15" t="s">
        <v>167</v>
      </c>
      <c r="D2284" s="15" t="s">
        <v>27</v>
      </c>
      <c r="E2284" s="15" t="s">
        <v>777</v>
      </c>
      <c r="F2284" s="15"/>
      <c r="G2284" s="70">
        <f t="shared" si="620"/>
        <v>200000</v>
      </c>
      <c r="H2284" s="70">
        <f t="shared" si="620"/>
        <v>0</v>
      </c>
      <c r="I2284" s="70">
        <f t="shared" si="620"/>
        <v>0</v>
      </c>
      <c r="J2284" s="69"/>
      <c r="K2284" s="69"/>
      <c r="L2284" s="69"/>
      <c r="M2284" s="69"/>
      <c r="N2284" s="69"/>
      <c r="O2284" s="69"/>
      <c r="P2284" s="69"/>
      <c r="Q2284" s="69"/>
      <c r="R2284" s="69"/>
    </row>
    <row r="2285" spans="1:18" ht="34.5" customHeight="1">
      <c r="A2285" s="16" t="s">
        <v>94</v>
      </c>
      <c r="B2285" s="14">
        <v>793</v>
      </c>
      <c r="C2285" s="15" t="s">
        <v>167</v>
      </c>
      <c r="D2285" s="15" t="s">
        <v>27</v>
      </c>
      <c r="E2285" s="15" t="s">
        <v>777</v>
      </c>
      <c r="F2285" s="15" t="s">
        <v>338</v>
      </c>
      <c r="G2285" s="70">
        <f t="shared" si="620"/>
        <v>200000</v>
      </c>
      <c r="H2285" s="70">
        <f t="shared" si="620"/>
        <v>0</v>
      </c>
      <c r="I2285" s="70">
        <f t="shared" si="620"/>
        <v>0</v>
      </c>
      <c r="J2285" s="69"/>
      <c r="K2285" s="69"/>
      <c r="L2285" s="69"/>
      <c r="M2285" s="69"/>
      <c r="N2285" s="69"/>
      <c r="O2285" s="69"/>
      <c r="P2285" s="69"/>
      <c r="Q2285" s="69"/>
      <c r="R2285" s="69"/>
    </row>
    <row r="2286" spans="1:18" ht="34.5" customHeight="1">
      <c r="A2286" s="16" t="s">
        <v>339</v>
      </c>
      <c r="B2286" s="14">
        <v>793</v>
      </c>
      <c r="C2286" s="15" t="s">
        <v>167</v>
      </c>
      <c r="D2286" s="15" t="s">
        <v>27</v>
      </c>
      <c r="E2286" s="15" t="s">
        <v>777</v>
      </c>
      <c r="F2286" s="15" t="s">
        <v>340</v>
      </c>
      <c r="G2286" s="70">
        <v>200000</v>
      </c>
      <c r="H2286" s="70">
        <v>0</v>
      </c>
      <c r="I2286" s="70">
        <v>0</v>
      </c>
      <c r="J2286" s="69"/>
      <c r="K2286" s="69"/>
      <c r="L2286" s="69"/>
      <c r="M2286" s="69"/>
      <c r="N2286" s="69"/>
      <c r="O2286" s="69"/>
      <c r="P2286" s="69"/>
      <c r="Q2286" s="69"/>
      <c r="R2286" s="69"/>
    </row>
    <row r="2287" spans="1:18" ht="34.5" customHeight="1">
      <c r="A2287" s="16" t="s">
        <v>1520</v>
      </c>
      <c r="B2287" s="14">
        <v>793</v>
      </c>
      <c r="C2287" s="15" t="s">
        <v>167</v>
      </c>
      <c r="D2287" s="15" t="s">
        <v>27</v>
      </c>
      <c r="E2287" s="15" t="s">
        <v>1519</v>
      </c>
      <c r="F2287" s="15"/>
      <c r="G2287" s="70">
        <f t="shared" ref="G2287:I2291" si="621">G2288</f>
        <v>25000</v>
      </c>
      <c r="H2287" s="70">
        <f t="shared" si="621"/>
        <v>0</v>
      </c>
      <c r="I2287" s="70">
        <f t="shared" si="621"/>
        <v>0</v>
      </c>
      <c r="J2287" s="69"/>
      <c r="K2287" s="69"/>
      <c r="L2287" s="69"/>
      <c r="M2287" s="69"/>
      <c r="N2287" s="69"/>
      <c r="O2287" s="69"/>
      <c r="P2287" s="69"/>
      <c r="Q2287" s="69"/>
      <c r="R2287" s="69"/>
    </row>
    <row r="2288" spans="1:18" ht="34.5" customHeight="1">
      <c r="A2288" s="16" t="s">
        <v>35</v>
      </c>
      <c r="B2288" s="14">
        <v>793</v>
      </c>
      <c r="C2288" s="15" t="s">
        <v>167</v>
      </c>
      <c r="D2288" s="15" t="s">
        <v>27</v>
      </c>
      <c r="E2288" s="15" t="s">
        <v>1519</v>
      </c>
      <c r="F2288" s="15" t="s">
        <v>36</v>
      </c>
      <c r="G2288" s="70">
        <f t="shared" si="621"/>
        <v>25000</v>
      </c>
      <c r="H2288" s="70">
        <f t="shared" si="621"/>
        <v>0</v>
      </c>
      <c r="I2288" s="70">
        <f t="shared" si="621"/>
        <v>0</v>
      </c>
      <c r="J2288" s="69"/>
      <c r="K2288" s="69"/>
      <c r="L2288" s="69"/>
      <c r="M2288" s="69"/>
      <c r="N2288" s="69"/>
      <c r="O2288" s="69"/>
      <c r="P2288" s="69"/>
      <c r="Q2288" s="69"/>
      <c r="R2288" s="69"/>
    </row>
    <row r="2289" spans="1:18" ht="34.5" customHeight="1">
      <c r="A2289" s="16" t="s">
        <v>37</v>
      </c>
      <c r="B2289" s="14">
        <v>793</v>
      </c>
      <c r="C2289" s="15" t="s">
        <v>167</v>
      </c>
      <c r="D2289" s="15" t="s">
        <v>27</v>
      </c>
      <c r="E2289" s="15" t="s">
        <v>1519</v>
      </c>
      <c r="F2289" s="15" t="s">
        <v>38</v>
      </c>
      <c r="G2289" s="70">
        <v>25000</v>
      </c>
      <c r="H2289" s="70">
        <v>0</v>
      </c>
      <c r="I2289" s="70">
        <v>0</v>
      </c>
      <c r="J2289" s="69"/>
      <c r="K2289" s="69"/>
      <c r="L2289" s="69"/>
      <c r="M2289" s="69"/>
      <c r="N2289" s="69"/>
      <c r="O2289" s="69"/>
      <c r="P2289" s="69"/>
      <c r="Q2289" s="69"/>
      <c r="R2289" s="69"/>
    </row>
    <row r="2290" spans="1:18" ht="34.5" customHeight="1">
      <c r="A2290" s="16" t="s">
        <v>1522</v>
      </c>
      <c r="B2290" s="14">
        <v>793</v>
      </c>
      <c r="C2290" s="15" t="s">
        <v>167</v>
      </c>
      <c r="D2290" s="15" t="s">
        <v>27</v>
      </c>
      <c r="E2290" s="15" t="s">
        <v>1521</v>
      </c>
      <c r="F2290" s="15"/>
      <c r="G2290" s="70">
        <f t="shared" si="621"/>
        <v>129248.57</v>
      </c>
      <c r="H2290" s="70">
        <f t="shared" si="621"/>
        <v>0</v>
      </c>
      <c r="I2290" s="70">
        <f t="shared" si="621"/>
        <v>0</v>
      </c>
      <c r="J2290" s="69"/>
      <c r="K2290" s="69"/>
      <c r="L2290" s="69"/>
      <c r="M2290" s="69"/>
      <c r="N2290" s="69"/>
      <c r="O2290" s="69"/>
      <c r="P2290" s="69"/>
      <c r="Q2290" s="69"/>
      <c r="R2290" s="69"/>
    </row>
    <row r="2291" spans="1:18" ht="34.5" customHeight="1">
      <c r="A2291" s="16" t="s">
        <v>35</v>
      </c>
      <c r="B2291" s="14">
        <v>793</v>
      </c>
      <c r="C2291" s="15" t="s">
        <v>167</v>
      </c>
      <c r="D2291" s="15" t="s">
        <v>27</v>
      </c>
      <c r="E2291" s="15" t="s">
        <v>1521</v>
      </c>
      <c r="F2291" s="15" t="s">
        <v>36</v>
      </c>
      <c r="G2291" s="70">
        <f t="shared" si="621"/>
        <v>129248.57</v>
      </c>
      <c r="H2291" s="70">
        <f t="shared" si="621"/>
        <v>0</v>
      </c>
      <c r="I2291" s="70">
        <f t="shared" si="621"/>
        <v>0</v>
      </c>
      <c r="J2291" s="69"/>
      <c r="K2291" s="69"/>
      <c r="L2291" s="69"/>
      <c r="M2291" s="69"/>
      <c r="N2291" s="69"/>
      <c r="O2291" s="69"/>
      <c r="P2291" s="69"/>
      <c r="Q2291" s="69"/>
      <c r="R2291" s="69"/>
    </row>
    <row r="2292" spans="1:18" ht="34.5" customHeight="1">
      <c r="A2292" s="16" t="s">
        <v>37</v>
      </c>
      <c r="B2292" s="14">
        <v>793</v>
      </c>
      <c r="C2292" s="15" t="s">
        <v>167</v>
      </c>
      <c r="D2292" s="15" t="s">
        <v>27</v>
      </c>
      <c r="E2292" s="15" t="s">
        <v>1521</v>
      </c>
      <c r="F2292" s="15" t="s">
        <v>38</v>
      </c>
      <c r="G2292" s="70">
        <v>129248.57</v>
      </c>
      <c r="H2292" s="70">
        <v>0</v>
      </c>
      <c r="I2292" s="70">
        <v>0</v>
      </c>
      <c r="J2292" s="69"/>
      <c r="K2292" s="69"/>
      <c r="L2292" s="69"/>
      <c r="M2292" s="69"/>
      <c r="N2292" s="69"/>
      <c r="O2292" s="69"/>
      <c r="P2292" s="69"/>
      <c r="Q2292" s="69"/>
      <c r="R2292" s="69"/>
    </row>
    <row r="2293" spans="1:18" ht="45" customHeight="1">
      <c r="A2293" s="16" t="s">
        <v>1332</v>
      </c>
      <c r="B2293" s="14">
        <v>793</v>
      </c>
      <c r="C2293" s="15" t="s">
        <v>167</v>
      </c>
      <c r="D2293" s="15" t="s">
        <v>27</v>
      </c>
      <c r="E2293" s="15" t="s">
        <v>1331</v>
      </c>
      <c r="F2293" s="15"/>
      <c r="G2293" s="70">
        <f t="shared" si="620"/>
        <v>2800000</v>
      </c>
      <c r="H2293" s="70">
        <f t="shared" si="620"/>
        <v>4200000</v>
      </c>
      <c r="I2293" s="70">
        <f t="shared" si="620"/>
        <v>0</v>
      </c>
      <c r="J2293" s="69"/>
      <c r="K2293" s="69"/>
      <c r="L2293" s="69"/>
      <c r="M2293" s="69"/>
      <c r="N2293" s="69"/>
      <c r="O2293" s="69"/>
      <c r="P2293" s="69"/>
      <c r="Q2293" s="69"/>
      <c r="R2293" s="69"/>
    </row>
    <row r="2294" spans="1:18" ht="34.5" customHeight="1">
      <c r="A2294" s="16" t="s">
        <v>94</v>
      </c>
      <c r="B2294" s="14">
        <v>793</v>
      </c>
      <c r="C2294" s="15" t="s">
        <v>167</v>
      </c>
      <c r="D2294" s="15" t="s">
        <v>27</v>
      </c>
      <c r="E2294" s="15" t="s">
        <v>1331</v>
      </c>
      <c r="F2294" s="15" t="s">
        <v>338</v>
      </c>
      <c r="G2294" s="70">
        <f t="shared" si="620"/>
        <v>2800000</v>
      </c>
      <c r="H2294" s="70">
        <f t="shared" si="620"/>
        <v>4200000</v>
      </c>
      <c r="I2294" s="70">
        <f t="shared" si="620"/>
        <v>0</v>
      </c>
      <c r="J2294" s="69"/>
      <c r="K2294" s="69"/>
      <c r="L2294" s="69"/>
      <c r="M2294" s="69"/>
      <c r="N2294" s="69"/>
      <c r="O2294" s="69"/>
      <c r="P2294" s="69"/>
      <c r="Q2294" s="69"/>
      <c r="R2294" s="69"/>
    </row>
    <row r="2295" spans="1:18" ht="34.5" customHeight="1">
      <c r="A2295" s="16" t="s">
        <v>339</v>
      </c>
      <c r="B2295" s="14">
        <v>793</v>
      </c>
      <c r="C2295" s="15" t="s">
        <v>167</v>
      </c>
      <c r="D2295" s="15" t="s">
        <v>27</v>
      </c>
      <c r="E2295" s="15" t="s">
        <v>1331</v>
      </c>
      <c r="F2295" s="15" t="s">
        <v>340</v>
      </c>
      <c r="G2295" s="70">
        <v>2800000</v>
      </c>
      <c r="H2295" s="70">
        <v>4200000</v>
      </c>
      <c r="I2295" s="70">
        <v>0</v>
      </c>
      <c r="J2295" s="69"/>
      <c r="K2295" s="69"/>
      <c r="L2295" s="69"/>
      <c r="M2295" s="69"/>
      <c r="N2295" s="69"/>
      <c r="O2295" s="69"/>
      <c r="P2295" s="69"/>
      <c r="Q2295" s="69"/>
      <c r="R2295" s="69"/>
    </row>
    <row r="2296" spans="1:18" ht="78" customHeight="1">
      <c r="A2296" s="351" t="s">
        <v>1543</v>
      </c>
      <c r="B2296" s="14">
        <v>793</v>
      </c>
      <c r="C2296" s="15" t="s">
        <v>167</v>
      </c>
      <c r="D2296" s="15" t="s">
        <v>27</v>
      </c>
      <c r="E2296" s="15" t="s">
        <v>1400</v>
      </c>
      <c r="F2296" s="15"/>
      <c r="G2296" s="70">
        <f t="shared" ref="G2296:I2306" si="622">G2297</f>
        <v>1910618.1</v>
      </c>
      <c r="H2296" s="70">
        <f t="shared" si="622"/>
        <v>0</v>
      </c>
      <c r="I2296" s="70">
        <f t="shared" si="622"/>
        <v>0</v>
      </c>
      <c r="J2296" s="69"/>
      <c r="K2296" s="69"/>
      <c r="L2296" s="69"/>
      <c r="M2296" s="69"/>
      <c r="N2296" s="69"/>
      <c r="O2296" s="69"/>
      <c r="P2296" s="69"/>
      <c r="Q2296" s="69"/>
      <c r="R2296" s="69"/>
    </row>
    <row r="2297" spans="1:18" ht="34.5" customHeight="1">
      <c r="A2297" s="16" t="s">
        <v>35</v>
      </c>
      <c r="B2297" s="14">
        <v>793</v>
      </c>
      <c r="C2297" s="15" t="s">
        <v>167</v>
      </c>
      <c r="D2297" s="15" t="s">
        <v>27</v>
      </c>
      <c r="E2297" s="15" t="s">
        <v>1400</v>
      </c>
      <c r="F2297" s="15" t="s">
        <v>36</v>
      </c>
      <c r="G2297" s="70">
        <f t="shared" si="622"/>
        <v>1910618.1</v>
      </c>
      <c r="H2297" s="70">
        <f t="shared" si="622"/>
        <v>0</v>
      </c>
      <c r="I2297" s="70">
        <f t="shared" si="622"/>
        <v>0</v>
      </c>
      <c r="J2297" s="69"/>
      <c r="K2297" s="69"/>
      <c r="L2297" s="69"/>
      <c r="M2297" s="69"/>
      <c r="N2297" s="69"/>
      <c r="O2297" s="69"/>
      <c r="P2297" s="69"/>
      <c r="Q2297" s="69"/>
      <c r="R2297" s="69"/>
    </row>
    <row r="2298" spans="1:18" ht="34.5" customHeight="1">
      <c r="A2298" s="16" t="s">
        <v>37</v>
      </c>
      <c r="B2298" s="14">
        <v>793</v>
      </c>
      <c r="C2298" s="15" t="s">
        <v>167</v>
      </c>
      <c r="D2298" s="15" t="s">
        <v>27</v>
      </c>
      <c r="E2298" s="15" t="s">
        <v>1400</v>
      </c>
      <c r="F2298" s="15" t="s">
        <v>38</v>
      </c>
      <c r="G2298" s="70">
        <v>1910618.1</v>
      </c>
      <c r="H2298" s="70">
        <v>0</v>
      </c>
      <c r="I2298" s="70">
        <v>0</v>
      </c>
      <c r="J2298" s="69"/>
      <c r="K2298" s="69"/>
      <c r="L2298" s="69"/>
      <c r="M2298" s="69"/>
      <c r="N2298" s="69"/>
      <c r="O2298" s="69"/>
      <c r="P2298" s="69"/>
      <c r="Q2298" s="69"/>
      <c r="R2298" s="69"/>
    </row>
    <row r="2299" spans="1:18" ht="75" customHeight="1">
      <c r="A2299" s="16" t="s">
        <v>1401</v>
      </c>
      <c r="B2299" s="14">
        <v>793</v>
      </c>
      <c r="C2299" s="15" t="s">
        <v>167</v>
      </c>
      <c r="D2299" s="15" t="s">
        <v>27</v>
      </c>
      <c r="E2299" s="15" t="s">
        <v>1404</v>
      </c>
      <c r="F2299" s="15"/>
      <c r="G2299" s="70">
        <f t="shared" si="622"/>
        <v>300000</v>
      </c>
      <c r="H2299" s="70">
        <f t="shared" si="622"/>
        <v>0</v>
      </c>
      <c r="I2299" s="70">
        <f t="shared" si="622"/>
        <v>0</v>
      </c>
      <c r="J2299" s="69"/>
      <c r="K2299" s="69"/>
      <c r="L2299" s="69"/>
      <c r="M2299" s="69"/>
      <c r="N2299" s="69"/>
      <c r="O2299" s="69"/>
      <c r="P2299" s="69"/>
      <c r="Q2299" s="69"/>
      <c r="R2299" s="69"/>
    </row>
    <row r="2300" spans="1:18" ht="34.5" customHeight="1">
      <c r="A2300" s="16" t="s">
        <v>35</v>
      </c>
      <c r="B2300" s="14">
        <v>793</v>
      </c>
      <c r="C2300" s="15" t="s">
        <v>167</v>
      </c>
      <c r="D2300" s="15" t="s">
        <v>27</v>
      </c>
      <c r="E2300" s="15" t="s">
        <v>1404</v>
      </c>
      <c r="F2300" s="15" t="s">
        <v>36</v>
      </c>
      <c r="G2300" s="70">
        <f t="shared" si="622"/>
        <v>300000</v>
      </c>
      <c r="H2300" s="70">
        <f t="shared" si="622"/>
        <v>0</v>
      </c>
      <c r="I2300" s="70">
        <f t="shared" si="622"/>
        <v>0</v>
      </c>
      <c r="J2300" s="69"/>
      <c r="K2300" s="69"/>
      <c r="L2300" s="69"/>
      <c r="M2300" s="69"/>
      <c r="N2300" s="69"/>
      <c r="O2300" s="69"/>
      <c r="P2300" s="69"/>
      <c r="Q2300" s="69"/>
      <c r="R2300" s="69"/>
    </row>
    <row r="2301" spans="1:18" ht="34.5" customHeight="1">
      <c r="A2301" s="16" t="s">
        <v>37</v>
      </c>
      <c r="B2301" s="14">
        <v>793</v>
      </c>
      <c r="C2301" s="15" t="s">
        <v>167</v>
      </c>
      <c r="D2301" s="15" t="s">
        <v>27</v>
      </c>
      <c r="E2301" s="15" t="s">
        <v>1404</v>
      </c>
      <c r="F2301" s="15" t="s">
        <v>38</v>
      </c>
      <c r="G2301" s="70">
        <v>300000</v>
      </c>
      <c r="H2301" s="70">
        <v>0</v>
      </c>
      <c r="I2301" s="70">
        <v>0</v>
      </c>
      <c r="J2301" s="69"/>
      <c r="K2301" s="69"/>
      <c r="L2301" s="69"/>
      <c r="M2301" s="69"/>
      <c r="N2301" s="69"/>
      <c r="O2301" s="69"/>
      <c r="P2301" s="69"/>
      <c r="Q2301" s="69"/>
      <c r="R2301" s="69"/>
    </row>
    <row r="2302" spans="1:18" ht="66" customHeight="1">
      <c r="A2302" s="16" t="s">
        <v>1515</v>
      </c>
      <c r="B2302" s="14">
        <v>793</v>
      </c>
      <c r="C2302" s="15" t="s">
        <v>167</v>
      </c>
      <c r="D2302" s="15" t="s">
        <v>27</v>
      </c>
      <c r="E2302" s="15" t="s">
        <v>1467</v>
      </c>
      <c r="F2302" s="15"/>
      <c r="G2302" s="70">
        <f t="shared" si="622"/>
        <v>92180</v>
      </c>
      <c r="H2302" s="70">
        <f t="shared" si="622"/>
        <v>0</v>
      </c>
      <c r="I2302" s="70">
        <f t="shared" si="622"/>
        <v>0</v>
      </c>
      <c r="J2302" s="69"/>
      <c r="K2302" s="69"/>
      <c r="L2302" s="69"/>
      <c r="M2302" s="69"/>
      <c r="N2302" s="69"/>
      <c r="O2302" s="69"/>
      <c r="P2302" s="69"/>
      <c r="Q2302" s="69"/>
      <c r="R2302" s="69"/>
    </row>
    <row r="2303" spans="1:18" ht="34.5" customHeight="1">
      <c r="A2303" s="16" t="s">
        <v>35</v>
      </c>
      <c r="B2303" s="14">
        <v>793</v>
      </c>
      <c r="C2303" s="15" t="s">
        <v>167</v>
      </c>
      <c r="D2303" s="15" t="s">
        <v>27</v>
      </c>
      <c r="E2303" s="15" t="s">
        <v>1467</v>
      </c>
      <c r="F2303" s="15" t="s">
        <v>36</v>
      </c>
      <c r="G2303" s="70">
        <f t="shared" si="622"/>
        <v>92180</v>
      </c>
      <c r="H2303" s="70">
        <f t="shared" si="622"/>
        <v>0</v>
      </c>
      <c r="I2303" s="70">
        <f t="shared" si="622"/>
        <v>0</v>
      </c>
      <c r="J2303" s="69"/>
      <c r="K2303" s="69"/>
      <c r="L2303" s="69"/>
      <c r="M2303" s="69"/>
      <c r="N2303" s="69"/>
      <c r="O2303" s="69"/>
      <c r="P2303" s="69"/>
      <c r="Q2303" s="69"/>
      <c r="R2303" s="69"/>
    </row>
    <row r="2304" spans="1:18" ht="34.5" customHeight="1">
      <c r="A2304" s="16" t="s">
        <v>37</v>
      </c>
      <c r="B2304" s="14">
        <v>793</v>
      </c>
      <c r="C2304" s="15" t="s">
        <v>167</v>
      </c>
      <c r="D2304" s="15" t="s">
        <v>27</v>
      </c>
      <c r="E2304" s="15" t="s">
        <v>1467</v>
      </c>
      <c r="F2304" s="15" t="s">
        <v>38</v>
      </c>
      <c r="G2304" s="70">
        <f>202990-110810</f>
        <v>92180</v>
      </c>
      <c r="H2304" s="70">
        <v>0</v>
      </c>
      <c r="I2304" s="70">
        <v>0</v>
      </c>
      <c r="J2304" s="69"/>
      <c r="K2304" s="69"/>
      <c r="L2304" s="69"/>
      <c r="M2304" s="69"/>
      <c r="N2304" s="69"/>
      <c r="O2304" s="69"/>
      <c r="P2304" s="69"/>
      <c r="Q2304" s="69"/>
      <c r="R2304" s="69"/>
    </row>
    <row r="2305" spans="1:18" ht="56.25" customHeight="1">
      <c r="A2305" s="16" t="s">
        <v>1469</v>
      </c>
      <c r="B2305" s="14">
        <v>793</v>
      </c>
      <c r="C2305" s="15" t="s">
        <v>167</v>
      </c>
      <c r="D2305" s="15" t="s">
        <v>27</v>
      </c>
      <c r="E2305" s="15" t="s">
        <v>1468</v>
      </c>
      <c r="F2305" s="15"/>
      <c r="G2305" s="70">
        <f t="shared" si="622"/>
        <v>390650</v>
      </c>
      <c r="H2305" s="70">
        <f t="shared" si="622"/>
        <v>0</v>
      </c>
      <c r="I2305" s="70">
        <f t="shared" si="622"/>
        <v>0</v>
      </c>
      <c r="J2305" s="69"/>
      <c r="K2305" s="69"/>
      <c r="L2305" s="69"/>
      <c r="M2305" s="69"/>
      <c r="N2305" s="69"/>
      <c r="O2305" s="69"/>
      <c r="P2305" s="69"/>
      <c r="Q2305" s="69"/>
      <c r="R2305" s="69"/>
    </row>
    <row r="2306" spans="1:18" ht="34.5" customHeight="1">
      <c r="A2306" s="16" t="s">
        <v>35</v>
      </c>
      <c r="B2306" s="14">
        <v>793</v>
      </c>
      <c r="C2306" s="15" t="s">
        <v>167</v>
      </c>
      <c r="D2306" s="15" t="s">
        <v>27</v>
      </c>
      <c r="E2306" s="15" t="s">
        <v>1468</v>
      </c>
      <c r="F2306" s="15" t="s">
        <v>36</v>
      </c>
      <c r="G2306" s="70">
        <f t="shared" si="622"/>
        <v>390650</v>
      </c>
      <c r="H2306" s="70">
        <f t="shared" si="622"/>
        <v>0</v>
      </c>
      <c r="I2306" s="70">
        <f t="shared" si="622"/>
        <v>0</v>
      </c>
      <c r="J2306" s="69"/>
      <c r="K2306" s="69"/>
      <c r="L2306" s="69"/>
      <c r="M2306" s="69"/>
      <c r="N2306" s="69"/>
      <c r="O2306" s="69"/>
      <c r="P2306" s="69"/>
      <c r="Q2306" s="69"/>
      <c r="R2306" s="69"/>
    </row>
    <row r="2307" spans="1:18" ht="34.5" customHeight="1">
      <c r="A2307" s="16" t="s">
        <v>37</v>
      </c>
      <c r="B2307" s="14">
        <v>793</v>
      </c>
      <c r="C2307" s="15" t="s">
        <v>167</v>
      </c>
      <c r="D2307" s="15" t="s">
        <v>27</v>
      </c>
      <c r="E2307" s="15" t="s">
        <v>1468</v>
      </c>
      <c r="F2307" s="15" t="s">
        <v>38</v>
      </c>
      <c r="G2307" s="70">
        <f>226850+52990+110810</f>
        <v>390650</v>
      </c>
      <c r="H2307" s="70">
        <v>0</v>
      </c>
      <c r="I2307" s="70">
        <v>0</v>
      </c>
      <c r="J2307" s="69"/>
      <c r="K2307" s="69"/>
      <c r="L2307" s="69"/>
      <c r="M2307" s="69"/>
      <c r="N2307" s="69"/>
      <c r="O2307" s="69"/>
      <c r="P2307" s="69"/>
      <c r="Q2307" s="69"/>
      <c r="R2307" s="69"/>
    </row>
    <row r="2308" spans="1:18" s="46" customFormat="1" ht="33" customHeight="1">
      <c r="A2308" s="16" t="s">
        <v>267</v>
      </c>
      <c r="B2308" s="49">
        <v>793</v>
      </c>
      <c r="C2308" s="15" t="s">
        <v>167</v>
      </c>
      <c r="D2308" s="15" t="s">
        <v>27</v>
      </c>
      <c r="E2308" s="15" t="s">
        <v>543</v>
      </c>
      <c r="F2308" s="15"/>
      <c r="G2308" s="70">
        <f>G2338</f>
        <v>1228082</v>
      </c>
      <c r="H2308" s="70">
        <f t="shared" ref="H2308:I2308" si="623">H2335+H2309+H2332+H2329+H2338</f>
        <v>0</v>
      </c>
      <c r="I2308" s="70">
        <f t="shared" si="623"/>
        <v>0</v>
      </c>
      <c r="J2308" s="172"/>
      <c r="K2308" s="58"/>
      <c r="L2308" s="58"/>
      <c r="M2308" s="58"/>
      <c r="N2308" s="58"/>
      <c r="O2308" s="58"/>
      <c r="P2308" s="58"/>
      <c r="Q2308" s="58"/>
      <c r="R2308" s="58"/>
    </row>
    <row r="2309" spans="1:18" ht="67.5" hidden="1" customHeight="1">
      <c r="A2309" s="37" t="s">
        <v>680</v>
      </c>
      <c r="B2309" s="49">
        <v>793</v>
      </c>
      <c r="C2309" s="15" t="s">
        <v>167</v>
      </c>
      <c r="D2309" s="15" t="s">
        <v>167</v>
      </c>
      <c r="E2309" s="15" t="s">
        <v>687</v>
      </c>
      <c r="F2309" s="15"/>
      <c r="G2309" s="70">
        <f>G2310</f>
        <v>0</v>
      </c>
      <c r="H2309" s="8">
        <v>0</v>
      </c>
      <c r="I2309" s="8">
        <v>0</v>
      </c>
      <c r="J2309" s="332"/>
      <c r="K2309" s="69"/>
      <c r="L2309" s="69"/>
      <c r="M2309" s="69"/>
      <c r="N2309" s="69"/>
      <c r="O2309" s="69"/>
      <c r="P2309" s="69"/>
      <c r="Q2309" s="69"/>
      <c r="R2309" s="69"/>
    </row>
    <row r="2310" spans="1:18" ht="21" hidden="1" customHeight="1">
      <c r="A2310" s="16" t="s">
        <v>152</v>
      </c>
      <c r="B2310" s="49">
        <v>793</v>
      </c>
      <c r="C2310" s="15" t="s">
        <v>167</v>
      </c>
      <c r="D2310" s="15" t="s">
        <v>167</v>
      </c>
      <c r="E2310" s="15" t="s">
        <v>687</v>
      </c>
      <c r="F2310" s="15" t="s">
        <v>153</v>
      </c>
      <c r="G2310" s="70">
        <f>G2311</f>
        <v>0</v>
      </c>
      <c r="H2310" s="8">
        <v>0</v>
      </c>
      <c r="I2310" s="8">
        <v>0</v>
      </c>
      <c r="J2310" s="332"/>
      <c r="K2310" s="69"/>
      <c r="L2310" s="69"/>
      <c r="M2310" s="69"/>
      <c r="N2310" s="69"/>
      <c r="O2310" s="69"/>
      <c r="P2310" s="69"/>
      <c r="Q2310" s="69"/>
      <c r="R2310" s="69"/>
    </row>
    <row r="2311" spans="1:18" ht="20.25" hidden="1" customHeight="1">
      <c r="A2311" s="16" t="s">
        <v>172</v>
      </c>
      <c r="B2311" s="49">
        <v>793</v>
      </c>
      <c r="C2311" s="15" t="s">
        <v>167</v>
      </c>
      <c r="D2311" s="15" t="s">
        <v>167</v>
      </c>
      <c r="E2311" s="15" t="s">
        <v>687</v>
      </c>
      <c r="F2311" s="15" t="s">
        <v>173</v>
      </c>
      <c r="G2311" s="70"/>
      <c r="H2311" s="8"/>
      <c r="I2311" s="8"/>
      <c r="J2311" s="332"/>
      <c r="K2311" s="69"/>
      <c r="L2311" s="69"/>
      <c r="M2311" s="69"/>
      <c r="N2311" s="69"/>
      <c r="O2311" s="69"/>
      <c r="P2311" s="69"/>
      <c r="Q2311" s="69"/>
      <c r="R2311" s="69"/>
    </row>
    <row r="2312" spans="1:18" ht="25.5" hidden="1" customHeight="1">
      <c r="A2312" s="37" t="s">
        <v>599</v>
      </c>
      <c r="B2312" s="49">
        <v>793</v>
      </c>
      <c r="C2312" s="15" t="s">
        <v>167</v>
      </c>
      <c r="D2312" s="15" t="s">
        <v>167</v>
      </c>
      <c r="E2312" s="15" t="s">
        <v>596</v>
      </c>
      <c r="F2312" s="15"/>
      <c r="G2312" s="70">
        <f>G2313</f>
        <v>0</v>
      </c>
      <c r="H2312" s="8">
        <v>0</v>
      </c>
      <c r="I2312" s="8">
        <v>0</v>
      </c>
      <c r="J2312" s="332"/>
      <c r="K2312" s="69"/>
      <c r="L2312" s="69"/>
      <c r="M2312" s="69"/>
      <c r="N2312" s="69"/>
      <c r="O2312" s="69"/>
      <c r="P2312" s="69"/>
      <c r="Q2312" s="69"/>
      <c r="R2312" s="69"/>
    </row>
    <row r="2313" spans="1:18" ht="39.75" hidden="1" customHeight="1">
      <c r="A2313" s="37" t="s">
        <v>598</v>
      </c>
      <c r="B2313" s="49">
        <v>793</v>
      </c>
      <c r="C2313" s="15" t="s">
        <v>167</v>
      </c>
      <c r="D2313" s="15" t="s">
        <v>167</v>
      </c>
      <c r="E2313" s="15" t="s">
        <v>597</v>
      </c>
      <c r="F2313" s="15"/>
      <c r="G2313" s="70">
        <f>G2314</f>
        <v>0</v>
      </c>
      <c r="H2313" s="8">
        <v>0</v>
      </c>
      <c r="I2313" s="8">
        <v>0</v>
      </c>
      <c r="J2313" s="332"/>
      <c r="K2313" s="69"/>
      <c r="L2313" s="69"/>
      <c r="M2313" s="69"/>
      <c r="N2313" s="69"/>
      <c r="O2313" s="69"/>
      <c r="P2313" s="69"/>
      <c r="Q2313" s="69"/>
      <c r="R2313" s="69"/>
    </row>
    <row r="2314" spans="1:18" ht="30.75" hidden="1" customHeight="1">
      <c r="A2314" s="16" t="s">
        <v>94</v>
      </c>
      <c r="B2314" s="49">
        <v>793</v>
      </c>
      <c r="C2314" s="15" t="s">
        <v>167</v>
      </c>
      <c r="D2314" s="15" t="s">
        <v>167</v>
      </c>
      <c r="E2314" s="15" t="s">
        <v>597</v>
      </c>
      <c r="F2314" s="15" t="s">
        <v>338</v>
      </c>
      <c r="G2314" s="70">
        <f>G2315</f>
        <v>0</v>
      </c>
      <c r="H2314" s="8">
        <v>0</v>
      </c>
      <c r="I2314" s="8">
        <v>0</v>
      </c>
      <c r="J2314" s="332"/>
      <c r="K2314" s="69"/>
      <c r="L2314" s="69"/>
      <c r="M2314" s="69"/>
      <c r="N2314" s="69"/>
      <c r="O2314" s="69"/>
      <c r="P2314" s="69"/>
      <c r="Q2314" s="69"/>
      <c r="R2314" s="69"/>
    </row>
    <row r="2315" spans="1:18" ht="30.75" hidden="1" customHeight="1">
      <c r="A2315" s="16" t="s">
        <v>339</v>
      </c>
      <c r="B2315" s="49">
        <v>793</v>
      </c>
      <c r="C2315" s="15" t="s">
        <v>167</v>
      </c>
      <c r="D2315" s="15" t="s">
        <v>167</v>
      </c>
      <c r="E2315" s="15" t="s">
        <v>597</v>
      </c>
      <c r="F2315" s="15" t="s">
        <v>340</v>
      </c>
      <c r="G2315" s="70"/>
      <c r="H2315" s="8">
        <v>0</v>
      </c>
      <c r="I2315" s="8">
        <v>0</v>
      </c>
      <c r="J2315" s="332"/>
      <c r="K2315" s="69"/>
      <c r="L2315" s="69"/>
      <c r="M2315" s="69"/>
      <c r="N2315" s="69"/>
      <c r="O2315" s="69"/>
      <c r="P2315" s="69"/>
      <c r="Q2315" s="69"/>
      <c r="R2315" s="69"/>
    </row>
    <row r="2316" spans="1:18" ht="55.5" hidden="1" customHeight="1">
      <c r="A2316" s="37" t="s">
        <v>704</v>
      </c>
      <c r="B2316" s="49">
        <v>793</v>
      </c>
      <c r="C2316" s="15" t="s">
        <v>167</v>
      </c>
      <c r="D2316" s="15" t="s">
        <v>167</v>
      </c>
      <c r="E2316" s="15" t="s">
        <v>688</v>
      </c>
      <c r="F2316" s="15"/>
      <c r="G2316" s="70">
        <f>G2317+G2319</f>
        <v>0</v>
      </c>
      <c r="H2316" s="70">
        <f t="shared" ref="H2316:I2316" si="624">H2317+H2319</f>
        <v>0</v>
      </c>
      <c r="I2316" s="70">
        <f t="shared" si="624"/>
        <v>0</v>
      </c>
      <c r="J2316" s="172"/>
      <c r="K2316" s="69"/>
      <c r="L2316" s="69"/>
      <c r="M2316" s="69"/>
      <c r="N2316" s="69"/>
      <c r="O2316" s="69"/>
      <c r="P2316" s="69"/>
      <c r="Q2316" s="69"/>
      <c r="R2316" s="69"/>
    </row>
    <row r="2317" spans="1:18" ht="27" hidden="1" customHeight="1">
      <c r="A2317" s="16" t="s">
        <v>94</v>
      </c>
      <c r="B2317" s="49">
        <v>793</v>
      </c>
      <c r="C2317" s="15" t="s">
        <v>167</v>
      </c>
      <c r="D2317" s="15" t="s">
        <v>167</v>
      </c>
      <c r="E2317" s="15" t="s">
        <v>582</v>
      </c>
      <c r="F2317" s="15" t="s">
        <v>338</v>
      </c>
      <c r="G2317" s="70">
        <f>G2318</f>
        <v>0</v>
      </c>
      <c r="H2317" s="8">
        <f>H2318</f>
        <v>0</v>
      </c>
      <c r="I2317" s="8">
        <v>0</v>
      </c>
      <c r="J2317" s="332"/>
      <c r="K2317" s="69"/>
      <c r="L2317" s="69"/>
      <c r="M2317" s="69"/>
      <c r="N2317" s="69"/>
      <c r="O2317" s="69"/>
      <c r="P2317" s="69"/>
      <c r="Q2317" s="69"/>
      <c r="R2317" s="69"/>
    </row>
    <row r="2318" spans="1:18" ht="18.75" hidden="1" customHeight="1">
      <c r="A2318" s="16" t="s">
        <v>339</v>
      </c>
      <c r="B2318" s="49">
        <v>793</v>
      </c>
      <c r="C2318" s="15" t="s">
        <v>167</v>
      </c>
      <c r="D2318" s="15" t="s">
        <v>167</v>
      </c>
      <c r="E2318" s="15" t="s">
        <v>582</v>
      </c>
      <c r="F2318" s="15" t="s">
        <v>340</v>
      </c>
      <c r="G2318" s="70"/>
      <c r="H2318" s="8"/>
      <c r="I2318" s="8">
        <v>0</v>
      </c>
      <c r="J2318" s="332"/>
      <c r="K2318" s="69"/>
      <c r="L2318" s="69"/>
      <c r="M2318" s="69"/>
      <c r="N2318" s="69"/>
      <c r="O2318" s="69"/>
      <c r="P2318" s="69"/>
      <c r="Q2318" s="69"/>
      <c r="R2318" s="69"/>
    </row>
    <row r="2319" spans="1:18" ht="39.75" hidden="1" customHeight="1">
      <c r="A2319" s="16" t="s">
        <v>35</v>
      </c>
      <c r="B2319" s="49">
        <v>793</v>
      </c>
      <c r="C2319" s="15" t="s">
        <v>167</v>
      </c>
      <c r="D2319" s="15" t="s">
        <v>167</v>
      </c>
      <c r="E2319" s="15" t="s">
        <v>689</v>
      </c>
      <c r="F2319" s="15" t="s">
        <v>338</v>
      </c>
      <c r="G2319" s="70">
        <f>G2320</f>
        <v>0</v>
      </c>
      <c r="H2319" s="8"/>
      <c r="I2319" s="8"/>
      <c r="J2319" s="332"/>
      <c r="K2319" s="69"/>
      <c r="L2319" s="69"/>
      <c r="M2319" s="69"/>
      <c r="N2319" s="69"/>
      <c r="O2319" s="69"/>
      <c r="P2319" s="69"/>
      <c r="Q2319" s="69"/>
      <c r="R2319" s="69"/>
    </row>
    <row r="2320" spans="1:18" ht="39" hidden="1" customHeight="1">
      <c r="A2320" s="16" t="s">
        <v>37</v>
      </c>
      <c r="B2320" s="49">
        <v>793</v>
      </c>
      <c r="C2320" s="15" t="s">
        <v>167</v>
      </c>
      <c r="D2320" s="15" t="s">
        <v>167</v>
      </c>
      <c r="E2320" s="15" t="s">
        <v>688</v>
      </c>
      <c r="F2320" s="15" t="s">
        <v>340</v>
      </c>
      <c r="G2320" s="70">
        <f>358104.72+400000-758104.72</f>
        <v>0</v>
      </c>
      <c r="H2320" s="8"/>
      <c r="I2320" s="8"/>
      <c r="J2320" s="332"/>
      <c r="K2320" s="69"/>
      <c r="L2320" s="69"/>
      <c r="M2320" s="69"/>
      <c r="N2320" s="69"/>
      <c r="O2320" s="69"/>
      <c r="P2320" s="69"/>
      <c r="Q2320" s="69"/>
      <c r="R2320" s="69"/>
    </row>
    <row r="2321" spans="1:18" ht="57" hidden="1" customHeight="1">
      <c r="A2321" s="37" t="s">
        <v>704</v>
      </c>
      <c r="B2321" s="49">
        <v>793</v>
      </c>
      <c r="C2321" s="15" t="s">
        <v>167</v>
      </c>
      <c r="D2321" s="15" t="s">
        <v>167</v>
      </c>
      <c r="E2321" s="15" t="s">
        <v>582</v>
      </c>
      <c r="F2321" s="15"/>
      <c r="G2321" s="70">
        <f>G2322+G2324</f>
        <v>0</v>
      </c>
      <c r="H2321" s="70">
        <f t="shared" ref="H2321:I2321" si="625">H2322+H2324</f>
        <v>0</v>
      </c>
      <c r="I2321" s="70">
        <f t="shared" si="625"/>
        <v>0</v>
      </c>
      <c r="J2321" s="172"/>
      <c r="K2321" s="69"/>
      <c r="L2321" s="69"/>
      <c r="M2321" s="69"/>
      <c r="N2321" s="69"/>
      <c r="O2321" s="69"/>
      <c r="P2321" s="69"/>
      <c r="Q2321" s="69"/>
      <c r="R2321" s="69"/>
    </row>
    <row r="2322" spans="1:18" ht="27" hidden="1" customHeight="1">
      <c r="A2322" s="16" t="s">
        <v>94</v>
      </c>
      <c r="B2322" s="49">
        <v>793</v>
      </c>
      <c r="C2322" s="15" t="s">
        <v>167</v>
      </c>
      <c r="D2322" s="15" t="s">
        <v>167</v>
      </c>
      <c r="E2322" s="15" t="s">
        <v>582</v>
      </c>
      <c r="F2322" s="15" t="s">
        <v>338</v>
      </c>
      <c r="G2322" s="70">
        <f>G2323</f>
        <v>0</v>
      </c>
      <c r="H2322" s="8">
        <f>H2323</f>
        <v>0</v>
      </c>
      <c r="I2322" s="8">
        <v>0</v>
      </c>
      <c r="J2322" s="332"/>
      <c r="K2322" s="69"/>
      <c r="L2322" s="69"/>
      <c r="M2322" s="69"/>
      <c r="N2322" s="69"/>
      <c r="O2322" s="69"/>
      <c r="P2322" s="69"/>
      <c r="Q2322" s="69"/>
      <c r="R2322" s="69"/>
    </row>
    <row r="2323" spans="1:18" ht="18.75" hidden="1" customHeight="1">
      <c r="A2323" s="16" t="s">
        <v>339</v>
      </c>
      <c r="B2323" s="49">
        <v>793</v>
      </c>
      <c r="C2323" s="15" t="s">
        <v>167</v>
      </c>
      <c r="D2323" s="15" t="s">
        <v>167</v>
      </c>
      <c r="E2323" s="15" t="s">
        <v>582</v>
      </c>
      <c r="F2323" s="15" t="s">
        <v>340</v>
      </c>
      <c r="G2323" s="70"/>
      <c r="H2323" s="8"/>
      <c r="I2323" s="8">
        <v>0</v>
      </c>
      <c r="J2323" s="332"/>
      <c r="K2323" s="69"/>
      <c r="L2323" s="69"/>
      <c r="M2323" s="69"/>
      <c r="N2323" s="69"/>
      <c r="O2323" s="69"/>
      <c r="P2323" s="69"/>
      <c r="Q2323" s="69"/>
      <c r="R2323" s="69"/>
    </row>
    <row r="2324" spans="1:18" ht="30" hidden="1" customHeight="1">
      <c r="A2324" s="16" t="s">
        <v>35</v>
      </c>
      <c r="B2324" s="49">
        <v>793</v>
      </c>
      <c r="C2324" s="15" t="s">
        <v>167</v>
      </c>
      <c r="D2324" s="15" t="s">
        <v>167</v>
      </c>
      <c r="E2324" s="15" t="s">
        <v>582</v>
      </c>
      <c r="F2324" s="15" t="s">
        <v>338</v>
      </c>
      <c r="G2324" s="70">
        <f>G2325</f>
        <v>0</v>
      </c>
      <c r="H2324" s="8">
        <v>0</v>
      </c>
      <c r="I2324" s="8">
        <v>0</v>
      </c>
      <c r="J2324" s="332"/>
      <c r="K2324" s="69"/>
      <c r="L2324" s="69"/>
      <c r="M2324" s="69"/>
      <c r="N2324" s="69"/>
      <c r="O2324" s="69"/>
      <c r="P2324" s="69"/>
      <c r="Q2324" s="69"/>
      <c r="R2324" s="69"/>
    </row>
    <row r="2325" spans="1:18" ht="30.75" hidden="1" customHeight="1">
      <c r="A2325" s="16" t="s">
        <v>37</v>
      </c>
      <c r="B2325" s="49">
        <v>793</v>
      </c>
      <c r="C2325" s="15" t="s">
        <v>167</v>
      </c>
      <c r="D2325" s="15" t="s">
        <v>167</v>
      </c>
      <c r="E2325" s="15" t="s">
        <v>582</v>
      </c>
      <c r="F2325" s="15" t="s">
        <v>340</v>
      </c>
      <c r="G2325" s="70"/>
      <c r="H2325" s="8"/>
      <c r="I2325" s="8"/>
      <c r="J2325" s="332"/>
      <c r="K2325" s="69"/>
      <c r="L2325" s="69"/>
      <c r="M2325" s="69"/>
      <c r="N2325" s="69"/>
      <c r="O2325" s="69"/>
      <c r="P2325" s="69"/>
      <c r="Q2325" s="69"/>
      <c r="R2325" s="69"/>
    </row>
    <row r="2326" spans="1:18" s="3" customFormat="1" ht="33.75" hidden="1" customHeight="1">
      <c r="A2326" s="16" t="s">
        <v>482</v>
      </c>
      <c r="B2326" s="49">
        <v>793</v>
      </c>
      <c r="C2326" s="15" t="s">
        <v>167</v>
      </c>
      <c r="D2326" s="15" t="s">
        <v>167</v>
      </c>
      <c r="E2326" s="15" t="s">
        <v>483</v>
      </c>
      <c r="F2326" s="15"/>
      <c r="G2326" s="70">
        <f>G2327</f>
        <v>0</v>
      </c>
      <c r="H2326" s="8">
        <v>0</v>
      </c>
      <c r="I2326" s="8">
        <v>0</v>
      </c>
      <c r="J2326" s="332"/>
      <c r="K2326" s="62"/>
      <c r="L2326" s="62"/>
      <c r="M2326" s="62"/>
      <c r="N2326" s="62"/>
      <c r="O2326" s="62"/>
      <c r="P2326" s="62"/>
      <c r="Q2326" s="62"/>
      <c r="R2326" s="62"/>
    </row>
    <row r="2327" spans="1:18" s="3" customFormat="1" ht="38.25" hidden="1" customHeight="1">
      <c r="A2327" s="16" t="s">
        <v>35</v>
      </c>
      <c r="B2327" s="49">
        <v>793</v>
      </c>
      <c r="C2327" s="15" t="s">
        <v>167</v>
      </c>
      <c r="D2327" s="15" t="s">
        <v>167</v>
      </c>
      <c r="E2327" s="15" t="s">
        <v>483</v>
      </c>
      <c r="F2327" s="15" t="s">
        <v>36</v>
      </c>
      <c r="G2327" s="70">
        <f>G2328</f>
        <v>0</v>
      </c>
      <c r="H2327" s="8">
        <v>0</v>
      </c>
      <c r="I2327" s="8">
        <v>0</v>
      </c>
      <c r="J2327" s="332"/>
      <c r="K2327" s="62"/>
      <c r="L2327" s="62"/>
      <c r="M2327" s="62"/>
      <c r="N2327" s="62"/>
      <c r="O2327" s="62"/>
      <c r="P2327" s="62"/>
      <c r="Q2327" s="62"/>
      <c r="R2327" s="62"/>
    </row>
    <row r="2328" spans="1:18" s="3" customFormat="1" ht="38.25" hidden="1" customHeight="1">
      <c r="A2328" s="16" t="s">
        <v>37</v>
      </c>
      <c r="B2328" s="49">
        <v>793</v>
      </c>
      <c r="C2328" s="15" t="s">
        <v>167</v>
      </c>
      <c r="D2328" s="15" t="s">
        <v>167</v>
      </c>
      <c r="E2328" s="15" t="s">
        <v>483</v>
      </c>
      <c r="F2328" s="15" t="s">
        <v>38</v>
      </c>
      <c r="G2328" s="70"/>
      <c r="H2328" s="8">
        <v>0</v>
      </c>
      <c r="I2328" s="8">
        <v>0</v>
      </c>
      <c r="J2328" s="332"/>
      <c r="K2328" s="62"/>
      <c r="L2328" s="62"/>
      <c r="M2328" s="62"/>
      <c r="N2328" s="62"/>
      <c r="O2328" s="62"/>
      <c r="P2328" s="62"/>
      <c r="Q2328" s="62"/>
      <c r="R2328" s="62"/>
    </row>
    <row r="2329" spans="1:18" ht="67.5" hidden="1" customHeight="1">
      <c r="A2329" s="37" t="s">
        <v>949</v>
      </c>
      <c r="B2329" s="49">
        <v>793</v>
      </c>
      <c r="C2329" s="15" t="s">
        <v>167</v>
      </c>
      <c r="D2329" s="15" t="s">
        <v>167</v>
      </c>
      <c r="E2329" s="15" t="s">
        <v>582</v>
      </c>
      <c r="F2329" s="15"/>
      <c r="G2329" s="70">
        <f>G2330</f>
        <v>0</v>
      </c>
      <c r="H2329" s="8">
        <v>0</v>
      </c>
      <c r="I2329" s="8">
        <v>0</v>
      </c>
      <c r="J2329" s="332"/>
      <c r="K2329" s="69"/>
      <c r="L2329" s="69"/>
      <c r="M2329" s="69"/>
      <c r="N2329" s="69"/>
      <c r="O2329" s="69"/>
      <c r="P2329" s="69"/>
      <c r="Q2329" s="69"/>
      <c r="R2329" s="69"/>
    </row>
    <row r="2330" spans="1:18" ht="44.25" hidden="1" customHeight="1">
      <c r="A2330" s="16" t="s">
        <v>94</v>
      </c>
      <c r="B2330" s="49">
        <v>793</v>
      </c>
      <c r="C2330" s="15" t="s">
        <v>167</v>
      </c>
      <c r="D2330" s="15" t="s">
        <v>167</v>
      </c>
      <c r="E2330" s="15" t="s">
        <v>582</v>
      </c>
      <c r="F2330" s="15" t="s">
        <v>338</v>
      </c>
      <c r="G2330" s="70">
        <f>G2331</f>
        <v>0</v>
      </c>
      <c r="H2330" s="8">
        <v>0</v>
      </c>
      <c r="I2330" s="8">
        <v>0</v>
      </c>
      <c r="J2330" s="332"/>
      <c r="K2330" s="69"/>
      <c r="L2330" s="69"/>
      <c r="M2330" s="69"/>
      <c r="N2330" s="69"/>
      <c r="O2330" s="69"/>
      <c r="P2330" s="69"/>
      <c r="Q2330" s="69"/>
      <c r="R2330" s="69"/>
    </row>
    <row r="2331" spans="1:18" ht="20.25" hidden="1" customHeight="1">
      <c r="A2331" s="16" t="s">
        <v>339</v>
      </c>
      <c r="B2331" s="49">
        <v>793</v>
      </c>
      <c r="C2331" s="15" t="s">
        <v>167</v>
      </c>
      <c r="D2331" s="15" t="s">
        <v>167</v>
      </c>
      <c r="E2331" s="15" t="s">
        <v>582</v>
      </c>
      <c r="F2331" s="15" t="s">
        <v>340</v>
      </c>
      <c r="G2331" s="335"/>
      <c r="H2331" s="8"/>
      <c r="I2331" s="8"/>
      <c r="J2331" s="332"/>
      <c r="K2331" s="69"/>
      <c r="L2331" s="69"/>
      <c r="M2331" s="69"/>
      <c r="N2331" s="69"/>
      <c r="O2331" s="69"/>
      <c r="P2331" s="69"/>
      <c r="Q2331" s="69"/>
      <c r="R2331" s="69"/>
    </row>
    <row r="2332" spans="1:18" ht="70.5" hidden="1" customHeight="1">
      <c r="A2332" s="37" t="s">
        <v>786</v>
      </c>
      <c r="B2332" s="49">
        <v>793</v>
      </c>
      <c r="C2332" s="15" t="s">
        <v>167</v>
      </c>
      <c r="D2332" s="15" t="s">
        <v>167</v>
      </c>
      <c r="E2332" s="15" t="s">
        <v>686</v>
      </c>
      <c r="F2332" s="15"/>
      <c r="G2332" s="70">
        <f>G2333</f>
        <v>0</v>
      </c>
      <c r="H2332" s="8">
        <v>0</v>
      </c>
      <c r="I2332" s="8">
        <v>0</v>
      </c>
      <c r="J2332" s="332"/>
      <c r="K2332" s="69"/>
      <c r="L2332" s="69"/>
      <c r="M2332" s="69"/>
      <c r="N2332" s="69"/>
      <c r="O2332" s="69"/>
      <c r="P2332" s="69"/>
      <c r="Q2332" s="69"/>
      <c r="R2332" s="69"/>
    </row>
    <row r="2333" spans="1:18" ht="21" hidden="1" customHeight="1">
      <c r="A2333" s="16" t="s">
        <v>152</v>
      </c>
      <c r="B2333" s="49">
        <v>793</v>
      </c>
      <c r="C2333" s="15" t="s">
        <v>167</v>
      </c>
      <c r="D2333" s="15" t="s">
        <v>167</v>
      </c>
      <c r="E2333" s="15" t="s">
        <v>686</v>
      </c>
      <c r="F2333" s="15" t="s">
        <v>153</v>
      </c>
      <c r="G2333" s="70">
        <f>G2334</f>
        <v>0</v>
      </c>
      <c r="H2333" s="8">
        <v>0</v>
      </c>
      <c r="I2333" s="8">
        <v>0</v>
      </c>
      <c r="J2333" s="332"/>
      <c r="K2333" s="69"/>
      <c r="L2333" s="69"/>
      <c r="M2333" s="69"/>
      <c r="N2333" s="69"/>
      <c r="O2333" s="69"/>
      <c r="P2333" s="69"/>
      <c r="Q2333" s="69"/>
      <c r="R2333" s="69"/>
    </row>
    <row r="2334" spans="1:18" ht="20.25" hidden="1" customHeight="1">
      <c r="A2334" s="16" t="s">
        <v>172</v>
      </c>
      <c r="B2334" s="49">
        <v>793</v>
      </c>
      <c r="C2334" s="15" t="s">
        <v>167</v>
      </c>
      <c r="D2334" s="15" t="s">
        <v>167</v>
      </c>
      <c r="E2334" s="15" t="s">
        <v>686</v>
      </c>
      <c r="F2334" s="15" t="s">
        <v>173</v>
      </c>
      <c r="G2334" s="70"/>
      <c r="H2334" s="8"/>
      <c r="I2334" s="8"/>
      <c r="J2334" s="332"/>
      <c r="K2334" s="69"/>
      <c r="L2334" s="69"/>
      <c r="M2334" s="69"/>
      <c r="N2334" s="69"/>
      <c r="O2334" s="69"/>
      <c r="P2334" s="69"/>
      <c r="Q2334" s="69"/>
      <c r="R2334" s="69"/>
    </row>
    <row r="2335" spans="1:18" ht="57" hidden="1" customHeight="1">
      <c r="A2335" s="37" t="s">
        <v>833</v>
      </c>
      <c r="B2335" s="49">
        <v>793</v>
      </c>
      <c r="C2335" s="15" t="s">
        <v>167</v>
      </c>
      <c r="D2335" s="15" t="s">
        <v>167</v>
      </c>
      <c r="E2335" s="15" t="s">
        <v>832</v>
      </c>
      <c r="F2335" s="15"/>
      <c r="G2335" s="70">
        <f>G2336</f>
        <v>0</v>
      </c>
      <c r="H2335" s="70">
        <f t="shared" ref="H2335:I2335" si="626">H2336</f>
        <v>0</v>
      </c>
      <c r="I2335" s="70">
        <f t="shared" si="626"/>
        <v>0</v>
      </c>
      <c r="J2335" s="172"/>
      <c r="K2335" s="69"/>
      <c r="L2335" s="69"/>
      <c r="M2335" s="69"/>
      <c r="N2335" s="69"/>
      <c r="O2335" s="69"/>
      <c r="P2335" s="69"/>
      <c r="Q2335" s="69"/>
      <c r="R2335" s="69"/>
    </row>
    <row r="2336" spans="1:18" ht="27" hidden="1" customHeight="1">
      <c r="A2336" s="16" t="s">
        <v>62</v>
      </c>
      <c r="B2336" s="49">
        <v>793</v>
      </c>
      <c r="C2336" s="15" t="s">
        <v>167</v>
      </c>
      <c r="D2336" s="15" t="s">
        <v>167</v>
      </c>
      <c r="E2336" s="15" t="s">
        <v>832</v>
      </c>
      <c r="F2336" s="15" t="s">
        <v>63</v>
      </c>
      <c r="G2336" s="70">
        <f>G2337</f>
        <v>0</v>
      </c>
      <c r="H2336" s="8">
        <f>H2337</f>
        <v>0</v>
      </c>
      <c r="I2336" s="8">
        <f>I2337</f>
        <v>0</v>
      </c>
      <c r="J2336" s="332"/>
      <c r="K2336" s="69"/>
      <c r="L2336" s="69"/>
      <c r="M2336" s="69"/>
      <c r="N2336" s="69"/>
      <c r="O2336" s="69"/>
      <c r="P2336" s="69"/>
      <c r="Q2336" s="69"/>
      <c r="R2336" s="69"/>
    </row>
    <row r="2337" spans="1:20" ht="18.75" hidden="1" customHeight="1">
      <c r="A2337" s="16" t="s">
        <v>174</v>
      </c>
      <c r="B2337" s="49">
        <v>793</v>
      </c>
      <c r="C2337" s="15" t="s">
        <v>167</v>
      </c>
      <c r="D2337" s="15" t="s">
        <v>167</v>
      </c>
      <c r="E2337" s="15" t="s">
        <v>832</v>
      </c>
      <c r="F2337" s="15" t="s">
        <v>175</v>
      </c>
      <c r="G2337" s="70">
        <f>450000-450000</f>
        <v>0</v>
      </c>
      <c r="H2337" s="70">
        <v>0</v>
      </c>
      <c r="I2337" s="70">
        <v>0</v>
      </c>
      <c r="J2337" s="172"/>
      <c r="K2337" s="69"/>
      <c r="L2337" s="69"/>
      <c r="M2337" s="69"/>
      <c r="N2337" s="69"/>
      <c r="O2337" s="69"/>
      <c r="P2337" s="69"/>
      <c r="Q2337" s="69"/>
      <c r="R2337" s="69"/>
    </row>
    <row r="2338" spans="1:20" ht="20.25" customHeight="1">
      <c r="A2338" s="37" t="s">
        <v>267</v>
      </c>
      <c r="B2338" s="49">
        <v>793</v>
      </c>
      <c r="C2338" s="15" t="s">
        <v>167</v>
      </c>
      <c r="D2338" s="15" t="s">
        <v>27</v>
      </c>
      <c r="E2338" s="15" t="s">
        <v>544</v>
      </c>
      <c r="F2338" s="15"/>
      <c r="G2338" s="70">
        <f>G2339</f>
        <v>1228082</v>
      </c>
      <c r="H2338" s="70">
        <f>H2341</f>
        <v>0</v>
      </c>
      <c r="I2338" s="70">
        <f>I2341</f>
        <v>0</v>
      </c>
      <c r="J2338" s="332"/>
      <c r="K2338" s="69"/>
      <c r="L2338" s="69"/>
      <c r="M2338" s="69"/>
      <c r="N2338" s="69"/>
      <c r="O2338" s="69"/>
      <c r="P2338" s="69"/>
      <c r="Q2338" s="69"/>
      <c r="R2338" s="69"/>
    </row>
    <row r="2339" spans="1:20" ht="27.75" customHeight="1">
      <c r="A2339" s="16" t="s">
        <v>316</v>
      </c>
      <c r="B2339" s="49">
        <v>793</v>
      </c>
      <c r="C2339" s="15" t="s">
        <v>167</v>
      </c>
      <c r="D2339" s="15" t="s">
        <v>27</v>
      </c>
      <c r="E2339" s="15" t="s">
        <v>544</v>
      </c>
      <c r="F2339" s="15" t="s">
        <v>36</v>
      </c>
      <c r="G2339" s="70">
        <f>G2340</f>
        <v>1228082</v>
      </c>
      <c r="H2339" s="70">
        <f t="shared" ref="H2339:I2339" si="627">H2340</f>
        <v>0</v>
      </c>
      <c r="I2339" s="70">
        <f t="shared" si="627"/>
        <v>0</v>
      </c>
      <c r="J2339" s="332"/>
      <c r="K2339" s="69"/>
      <c r="L2339" s="69"/>
      <c r="M2339" s="69"/>
      <c r="N2339" s="69"/>
      <c r="O2339" s="69"/>
      <c r="P2339" s="69"/>
      <c r="Q2339" s="69"/>
      <c r="R2339" s="69"/>
    </row>
    <row r="2340" spans="1:20" ht="31.5" customHeight="1">
      <c r="A2340" s="16" t="s">
        <v>37</v>
      </c>
      <c r="B2340" s="49">
        <v>793</v>
      </c>
      <c r="C2340" s="15" t="s">
        <v>167</v>
      </c>
      <c r="D2340" s="15" t="s">
        <v>27</v>
      </c>
      <c r="E2340" s="15" t="s">
        <v>544</v>
      </c>
      <c r="F2340" s="15" t="s">
        <v>38</v>
      </c>
      <c r="G2340" s="70">
        <v>1228082</v>
      </c>
      <c r="H2340" s="70">
        <v>0</v>
      </c>
      <c r="I2340" s="70">
        <v>0</v>
      </c>
      <c r="J2340" s="332"/>
      <c r="K2340" s="69"/>
      <c r="L2340" s="69"/>
      <c r="M2340" s="69"/>
      <c r="N2340" s="69"/>
      <c r="O2340" s="69"/>
      <c r="P2340" s="69"/>
      <c r="Q2340" s="69"/>
      <c r="R2340" s="69"/>
    </row>
    <row r="2341" spans="1:20" s="146" customFormat="1" ht="26.25" customHeight="1">
      <c r="A2341" s="16" t="s">
        <v>1278</v>
      </c>
      <c r="B2341" s="145">
        <v>793</v>
      </c>
      <c r="C2341" s="15" t="s">
        <v>167</v>
      </c>
      <c r="D2341" s="15" t="s">
        <v>27</v>
      </c>
      <c r="E2341" s="143" t="s">
        <v>228</v>
      </c>
      <c r="F2341" s="84"/>
      <c r="G2341" s="87">
        <f>G2342</f>
        <v>149100.10999999999</v>
      </c>
      <c r="H2341" s="87">
        <f t="shared" ref="H2341:I2341" si="628">H2356</f>
        <v>0</v>
      </c>
      <c r="I2341" s="87">
        <f t="shared" si="628"/>
        <v>0</v>
      </c>
      <c r="J2341" s="148">
        <v>1487719</v>
      </c>
      <c r="P2341" s="148"/>
      <c r="Q2341" s="148"/>
      <c r="R2341" s="148"/>
      <c r="S2341" s="148"/>
      <c r="T2341" s="148"/>
    </row>
    <row r="2342" spans="1:20" s="122" customFormat="1" ht="51.75" customHeight="1">
      <c r="A2342" s="16" t="s">
        <v>612</v>
      </c>
      <c r="B2342" s="145">
        <v>793</v>
      </c>
      <c r="C2342" s="15" t="s">
        <v>167</v>
      </c>
      <c r="D2342" s="15" t="s">
        <v>27</v>
      </c>
      <c r="E2342" s="84" t="s">
        <v>270</v>
      </c>
      <c r="F2342" s="84"/>
      <c r="G2342" s="87">
        <f t="shared" ref="G2342:I2343" si="629">G2343</f>
        <v>149100.10999999999</v>
      </c>
      <c r="H2342" s="87">
        <f t="shared" si="629"/>
        <v>0</v>
      </c>
      <c r="I2342" s="87">
        <f t="shared" si="629"/>
        <v>0</v>
      </c>
      <c r="J2342" s="121"/>
      <c r="P2342" s="121"/>
      <c r="Q2342" s="121"/>
      <c r="R2342" s="121"/>
      <c r="S2342" s="121"/>
      <c r="T2342" s="121"/>
    </row>
    <row r="2343" spans="1:20" s="122" customFormat="1" ht="26.25" customHeight="1">
      <c r="A2343" s="16" t="s">
        <v>316</v>
      </c>
      <c r="B2343" s="145">
        <v>793</v>
      </c>
      <c r="C2343" s="15" t="s">
        <v>167</v>
      </c>
      <c r="D2343" s="15" t="s">
        <v>27</v>
      </c>
      <c r="E2343" s="84" t="s">
        <v>270</v>
      </c>
      <c r="F2343" s="84" t="s">
        <v>36</v>
      </c>
      <c r="G2343" s="87">
        <f t="shared" si="629"/>
        <v>149100.10999999999</v>
      </c>
      <c r="H2343" s="87">
        <f t="shared" si="629"/>
        <v>0</v>
      </c>
      <c r="I2343" s="87">
        <f t="shared" si="629"/>
        <v>0</v>
      </c>
      <c r="J2343" s="121"/>
      <c r="P2343" s="121"/>
      <c r="Q2343" s="121"/>
      <c r="R2343" s="121"/>
      <c r="S2343" s="121"/>
      <c r="T2343" s="121"/>
    </row>
    <row r="2344" spans="1:20" s="122" customFormat="1" ht="26.25" customHeight="1">
      <c r="A2344" s="16" t="s">
        <v>37</v>
      </c>
      <c r="B2344" s="145">
        <v>793</v>
      </c>
      <c r="C2344" s="15" t="s">
        <v>167</v>
      </c>
      <c r="D2344" s="15" t="s">
        <v>27</v>
      </c>
      <c r="E2344" s="84" t="s">
        <v>270</v>
      </c>
      <c r="F2344" s="84" t="s">
        <v>38</v>
      </c>
      <c r="G2344" s="87">
        <v>149100.10999999999</v>
      </c>
      <c r="H2344" s="87">
        <v>0</v>
      </c>
      <c r="I2344" s="87">
        <v>0</v>
      </c>
      <c r="J2344" s="121"/>
      <c r="P2344" s="121"/>
      <c r="Q2344" s="121"/>
      <c r="R2344" s="121"/>
      <c r="S2344" s="121"/>
      <c r="T2344" s="121"/>
    </row>
    <row r="2345" spans="1:20" s="146" customFormat="1" ht="33.75" customHeight="1">
      <c r="A2345" s="82" t="s">
        <v>1416</v>
      </c>
      <c r="B2345" s="145">
        <v>793</v>
      </c>
      <c r="C2345" s="15" t="s">
        <v>167</v>
      </c>
      <c r="D2345" s="15" t="s">
        <v>27</v>
      </c>
      <c r="E2345" s="143" t="s">
        <v>1415</v>
      </c>
      <c r="F2345" s="84"/>
      <c r="G2345" s="70">
        <f>G2351</f>
        <v>104240</v>
      </c>
      <c r="H2345" s="70">
        <f t="shared" ref="H2345:M2345" si="630">H2352+H2358</f>
        <v>0</v>
      </c>
      <c r="I2345" s="70">
        <f t="shared" si="630"/>
        <v>0</v>
      </c>
      <c r="J2345" s="70">
        <f t="shared" si="630"/>
        <v>0</v>
      </c>
      <c r="K2345" s="70">
        <f t="shared" si="630"/>
        <v>0</v>
      </c>
      <c r="L2345" s="70">
        <f t="shared" si="630"/>
        <v>0</v>
      </c>
      <c r="M2345" s="70">
        <f t="shared" si="630"/>
        <v>0</v>
      </c>
      <c r="P2345" s="148"/>
      <c r="Q2345" s="148"/>
      <c r="R2345" s="148"/>
      <c r="S2345" s="148"/>
      <c r="T2345" s="148"/>
    </row>
    <row r="2346" spans="1:20" s="122" customFormat="1" ht="51.75" hidden="1" customHeight="1">
      <c r="A2346" s="82" t="s">
        <v>612</v>
      </c>
      <c r="B2346" s="145">
        <v>793</v>
      </c>
      <c r="C2346" s="15" t="s">
        <v>167</v>
      </c>
      <c r="D2346" s="15" t="s">
        <v>18</v>
      </c>
      <c r="E2346" s="84" t="s">
        <v>613</v>
      </c>
      <c r="F2346" s="84"/>
      <c r="G2346" s="70">
        <f t="shared" ref="G2346:I2347" si="631">G2347</f>
        <v>0</v>
      </c>
      <c r="H2346" s="87">
        <f t="shared" si="631"/>
        <v>0</v>
      </c>
      <c r="I2346" s="87">
        <f t="shared" si="631"/>
        <v>0</v>
      </c>
      <c r="J2346" s="121"/>
      <c r="P2346" s="121"/>
      <c r="Q2346" s="121"/>
      <c r="R2346" s="121"/>
      <c r="S2346" s="121"/>
      <c r="T2346" s="121"/>
    </row>
    <row r="2347" spans="1:20" s="122" customFormat="1" ht="26.25" hidden="1" customHeight="1">
      <c r="A2347" s="82" t="s">
        <v>316</v>
      </c>
      <c r="B2347" s="145">
        <v>793</v>
      </c>
      <c r="C2347" s="15" t="s">
        <v>167</v>
      </c>
      <c r="D2347" s="15" t="s">
        <v>18</v>
      </c>
      <c r="E2347" s="84" t="s">
        <v>613</v>
      </c>
      <c r="F2347" s="84" t="s">
        <v>36</v>
      </c>
      <c r="G2347" s="70">
        <f t="shared" si="631"/>
        <v>0</v>
      </c>
      <c r="H2347" s="87">
        <f t="shared" si="631"/>
        <v>0</v>
      </c>
      <c r="I2347" s="87">
        <f t="shared" si="631"/>
        <v>0</v>
      </c>
      <c r="J2347" s="121"/>
      <c r="P2347" s="121"/>
      <c r="Q2347" s="121"/>
      <c r="R2347" s="121"/>
      <c r="S2347" s="121"/>
      <c r="T2347" s="121"/>
    </row>
    <row r="2348" spans="1:20" s="122" customFormat="1" ht="26.25" hidden="1" customHeight="1">
      <c r="A2348" s="82" t="s">
        <v>37</v>
      </c>
      <c r="B2348" s="145">
        <v>793</v>
      </c>
      <c r="C2348" s="15" t="s">
        <v>167</v>
      </c>
      <c r="D2348" s="15" t="s">
        <v>18</v>
      </c>
      <c r="E2348" s="84" t="s">
        <v>613</v>
      </c>
      <c r="F2348" s="84" t="s">
        <v>38</v>
      </c>
      <c r="G2348" s="70">
        <f>прил4!G1918</f>
        <v>0</v>
      </c>
      <c r="H2348" s="87"/>
      <c r="I2348" s="87"/>
      <c r="J2348" s="121"/>
      <c r="P2348" s="121"/>
      <c r="Q2348" s="121"/>
      <c r="R2348" s="121"/>
      <c r="S2348" s="121"/>
      <c r="T2348" s="121"/>
    </row>
    <row r="2349" spans="1:20" ht="29.25" hidden="1" customHeight="1">
      <c r="A2349" s="16" t="s">
        <v>316</v>
      </c>
      <c r="B2349" s="15" t="s">
        <v>92</v>
      </c>
      <c r="C2349" s="15" t="s">
        <v>167</v>
      </c>
      <c r="D2349" s="15" t="s">
        <v>18</v>
      </c>
      <c r="E2349" s="15" t="s">
        <v>205</v>
      </c>
      <c r="F2349" s="15" t="s">
        <v>36</v>
      </c>
      <c r="G2349" s="70">
        <f>G2350</f>
        <v>0</v>
      </c>
      <c r="H2349" s="70"/>
      <c r="I2349" s="70"/>
      <c r="J2349" s="2"/>
      <c r="K2349" s="1"/>
      <c r="L2349" s="1"/>
      <c r="M2349" s="1"/>
      <c r="N2349" s="1"/>
      <c r="O2349" s="1"/>
      <c r="P2349" s="2"/>
      <c r="Q2349" s="2"/>
      <c r="R2349" s="2"/>
      <c r="S2349" s="2"/>
      <c r="T2349" s="2"/>
    </row>
    <row r="2350" spans="1:20" ht="36.75" hidden="1" customHeight="1">
      <c r="A2350" s="16" t="s">
        <v>37</v>
      </c>
      <c r="B2350" s="15" t="s">
        <v>92</v>
      </c>
      <c r="C2350" s="15" t="s">
        <v>167</v>
      </c>
      <c r="D2350" s="15" t="s">
        <v>18</v>
      </c>
      <c r="E2350" s="15" t="s">
        <v>205</v>
      </c>
      <c r="F2350" s="15" t="s">
        <v>38</v>
      </c>
      <c r="G2350" s="70">
        <f>прил4!G3490</f>
        <v>0</v>
      </c>
      <c r="H2350" s="70"/>
      <c r="I2350" s="70"/>
      <c r="J2350" s="2"/>
      <c r="K2350" s="1"/>
      <c r="L2350" s="1"/>
      <c r="M2350" s="1"/>
      <c r="N2350" s="1"/>
      <c r="O2350" s="1"/>
      <c r="P2350" s="2"/>
      <c r="Q2350" s="2"/>
      <c r="R2350" s="2"/>
      <c r="S2350" s="2"/>
      <c r="T2350" s="2"/>
    </row>
    <row r="2351" spans="1:20" ht="21" customHeight="1">
      <c r="A2351" s="16" t="s">
        <v>326</v>
      </c>
      <c r="B2351" s="15" t="s">
        <v>804</v>
      </c>
      <c r="C2351" s="15" t="s">
        <v>167</v>
      </c>
      <c r="D2351" s="15" t="s">
        <v>27</v>
      </c>
      <c r="E2351" s="15" t="s">
        <v>1417</v>
      </c>
      <c r="F2351" s="15"/>
      <c r="G2351" s="70">
        <f>G2352+G2354</f>
        <v>104240</v>
      </c>
      <c r="H2351" s="70"/>
      <c r="I2351" s="70"/>
      <c r="J2351" s="2"/>
      <c r="K2351" s="1"/>
      <c r="L2351" s="1"/>
      <c r="M2351" s="1"/>
      <c r="N2351" s="1"/>
      <c r="O2351" s="1"/>
      <c r="P2351" s="2"/>
      <c r="Q2351" s="2"/>
      <c r="R2351" s="2"/>
      <c r="S2351" s="2"/>
      <c r="T2351" s="2"/>
    </row>
    <row r="2352" spans="1:20">
      <c r="A2352" s="16" t="s">
        <v>316</v>
      </c>
      <c r="B2352" s="14">
        <v>793</v>
      </c>
      <c r="C2352" s="15" t="s">
        <v>167</v>
      </c>
      <c r="D2352" s="15" t="s">
        <v>27</v>
      </c>
      <c r="E2352" s="15" t="s">
        <v>1417</v>
      </c>
      <c r="F2352" s="15" t="s">
        <v>36</v>
      </c>
      <c r="G2352" s="70">
        <f t="shared" ref="G2352:I2352" si="632">G2353</f>
        <v>104240</v>
      </c>
      <c r="H2352" s="70">
        <f t="shared" si="632"/>
        <v>0</v>
      </c>
      <c r="I2352" s="70">
        <f t="shared" si="632"/>
        <v>0</v>
      </c>
      <c r="J2352" s="2"/>
      <c r="K2352" s="1"/>
      <c r="L2352" s="1"/>
      <c r="M2352" s="1"/>
      <c r="N2352" s="1"/>
      <c r="O2352" s="1"/>
      <c r="P2352" s="2"/>
      <c r="Q2352" s="2"/>
      <c r="R2352" s="2"/>
      <c r="S2352" s="2"/>
      <c r="T2352" s="2"/>
    </row>
    <row r="2353" spans="1:20" ht="35.25" customHeight="1">
      <c r="A2353" s="16" t="s">
        <v>37</v>
      </c>
      <c r="B2353" s="14">
        <v>793</v>
      </c>
      <c r="C2353" s="15" t="s">
        <v>167</v>
      </c>
      <c r="D2353" s="15" t="s">
        <v>27</v>
      </c>
      <c r="E2353" s="15" t="s">
        <v>1417</v>
      </c>
      <c r="F2353" s="15" t="s">
        <v>38</v>
      </c>
      <c r="G2353" s="70">
        <v>104240</v>
      </c>
      <c r="H2353" s="70">
        <f>прил4!H1646</f>
        <v>0</v>
      </c>
      <c r="I2353" s="70">
        <f>прил4!I1646</f>
        <v>0</v>
      </c>
      <c r="J2353" s="2"/>
      <c r="K2353" s="1"/>
      <c r="L2353" s="1"/>
      <c r="M2353" s="1"/>
      <c r="N2353" s="1"/>
      <c r="O2353" s="1"/>
      <c r="P2353" s="2"/>
      <c r="Q2353" s="2"/>
      <c r="R2353" s="2"/>
      <c r="S2353" s="2"/>
      <c r="T2353" s="2"/>
    </row>
    <row r="2354" spans="1:20" ht="24.75" hidden="1" customHeight="1">
      <c r="A2354" s="82" t="s">
        <v>62</v>
      </c>
      <c r="B2354" s="14">
        <v>793</v>
      </c>
      <c r="C2354" s="15" t="s">
        <v>167</v>
      </c>
      <c r="D2354" s="15" t="s">
        <v>27</v>
      </c>
      <c r="E2354" s="15" t="s">
        <v>1417</v>
      </c>
      <c r="F2354" s="15" t="s">
        <v>63</v>
      </c>
      <c r="G2354" s="70">
        <f>G2355</f>
        <v>0</v>
      </c>
      <c r="H2354" s="70"/>
      <c r="I2354" s="70"/>
      <c r="J2354" s="2"/>
      <c r="K2354" s="1"/>
      <c r="L2354" s="1"/>
      <c r="M2354" s="1"/>
      <c r="N2354" s="1"/>
      <c r="O2354" s="1"/>
      <c r="P2354" s="2"/>
      <c r="Q2354" s="2"/>
      <c r="R2354" s="2"/>
      <c r="S2354" s="2"/>
      <c r="T2354" s="2"/>
    </row>
    <row r="2355" spans="1:20" ht="22.5" hidden="1" customHeight="1">
      <c r="A2355" s="82" t="s">
        <v>321</v>
      </c>
      <c r="B2355" s="14">
        <v>793</v>
      </c>
      <c r="C2355" s="15" t="s">
        <v>167</v>
      </c>
      <c r="D2355" s="15" t="s">
        <v>27</v>
      </c>
      <c r="E2355" s="15" t="s">
        <v>1417</v>
      </c>
      <c r="F2355" s="15" t="s">
        <v>320</v>
      </c>
      <c r="G2355" s="70"/>
      <c r="H2355" s="70"/>
      <c r="I2355" s="70"/>
      <c r="J2355" s="2"/>
      <c r="K2355" s="1"/>
      <c r="L2355" s="1"/>
      <c r="M2355" s="1"/>
      <c r="N2355" s="1"/>
      <c r="O2355" s="1"/>
      <c r="P2355" s="2"/>
      <c r="Q2355" s="2"/>
      <c r="R2355" s="2"/>
      <c r="S2355" s="2"/>
      <c r="T2355" s="2"/>
    </row>
    <row r="2356" spans="1:20" s="146" customFormat="1" ht="26.25" customHeight="1">
      <c r="A2356" s="82" t="s">
        <v>158</v>
      </c>
      <c r="B2356" s="145">
        <v>793</v>
      </c>
      <c r="C2356" s="15" t="s">
        <v>167</v>
      </c>
      <c r="D2356" s="15" t="s">
        <v>27</v>
      </c>
      <c r="E2356" s="143" t="s">
        <v>204</v>
      </c>
      <c r="F2356" s="84"/>
      <c r="G2356" s="87">
        <f>G2360+G2363</f>
        <v>137480</v>
      </c>
      <c r="H2356" s="87">
        <f t="shared" ref="H2356:I2356" si="633">H2363</f>
        <v>0</v>
      </c>
      <c r="I2356" s="87">
        <f t="shared" si="633"/>
        <v>0</v>
      </c>
      <c r="J2356" s="148">
        <v>1487719</v>
      </c>
      <c r="P2356" s="148"/>
      <c r="Q2356" s="148"/>
      <c r="R2356" s="148"/>
      <c r="S2356" s="148"/>
      <c r="T2356" s="148"/>
    </row>
    <row r="2357" spans="1:20" s="122" customFormat="1" ht="51.75" hidden="1" customHeight="1">
      <c r="A2357" s="82" t="s">
        <v>612</v>
      </c>
      <c r="B2357" s="145">
        <v>793</v>
      </c>
      <c r="C2357" s="15" t="s">
        <v>167</v>
      </c>
      <c r="D2357" s="15" t="s">
        <v>27</v>
      </c>
      <c r="E2357" s="84" t="s">
        <v>613</v>
      </c>
      <c r="F2357" s="84"/>
      <c r="G2357" s="87">
        <f t="shared" ref="G2357:I2358" si="634">G2358</f>
        <v>186153.48</v>
      </c>
      <c r="H2357" s="87">
        <f t="shared" si="634"/>
        <v>0</v>
      </c>
      <c r="I2357" s="87">
        <f t="shared" si="634"/>
        <v>0</v>
      </c>
      <c r="J2357" s="121"/>
      <c r="P2357" s="121"/>
      <c r="Q2357" s="121"/>
      <c r="R2357" s="121"/>
      <c r="S2357" s="121"/>
      <c r="T2357" s="121"/>
    </row>
    <row r="2358" spans="1:20" s="122" customFormat="1" ht="26.25" hidden="1" customHeight="1">
      <c r="A2358" s="82" t="s">
        <v>316</v>
      </c>
      <c r="B2358" s="145">
        <v>793</v>
      </c>
      <c r="C2358" s="15" t="s">
        <v>167</v>
      </c>
      <c r="D2358" s="15" t="s">
        <v>27</v>
      </c>
      <c r="E2358" s="84" t="s">
        <v>613</v>
      </c>
      <c r="F2358" s="84" t="s">
        <v>36</v>
      </c>
      <c r="G2358" s="87">
        <f t="shared" si="634"/>
        <v>186153.48</v>
      </c>
      <c r="H2358" s="87">
        <f t="shared" si="634"/>
        <v>0</v>
      </c>
      <c r="I2358" s="87">
        <f t="shared" si="634"/>
        <v>0</v>
      </c>
      <c r="J2358" s="121"/>
      <c r="P2358" s="121"/>
      <c r="Q2358" s="121"/>
      <c r="R2358" s="121"/>
      <c r="S2358" s="121"/>
      <c r="T2358" s="121"/>
    </row>
    <row r="2359" spans="1:20" s="122" customFormat="1" ht="26.25" hidden="1" customHeight="1">
      <c r="A2359" s="82" t="s">
        <v>37</v>
      </c>
      <c r="B2359" s="145">
        <v>793</v>
      </c>
      <c r="C2359" s="15" t="s">
        <v>167</v>
      </c>
      <c r="D2359" s="15" t="s">
        <v>27</v>
      </c>
      <c r="E2359" s="84" t="s">
        <v>613</v>
      </c>
      <c r="F2359" s="84" t="s">
        <v>38</v>
      </c>
      <c r="G2359" s="87">
        <f>прил4!G1879</f>
        <v>186153.48</v>
      </c>
      <c r="H2359" s="87"/>
      <c r="I2359" s="87"/>
      <c r="J2359" s="121"/>
      <c r="P2359" s="121"/>
      <c r="Q2359" s="121"/>
      <c r="R2359" s="121"/>
      <c r="S2359" s="121"/>
      <c r="T2359" s="121"/>
    </row>
    <row r="2360" spans="1:20" ht="21" customHeight="1">
      <c r="A2360" s="16" t="s">
        <v>326</v>
      </c>
      <c r="B2360" s="15" t="s">
        <v>804</v>
      </c>
      <c r="C2360" s="15" t="s">
        <v>167</v>
      </c>
      <c r="D2360" s="15" t="s">
        <v>27</v>
      </c>
      <c r="E2360" s="15" t="s">
        <v>205</v>
      </c>
      <c r="F2360" s="15"/>
      <c r="G2360" s="70">
        <f>G2361</f>
        <v>17590</v>
      </c>
      <c r="H2360" s="70"/>
      <c r="I2360" s="70"/>
      <c r="J2360" s="2"/>
      <c r="K2360" s="1"/>
      <c r="L2360" s="1"/>
      <c r="M2360" s="1"/>
      <c r="N2360" s="1"/>
      <c r="O2360" s="1"/>
      <c r="P2360" s="2"/>
      <c r="Q2360" s="2"/>
      <c r="R2360" s="2"/>
      <c r="S2360" s="2"/>
      <c r="T2360" s="2"/>
    </row>
    <row r="2361" spans="1:20" ht="29.25" customHeight="1">
      <c r="A2361" s="16" t="s">
        <v>316</v>
      </c>
      <c r="B2361" s="15" t="s">
        <v>804</v>
      </c>
      <c r="C2361" s="15" t="s">
        <v>167</v>
      </c>
      <c r="D2361" s="15" t="s">
        <v>27</v>
      </c>
      <c r="E2361" s="15" t="s">
        <v>205</v>
      </c>
      <c r="F2361" s="15" t="s">
        <v>36</v>
      </c>
      <c r="G2361" s="70">
        <f>G2362</f>
        <v>17590</v>
      </c>
      <c r="H2361" s="70"/>
      <c r="I2361" s="70"/>
      <c r="J2361" s="2"/>
      <c r="K2361" s="1"/>
      <c r="L2361" s="1"/>
      <c r="M2361" s="1"/>
      <c r="N2361" s="1"/>
      <c r="O2361" s="1"/>
      <c r="P2361" s="2"/>
      <c r="Q2361" s="2"/>
      <c r="R2361" s="2"/>
      <c r="S2361" s="2"/>
      <c r="T2361" s="2"/>
    </row>
    <row r="2362" spans="1:20" ht="36.75" customHeight="1">
      <c r="A2362" s="16" t="s">
        <v>37</v>
      </c>
      <c r="B2362" s="15" t="s">
        <v>804</v>
      </c>
      <c r="C2362" s="15" t="s">
        <v>167</v>
      </c>
      <c r="D2362" s="15" t="s">
        <v>27</v>
      </c>
      <c r="E2362" s="15" t="s">
        <v>205</v>
      </c>
      <c r="F2362" s="15" t="s">
        <v>38</v>
      </c>
      <c r="G2362" s="70">
        <v>17590</v>
      </c>
      <c r="H2362" s="70"/>
      <c r="I2362" s="70"/>
      <c r="J2362" s="2"/>
      <c r="K2362" s="1"/>
      <c r="L2362" s="1"/>
      <c r="M2362" s="1"/>
      <c r="N2362" s="1"/>
      <c r="O2362" s="1"/>
      <c r="P2362" s="2"/>
      <c r="Q2362" s="2"/>
      <c r="R2362" s="2"/>
      <c r="S2362" s="2"/>
      <c r="T2362" s="2"/>
    </row>
    <row r="2363" spans="1:20" ht="39" customHeight="1">
      <c r="A2363" s="16" t="s">
        <v>1271</v>
      </c>
      <c r="B2363" s="14">
        <v>793</v>
      </c>
      <c r="C2363" s="15" t="s">
        <v>167</v>
      </c>
      <c r="D2363" s="15" t="s">
        <v>27</v>
      </c>
      <c r="E2363" s="15" t="s">
        <v>1274</v>
      </c>
      <c r="F2363" s="15"/>
      <c r="G2363" s="70">
        <f>G2364+G2366</f>
        <v>119890</v>
      </c>
      <c r="H2363" s="70">
        <f t="shared" ref="H2363:I2363" si="635">H2364+H2366</f>
        <v>0</v>
      </c>
      <c r="I2363" s="70">
        <f t="shared" si="635"/>
        <v>0</v>
      </c>
      <c r="J2363" s="2"/>
      <c r="K2363" s="1"/>
      <c r="L2363" s="1"/>
      <c r="M2363" s="1"/>
      <c r="N2363" s="1"/>
      <c r="O2363" s="1"/>
      <c r="P2363" s="2"/>
      <c r="Q2363" s="2"/>
      <c r="R2363" s="2"/>
      <c r="S2363" s="2"/>
      <c r="T2363" s="2"/>
    </row>
    <row r="2364" spans="1:20" ht="29.25" hidden="1" customHeight="1">
      <c r="A2364" s="16" t="s">
        <v>316</v>
      </c>
      <c r="B2364" s="15" t="s">
        <v>92</v>
      </c>
      <c r="C2364" s="15" t="s">
        <v>167</v>
      </c>
      <c r="D2364" s="15" t="s">
        <v>27</v>
      </c>
      <c r="E2364" s="15" t="s">
        <v>205</v>
      </c>
      <c r="F2364" s="15" t="s">
        <v>36</v>
      </c>
      <c r="G2364" s="70">
        <f>G2365</f>
        <v>0</v>
      </c>
      <c r="H2364" s="70"/>
      <c r="I2364" s="70"/>
      <c r="J2364" s="2"/>
      <c r="K2364" s="1"/>
      <c r="L2364" s="1"/>
      <c r="M2364" s="1"/>
      <c r="N2364" s="1"/>
      <c r="O2364" s="1"/>
      <c r="P2364" s="2"/>
      <c r="Q2364" s="2"/>
      <c r="R2364" s="2"/>
      <c r="S2364" s="2"/>
      <c r="T2364" s="2"/>
    </row>
    <row r="2365" spans="1:20" ht="36.75" hidden="1" customHeight="1">
      <c r="A2365" s="16" t="s">
        <v>37</v>
      </c>
      <c r="B2365" s="15" t="s">
        <v>92</v>
      </c>
      <c r="C2365" s="15" t="s">
        <v>167</v>
      </c>
      <c r="D2365" s="15" t="s">
        <v>27</v>
      </c>
      <c r="E2365" s="15" t="s">
        <v>205</v>
      </c>
      <c r="F2365" s="15" t="s">
        <v>38</v>
      </c>
      <c r="G2365" s="70">
        <f>прил4!G3438</f>
        <v>0</v>
      </c>
      <c r="H2365" s="70"/>
      <c r="I2365" s="70"/>
      <c r="J2365" s="2"/>
      <c r="K2365" s="1"/>
      <c r="L2365" s="1"/>
      <c r="M2365" s="1"/>
      <c r="N2365" s="1"/>
      <c r="O2365" s="1"/>
      <c r="P2365" s="2"/>
      <c r="Q2365" s="2"/>
      <c r="R2365" s="2"/>
      <c r="S2365" s="2"/>
      <c r="T2365" s="2"/>
    </row>
    <row r="2366" spans="1:20">
      <c r="A2366" s="16" t="s">
        <v>316</v>
      </c>
      <c r="B2366" s="14">
        <v>793</v>
      </c>
      <c r="C2366" s="15" t="s">
        <v>167</v>
      </c>
      <c r="D2366" s="15" t="s">
        <v>27</v>
      </c>
      <c r="E2366" s="15" t="s">
        <v>1274</v>
      </c>
      <c r="F2366" s="15" t="s">
        <v>36</v>
      </c>
      <c r="G2366" s="70">
        <f t="shared" ref="G2366:I2366" si="636">G2367</f>
        <v>119890</v>
      </c>
      <c r="H2366" s="70">
        <f t="shared" si="636"/>
        <v>0</v>
      </c>
      <c r="I2366" s="70">
        <f t="shared" si="636"/>
        <v>0</v>
      </c>
      <c r="J2366" s="2"/>
      <c r="K2366" s="1"/>
      <c r="L2366" s="1"/>
      <c r="M2366" s="1"/>
      <c r="N2366" s="1"/>
      <c r="O2366" s="1"/>
      <c r="P2366" s="2"/>
      <c r="Q2366" s="2"/>
      <c r="R2366" s="2"/>
      <c r="S2366" s="2"/>
      <c r="T2366" s="2"/>
    </row>
    <row r="2367" spans="1:20" ht="36" customHeight="1">
      <c r="A2367" s="16" t="s">
        <v>37</v>
      </c>
      <c r="B2367" s="14">
        <v>793</v>
      </c>
      <c r="C2367" s="15" t="s">
        <v>167</v>
      </c>
      <c r="D2367" s="15" t="s">
        <v>27</v>
      </c>
      <c r="E2367" s="15" t="s">
        <v>1274</v>
      </c>
      <c r="F2367" s="15" t="s">
        <v>38</v>
      </c>
      <c r="G2367" s="70">
        <f>119891-1</f>
        <v>119890</v>
      </c>
      <c r="H2367" s="70">
        <f>прил4!H1595</f>
        <v>0</v>
      </c>
      <c r="I2367" s="70">
        <f>прил4!I1595</f>
        <v>0</v>
      </c>
      <c r="J2367" s="2"/>
      <c r="K2367" s="1"/>
      <c r="L2367" s="1"/>
      <c r="M2367" s="1"/>
      <c r="N2367" s="1"/>
      <c r="O2367" s="1"/>
      <c r="P2367" s="2"/>
      <c r="Q2367" s="2"/>
      <c r="R2367" s="2"/>
      <c r="S2367" s="2"/>
      <c r="T2367" s="2"/>
    </row>
    <row r="2368" spans="1:20" s="46" customFormat="1" ht="17.25" customHeight="1">
      <c r="A2368" s="16" t="s">
        <v>278</v>
      </c>
      <c r="B2368" s="49">
        <v>793</v>
      </c>
      <c r="C2368" s="15" t="s">
        <v>167</v>
      </c>
      <c r="D2368" s="15" t="s">
        <v>69</v>
      </c>
      <c r="E2368" s="15"/>
      <c r="F2368" s="15"/>
      <c r="G2368" s="70">
        <f>G2375+G2463+G2454+G2374+G2431+G2504+G2401+G2404+G2441+G2406+G2424</f>
        <v>49640263.563000001</v>
      </c>
      <c r="H2368" s="70">
        <f>H2375+H2463+H2454+H2374+H2431</f>
        <v>30060180.109999999</v>
      </c>
      <c r="I2368" s="70">
        <f>I2375+I2463+I2454+I2374+I2431</f>
        <v>12010300</v>
      </c>
      <c r="J2368" s="172">
        <f>G2237+G2231+G2228+G2224</f>
        <v>0</v>
      </c>
      <c r="K2368" s="58"/>
      <c r="L2368" s="58"/>
      <c r="M2368" s="58"/>
      <c r="N2368" s="58"/>
      <c r="O2368" s="58"/>
      <c r="P2368" s="58"/>
      <c r="Q2368" s="58"/>
      <c r="R2368" s="58"/>
    </row>
    <row r="2369" spans="1:18" s="46" customFormat="1" ht="17.25" hidden="1" customHeight="1">
      <c r="A2369" s="16"/>
      <c r="B2369" s="49"/>
      <c r="C2369" s="15"/>
      <c r="D2369" s="15"/>
      <c r="E2369" s="15"/>
      <c r="F2369" s="15"/>
      <c r="G2369" s="70"/>
      <c r="H2369" s="70"/>
      <c r="I2369" s="70"/>
      <c r="J2369" s="172"/>
      <c r="K2369" s="58"/>
      <c r="L2369" s="58"/>
      <c r="M2369" s="58"/>
      <c r="N2369" s="58"/>
      <c r="O2369" s="58"/>
      <c r="P2369" s="58"/>
      <c r="Q2369" s="58"/>
      <c r="R2369" s="58"/>
    </row>
    <row r="2370" spans="1:18" s="46" customFormat="1" ht="17.25" hidden="1" customHeight="1">
      <c r="A2370" s="16"/>
      <c r="B2370" s="49"/>
      <c r="C2370" s="15"/>
      <c r="D2370" s="15"/>
      <c r="E2370" s="15"/>
      <c r="F2370" s="15"/>
      <c r="G2370" s="70"/>
      <c r="H2370" s="70"/>
      <c r="I2370" s="70"/>
      <c r="J2370" s="172"/>
      <c r="K2370" s="58"/>
      <c r="L2370" s="58"/>
      <c r="M2370" s="58"/>
      <c r="N2370" s="58"/>
      <c r="O2370" s="58"/>
      <c r="P2370" s="58"/>
      <c r="Q2370" s="58"/>
      <c r="R2370" s="58"/>
    </row>
    <row r="2371" spans="1:18" ht="41.25" hidden="1" customHeight="1">
      <c r="A2371" s="16" t="s">
        <v>1129</v>
      </c>
      <c r="B2371" s="14">
        <v>793</v>
      </c>
      <c r="C2371" s="15" t="s">
        <v>167</v>
      </c>
      <c r="D2371" s="15" t="s">
        <v>69</v>
      </c>
      <c r="E2371" s="15" t="s">
        <v>257</v>
      </c>
      <c r="F2371" s="15"/>
      <c r="G2371" s="70">
        <f>G2372+G2399+G2403</f>
        <v>0</v>
      </c>
      <c r="H2371" s="70">
        <f t="shared" ref="H2371:I2373" si="637">H2372</f>
        <v>0</v>
      </c>
      <c r="I2371" s="70">
        <f t="shared" ref="I2371" si="638">I2372</f>
        <v>0</v>
      </c>
      <c r="J2371" s="172"/>
      <c r="K2371" s="69"/>
      <c r="L2371" s="69"/>
      <c r="M2371" s="69"/>
      <c r="N2371" s="69"/>
      <c r="O2371" s="69"/>
      <c r="P2371" s="69"/>
      <c r="Q2371" s="69"/>
      <c r="R2371" s="69"/>
    </row>
    <row r="2372" spans="1:18" ht="44.25" hidden="1" customHeight="1">
      <c r="A2372" s="50" t="s">
        <v>1154</v>
      </c>
      <c r="B2372" s="14">
        <v>793</v>
      </c>
      <c r="C2372" s="15" t="s">
        <v>167</v>
      </c>
      <c r="D2372" s="15" t="s">
        <v>69</v>
      </c>
      <c r="E2372" s="15" t="s">
        <v>1153</v>
      </c>
      <c r="F2372" s="15"/>
      <c r="G2372" s="70">
        <f>G2373</f>
        <v>0</v>
      </c>
      <c r="H2372" s="70">
        <f t="shared" si="637"/>
        <v>0</v>
      </c>
      <c r="I2372" s="70">
        <f t="shared" si="637"/>
        <v>0</v>
      </c>
      <c r="J2372" s="172"/>
      <c r="K2372" s="69"/>
      <c r="L2372" s="69"/>
      <c r="M2372" s="69"/>
      <c r="N2372" s="69"/>
      <c r="O2372" s="69"/>
      <c r="P2372" s="69"/>
      <c r="Q2372" s="69"/>
      <c r="R2372" s="69"/>
    </row>
    <row r="2373" spans="1:18" ht="32.25" hidden="1" customHeight="1">
      <c r="A2373" s="16" t="s">
        <v>35</v>
      </c>
      <c r="B2373" s="14">
        <v>793</v>
      </c>
      <c r="C2373" s="15" t="s">
        <v>167</v>
      </c>
      <c r="D2373" s="15" t="s">
        <v>69</v>
      </c>
      <c r="E2373" s="15" t="s">
        <v>1153</v>
      </c>
      <c r="F2373" s="15" t="s">
        <v>36</v>
      </c>
      <c r="G2373" s="70">
        <f>G2374</f>
        <v>0</v>
      </c>
      <c r="H2373" s="70">
        <f t="shared" si="637"/>
        <v>0</v>
      </c>
      <c r="I2373" s="70">
        <f t="shared" si="637"/>
        <v>0</v>
      </c>
      <c r="J2373" s="172"/>
      <c r="K2373" s="69"/>
      <c r="L2373" s="69"/>
      <c r="M2373" s="69"/>
      <c r="N2373" s="69"/>
      <c r="O2373" s="69"/>
      <c r="P2373" s="69"/>
      <c r="Q2373" s="69"/>
      <c r="R2373" s="69"/>
    </row>
    <row r="2374" spans="1:18" ht="30.75" hidden="1" customHeight="1">
      <c r="A2374" s="16" t="s">
        <v>37</v>
      </c>
      <c r="B2374" s="14">
        <v>793</v>
      </c>
      <c r="C2374" s="15" t="s">
        <v>167</v>
      </c>
      <c r="D2374" s="15" t="s">
        <v>69</v>
      </c>
      <c r="E2374" s="15" t="s">
        <v>1153</v>
      </c>
      <c r="F2374" s="15" t="s">
        <v>38</v>
      </c>
      <c r="G2374" s="160">
        <f>598572-598572</f>
        <v>0</v>
      </c>
      <c r="H2374" s="70">
        <v>0</v>
      </c>
      <c r="I2374" s="70">
        <v>0</v>
      </c>
      <c r="J2374" s="172"/>
      <c r="K2374" s="69"/>
      <c r="L2374" s="69"/>
      <c r="M2374" s="69"/>
      <c r="N2374" s="69"/>
      <c r="O2374" s="69"/>
      <c r="P2374" s="69"/>
      <c r="Q2374" s="69"/>
      <c r="R2374" s="69"/>
    </row>
    <row r="2375" spans="1:18" ht="48.75" hidden="1" customHeight="1">
      <c r="A2375" s="16" t="s">
        <v>1144</v>
      </c>
      <c r="B2375" s="49">
        <v>793</v>
      </c>
      <c r="C2375" s="15" t="s">
        <v>167</v>
      </c>
      <c r="D2375" s="15" t="s">
        <v>69</v>
      </c>
      <c r="E2375" s="15" t="s">
        <v>289</v>
      </c>
      <c r="F2375" s="15"/>
      <c r="G2375" s="70">
        <f>G2376+G2386+G2389+G2395+G2398</f>
        <v>0</v>
      </c>
      <c r="H2375" s="70">
        <f>H2387+H2390+H2395+H2398</f>
        <v>0</v>
      </c>
      <c r="I2375" s="70">
        <f>I2387+I2390+I2395+I2398</f>
        <v>0</v>
      </c>
      <c r="J2375" s="172"/>
      <c r="K2375" s="69"/>
      <c r="L2375" s="69"/>
      <c r="M2375" s="69"/>
      <c r="N2375" s="69"/>
      <c r="O2375" s="69"/>
      <c r="P2375" s="69"/>
      <c r="Q2375" s="69"/>
      <c r="R2375" s="69"/>
    </row>
    <row r="2376" spans="1:18" s="46" customFormat="1" ht="17.25" hidden="1" customHeight="1">
      <c r="A2376" s="16"/>
      <c r="B2376" s="49"/>
      <c r="C2376" s="15"/>
      <c r="D2376" s="15"/>
      <c r="E2376" s="15"/>
      <c r="F2376" s="15"/>
      <c r="G2376" s="70"/>
      <c r="H2376" s="70"/>
      <c r="I2376" s="70"/>
      <c r="J2376" s="172"/>
      <c r="K2376" s="58"/>
      <c r="L2376" s="58"/>
      <c r="M2376" s="58"/>
      <c r="N2376" s="58"/>
      <c r="O2376" s="58"/>
      <c r="P2376" s="58"/>
      <c r="Q2376" s="58"/>
      <c r="R2376" s="58"/>
    </row>
    <row r="2377" spans="1:18" s="46" customFormat="1" ht="17.25" hidden="1" customHeight="1">
      <c r="A2377" s="16"/>
      <c r="B2377" s="49"/>
      <c r="C2377" s="15"/>
      <c r="D2377" s="15"/>
      <c r="E2377" s="15"/>
      <c r="F2377" s="15"/>
      <c r="G2377" s="70"/>
      <c r="H2377" s="70"/>
      <c r="I2377" s="70"/>
      <c r="J2377" s="172"/>
      <c r="K2377" s="58"/>
      <c r="L2377" s="58"/>
      <c r="M2377" s="58"/>
      <c r="N2377" s="58"/>
      <c r="O2377" s="58"/>
      <c r="P2377" s="58"/>
      <c r="Q2377" s="58"/>
      <c r="R2377" s="58"/>
    </row>
    <row r="2378" spans="1:18" s="28" customFormat="1" ht="24.75" hidden="1" customHeight="1">
      <c r="A2378" s="37"/>
      <c r="B2378" s="49"/>
      <c r="C2378" s="15"/>
      <c r="D2378" s="15"/>
      <c r="E2378" s="15"/>
      <c r="F2378" s="39"/>
      <c r="G2378" s="70"/>
      <c r="H2378" s="70"/>
      <c r="I2378" s="70"/>
      <c r="J2378" s="172"/>
      <c r="K2378" s="313"/>
      <c r="L2378" s="313"/>
      <c r="M2378" s="313"/>
      <c r="N2378" s="313"/>
      <c r="O2378" s="313"/>
      <c r="P2378" s="313"/>
      <c r="Q2378" s="313"/>
      <c r="R2378" s="313"/>
    </row>
    <row r="2379" spans="1:18" ht="12.75" hidden="1" customHeight="1">
      <c r="A2379" s="37"/>
      <c r="B2379" s="49"/>
      <c r="C2379" s="15"/>
      <c r="D2379" s="15"/>
      <c r="E2379" s="15"/>
      <c r="F2379" s="15"/>
      <c r="G2379" s="70"/>
      <c r="H2379" s="70"/>
      <c r="I2379" s="70"/>
      <c r="J2379" s="172"/>
      <c r="K2379" s="69"/>
      <c r="L2379" s="69"/>
      <c r="M2379" s="69"/>
      <c r="N2379" s="69"/>
      <c r="O2379" s="69"/>
      <c r="P2379" s="69"/>
      <c r="Q2379" s="69"/>
      <c r="R2379" s="69"/>
    </row>
    <row r="2380" spans="1:18" ht="12.75" hidden="1" customHeight="1">
      <c r="A2380" s="16"/>
      <c r="B2380" s="49"/>
      <c r="C2380" s="15"/>
      <c r="D2380" s="15"/>
      <c r="E2380" s="15"/>
      <c r="F2380" s="15"/>
      <c r="G2380" s="70"/>
      <c r="H2380" s="70"/>
      <c r="I2380" s="70"/>
      <c r="J2380" s="172"/>
      <c r="K2380" s="69"/>
      <c r="L2380" s="69"/>
      <c r="M2380" s="69"/>
      <c r="N2380" s="69"/>
      <c r="O2380" s="69"/>
      <c r="P2380" s="69"/>
      <c r="Q2380" s="69"/>
      <c r="R2380" s="69"/>
    </row>
    <row r="2381" spans="1:18" ht="30.75" hidden="1" customHeight="1">
      <c r="A2381" s="16"/>
      <c r="B2381" s="49"/>
      <c r="C2381" s="15"/>
      <c r="D2381" s="15"/>
      <c r="E2381" s="15"/>
      <c r="F2381" s="15"/>
      <c r="G2381" s="70"/>
      <c r="H2381" s="70"/>
      <c r="I2381" s="70"/>
      <c r="J2381" s="172"/>
      <c r="K2381" s="69"/>
      <c r="L2381" s="69"/>
      <c r="M2381" s="69"/>
      <c r="N2381" s="69"/>
      <c r="O2381" s="69"/>
      <c r="P2381" s="69"/>
      <c r="Q2381" s="69"/>
      <c r="R2381" s="69"/>
    </row>
    <row r="2382" spans="1:18" ht="18" hidden="1" customHeight="1">
      <c r="A2382" s="16"/>
      <c r="B2382" s="49"/>
      <c r="C2382" s="15"/>
      <c r="D2382" s="15"/>
      <c r="E2382" s="15"/>
      <c r="F2382" s="15"/>
      <c r="G2382" s="70"/>
      <c r="H2382" s="70"/>
      <c r="I2382" s="70"/>
      <c r="J2382" s="172"/>
      <c r="K2382" s="69"/>
      <c r="L2382" s="69"/>
      <c r="M2382" s="69"/>
      <c r="N2382" s="69"/>
      <c r="O2382" s="69"/>
      <c r="P2382" s="69"/>
      <c r="Q2382" s="69"/>
      <c r="R2382" s="69"/>
    </row>
    <row r="2383" spans="1:18" ht="18" hidden="1" customHeight="1">
      <c r="A2383" s="16"/>
      <c r="B2383" s="49"/>
      <c r="C2383" s="15"/>
      <c r="D2383" s="15"/>
      <c r="E2383" s="15"/>
      <c r="F2383" s="15"/>
      <c r="G2383" s="70"/>
      <c r="H2383" s="70"/>
      <c r="I2383" s="70"/>
      <c r="J2383" s="172"/>
      <c r="K2383" s="69"/>
      <c r="L2383" s="69"/>
      <c r="M2383" s="69"/>
      <c r="N2383" s="69"/>
      <c r="O2383" s="69"/>
      <c r="P2383" s="69"/>
      <c r="Q2383" s="69"/>
      <c r="R2383" s="69"/>
    </row>
    <row r="2384" spans="1:18" ht="12.75" hidden="1" customHeight="1">
      <c r="A2384" s="16"/>
      <c r="B2384" s="49"/>
      <c r="C2384" s="15"/>
      <c r="D2384" s="15"/>
      <c r="E2384" s="15"/>
      <c r="F2384" s="15"/>
      <c r="G2384" s="70"/>
      <c r="H2384" s="70"/>
      <c r="I2384" s="70"/>
      <c r="J2384" s="172"/>
      <c r="K2384" s="69"/>
      <c r="L2384" s="69"/>
      <c r="M2384" s="69"/>
      <c r="N2384" s="69"/>
      <c r="O2384" s="69"/>
      <c r="P2384" s="69"/>
      <c r="Q2384" s="69"/>
      <c r="R2384" s="69"/>
    </row>
    <row r="2385" spans="1:18" s="46" customFormat="1" ht="17.25" hidden="1" customHeight="1">
      <c r="A2385" s="16"/>
      <c r="B2385" s="49"/>
      <c r="C2385" s="15"/>
      <c r="D2385" s="15"/>
      <c r="E2385" s="15"/>
      <c r="F2385" s="15"/>
      <c r="G2385" s="70"/>
      <c r="H2385" s="70"/>
      <c r="I2385" s="70"/>
      <c r="J2385" s="172"/>
      <c r="K2385" s="58"/>
      <c r="L2385" s="58"/>
      <c r="M2385" s="58"/>
      <c r="N2385" s="58"/>
      <c r="O2385" s="58"/>
      <c r="P2385" s="58"/>
      <c r="Q2385" s="58"/>
      <c r="R2385" s="58"/>
    </row>
    <row r="2386" spans="1:18" s="46" customFormat="1" ht="17.25" hidden="1" customHeight="1">
      <c r="A2386" s="16"/>
      <c r="B2386" s="49"/>
      <c r="C2386" s="15"/>
      <c r="D2386" s="15"/>
      <c r="E2386" s="15"/>
      <c r="F2386" s="15"/>
      <c r="G2386" s="70"/>
      <c r="H2386" s="70"/>
      <c r="I2386" s="70"/>
      <c r="J2386" s="172"/>
      <c r="K2386" s="58"/>
      <c r="L2386" s="58"/>
      <c r="M2386" s="58"/>
      <c r="N2386" s="58"/>
      <c r="O2386" s="58"/>
      <c r="P2386" s="58"/>
      <c r="Q2386" s="58"/>
      <c r="R2386" s="58"/>
    </row>
    <row r="2387" spans="1:18" s="46" customFormat="1" ht="32.25" hidden="1" customHeight="1">
      <c r="A2387" s="16"/>
      <c r="B2387" s="49"/>
      <c r="C2387" s="15"/>
      <c r="D2387" s="15"/>
      <c r="E2387" s="15"/>
      <c r="F2387" s="15"/>
      <c r="G2387" s="70"/>
      <c r="H2387" s="70"/>
      <c r="I2387" s="70"/>
      <c r="J2387" s="172"/>
      <c r="K2387" s="58"/>
      <c r="L2387" s="58"/>
      <c r="M2387" s="58"/>
      <c r="N2387" s="58"/>
      <c r="O2387" s="58"/>
      <c r="P2387" s="58"/>
      <c r="Q2387" s="58"/>
      <c r="R2387" s="58"/>
    </row>
    <row r="2388" spans="1:18" ht="12.75" hidden="1" customHeight="1">
      <c r="A2388" s="16"/>
      <c r="B2388" s="49"/>
      <c r="C2388" s="15"/>
      <c r="D2388" s="15"/>
      <c r="E2388" s="15"/>
      <c r="F2388" s="15"/>
      <c r="G2388" s="70"/>
      <c r="H2388" s="70"/>
      <c r="I2388" s="70"/>
      <c r="J2388" s="172"/>
      <c r="K2388" s="69"/>
      <c r="L2388" s="69"/>
      <c r="M2388" s="69"/>
      <c r="N2388" s="69"/>
      <c r="O2388" s="69"/>
      <c r="P2388" s="69"/>
      <c r="Q2388" s="69"/>
      <c r="R2388" s="69"/>
    </row>
    <row r="2389" spans="1:18" ht="12.75" hidden="1" customHeight="1">
      <c r="A2389" s="16"/>
      <c r="B2389" s="49"/>
      <c r="C2389" s="15"/>
      <c r="D2389" s="15"/>
      <c r="E2389" s="15"/>
      <c r="F2389" s="15"/>
      <c r="G2389" s="70"/>
      <c r="H2389" s="70"/>
      <c r="I2389" s="70"/>
      <c r="J2389" s="172"/>
      <c r="K2389" s="69"/>
      <c r="L2389" s="69"/>
      <c r="M2389" s="69"/>
      <c r="N2389" s="69"/>
      <c r="O2389" s="69"/>
      <c r="P2389" s="69"/>
      <c r="Q2389" s="69"/>
      <c r="R2389" s="69"/>
    </row>
    <row r="2390" spans="1:18" ht="30.75" hidden="1" customHeight="1">
      <c r="A2390" s="16"/>
      <c r="B2390" s="49"/>
      <c r="C2390" s="15"/>
      <c r="D2390" s="15"/>
      <c r="E2390" s="15"/>
      <c r="F2390" s="15"/>
      <c r="G2390" s="70"/>
      <c r="H2390" s="70"/>
      <c r="I2390" s="70"/>
      <c r="J2390" s="172"/>
      <c r="K2390" s="69"/>
      <c r="L2390" s="69"/>
      <c r="M2390" s="69"/>
      <c r="N2390" s="69"/>
      <c r="O2390" s="69"/>
      <c r="P2390" s="69"/>
      <c r="Q2390" s="69"/>
      <c r="R2390" s="69"/>
    </row>
    <row r="2391" spans="1:18" ht="18" hidden="1" customHeight="1">
      <c r="A2391" s="16"/>
      <c r="B2391" s="49"/>
      <c r="C2391" s="15"/>
      <c r="D2391" s="15"/>
      <c r="E2391" s="15"/>
      <c r="F2391" s="15"/>
      <c r="G2391" s="70"/>
      <c r="H2391" s="70"/>
      <c r="I2391" s="70"/>
      <c r="J2391" s="172"/>
      <c r="K2391" s="69"/>
      <c r="L2391" s="69"/>
      <c r="M2391" s="69"/>
      <c r="N2391" s="69"/>
      <c r="O2391" s="69"/>
      <c r="P2391" s="69"/>
      <c r="Q2391" s="69"/>
      <c r="R2391" s="69"/>
    </row>
    <row r="2392" spans="1:18" ht="18" hidden="1" customHeight="1">
      <c r="A2392" s="16"/>
      <c r="B2392" s="49"/>
      <c r="C2392" s="15"/>
      <c r="D2392" s="15"/>
      <c r="E2392" s="15"/>
      <c r="F2392" s="15"/>
      <c r="G2392" s="70"/>
      <c r="H2392" s="70"/>
      <c r="I2392" s="70"/>
      <c r="J2392" s="172"/>
      <c r="K2392" s="69"/>
      <c r="L2392" s="69"/>
      <c r="M2392" s="69"/>
      <c r="N2392" s="69"/>
      <c r="O2392" s="69"/>
      <c r="P2392" s="69"/>
      <c r="Q2392" s="69"/>
      <c r="R2392" s="69"/>
    </row>
    <row r="2393" spans="1:18" ht="26.25" hidden="1" customHeight="1">
      <c r="A2393" s="16"/>
      <c r="B2393" s="49"/>
      <c r="C2393" s="15"/>
      <c r="D2393" s="15"/>
      <c r="E2393" s="15"/>
      <c r="F2393" s="15"/>
      <c r="G2393" s="70"/>
      <c r="H2393" s="70"/>
      <c r="I2393" s="70"/>
      <c r="J2393" s="172"/>
      <c r="K2393" s="69"/>
      <c r="L2393" s="69"/>
      <c r="M2393" s="69"/>
      <c r="N2393" s="69"/>
      <c r="O2393" s="69"/>
      <c r="P2393" s="69"/>
      <c r="Q2393" s="69"/>
      <c r="R2393" s="69"/>
    </row>
    <row r="2394" spans="1:18" ht="26.25" hidden="1" customHeight="1">
      <c r="A2394" s="16"/>
      <c r="B2394" s="49"/>
      <c r="C2394" s="15"/>
      <c r="D2394" s="15"/>
      <c r="E2394" s="15"/>
      <c r="F2394" s="15"/>
      <c r="G2394" s="70"/>
      <c r="H2394" s="70"/>
      <c r="I2394" s="70"/>
      <c r="J2394" s="172"/>
      <c r="K2394" s="69"/>
      <c r="L2394" s="69"/>
      <c r="M2394" s="69"/>
      <c r="N2394" s="69"/>
      <c r="O2394" s="69"/>
      <c r="P2394" s="69"/>
      <c r="Q2394" s="69"/>
      <c r="R2394" s="69"/>
    </row>
    <row r="2395" spans="1:18" ht="12.75" hidden="1" customHeight="1">
      <c r="A2395" s="16"/>
      <c r="B2395" s="49"/>
      <c r="C2395" s="15"/>
      <c r="D2395" s="15"/>
      <c r="E2395" s="15"/>
      <c r="F2395" s="15"/>
      <c r="G2395" s="70"/>
      <c r="H2395" s="70"/>
      <c r="I2395" s="70"/>
      <c r="J2395" s="172"/>
      <c r="K2395" s="69"/>
      <c r="L2395" s="69"/>
      <c r="M2395" s="69"/>
      <c r="N2395" s="69"/>
      <c r="O2395" s="69"/>
      <c r="P2395" s="69"/>
      <c r="Q2395" s="69"/>
      <c r="R2395" s="69"/>
    </row>
    <row r="2396" spans="1:18" ht="30.75" hidden="1" customHeight="1">
      <c r="A2396" s="16"/>
      <c r="B2396" s="49"/>
      <c r="C2396" s="15"/>
      <c r="D2396" s="15"/>
      <c r="E2396" s="15"/>
      <c r="F2396" s="15"/>
      <c r="G2396" s="70"/>
      <c r="H2396" s="70"/>
      <c r="I2396" s="70"/>
      <c r="J2396" s="172"/>
      <c r="K2396" s="69"/>
      <c r="L2396" s="69"/>
      <c r="M2396" s="69"/>
      <c r="N2396" s="69"/>
      <c r="O2396" s="69"/>
      <c r="P2396" s="69"/>
      <c r="Q2396" s="69"/>
      <c r="R2396" s="69"/>
    </row>
    <row r="2397" spans="1:18" ht="30.75" hidden="1" customHeight="1">
      <c r="A2397" s="16"/>
      <c r="B2397" s="49"/>
      <c r="C2397" s="15"/>
      <c r="D2397" s="15"/>
      <c r="E2397" s="15"/>
      <c r="F2397" s="15"/>
      <c r="G2397" s="70"/>
      <c r="H2397" s="70"/>
      <c r="I2397" s="70"/>
      <c r="J2397" s="172"/>
      <c r="K2397" s="69"/>
      <c r="L2397" s="69"/>
      <c r="M2397" s="69"/>
      <c r="N2397" s="69"/>
      <c r="O2397" s="69"/>
      <c r="P2397" s="69"/>
      <c r="Q2397" s="69"/>
      <c r="R2397" s="69"/>
    </row>
    <row r="2398" spans="1:18" ht="30.75" hidden="1" customHeight="1">
      <c r="A2398" s="16"/>
      <c r="B2398" s="49"/>
      <c r="C2398" s="15"/>
      <c r="D2398" s="15"/>
      <c r="E2398" s="15"/>
      <c r="F2398" s="15"/>
      <c r="G2398" s="70"/>
      <c r="H2398" s="70"/>
      <c r="I2398" s="70"/>
      <c r="J2398" s="172"/>
      <c r="K2398" s="69"/>
      <c r="L2398" s="69"/>
      <c r="M2398" s="69"/>
      <c r="N2398" s="69"/>
      <c r="O2398" s="69"/>
      <c r="P2398" s="69"/>
      <c r="Q2398" s="69"/>
      <c r="R2398" s="69"/>
    </row>
    <row r="2399" spans="1:18" ht="44.25" hidden="1" customHeight="1">
      <c r="A2399" s="50" t="s">
        <v>901</v>
      </c>
      <c r="B2399" s="14">
        <v>793</v>
      </c>
      <c r="C2399" s="15" t="s">
        <v>167</v>
      </c>
      <c r="D2399" s="15" t="s">
        <v>69</v>
      </c>
      <c r="E2399" s="15" t="s">
        <v>1286</v>
      </c>
      <c r="F2399" s="15"/>
      <c r="G2399" s="70">
        <f>G2400</f>
        <v>0</v>
      </c>
      <c r="H2399" s="70">
        <f t="shared" ref="H2399:I2400" si="639">H2400</f>
        <v>0</v>
      </c>
      <c r="I2399" s="70">
        <f t="shared" si="639"/>
        <v>0</v>
      </c>
      <c r="J2399" s="172"/>
      <c r="K2399" s="69"/>
      <c r="L2399" s="69"/>
      <c r="M2399" s="69"/>
      <c r="N2399" s="69"/>
      <c r="O2399" s="69"/>
      <c r="P2399" s="69"/>
      <c r="Q2399" s="69"/>
      <c r="R2399" s="69"/>
    </row>
    <row r="2400" spans="1:18" ht="32.25" hidden="1" customHeight="1">
      <c r="A2400" s="16" t="s">
        <v>35</v>
      </c>
      <c r="B2400" s="14">
        <v>793</v>
      </c>
      <c r="C2400" s="15" t="s">
        <v>167</v>
      </c>
      <c r="D2400" s="15" t="s">
        <v>69</v>
      </c>
      <c r="E2400" s="15" t="s">
        <v>1286</v>
      </c>
      <c r="F2400" s="15" t="s">
        <v>36</v>
      </c>
      <c r="G2400" s="70">
        <f>G2401</f>
        <v>0</v>
      </c>
      <c r="H2400" s="70">
        <f t="shared" si="639"/>
        <v>0</v>
      </c>
      <c r="I2400" s="70">
        <f t="shared" si="639"/>
        <v>0</v>
      </c>
      <c r="J2400" s="172"/>
      <c r="K2400" s="69"/>
      <c r="L2400" s="69"/>
      <c r="M2400" s="69"/>
      <c r="N2400" s="69"/>
      <c r="O2400" s="69"/>
      <c r="P2400" s="69"/>
      <c r="Q2400" s="69"/>
      <c r="R2400" s="69"/>
    </row>
    <row r="2401" spans="1:18" ht="30.75" hidden="1" customHeight="1">
      <c r="A2401" s="16" t="s">
        <v>37</v>
      </c>
      <c r="B2401" s="14">
        <v>793</v>
      </c>
      <c r="C2401" s="15" t="s">
        <v>167</v>
      </c>
      <c r="D2401" s="15" t="s">
        <v>69</v>
      </c>
      <c r="E2401" s="15" t="s">
        <v>1286</v>
      </c>
      <c r="F2401" s="15" t="s">
        <v>38</v>
      </c>
      <c r="G2401" s="160">
        <f>2018422.76-2018422.76</f>
        <v>0</v>
      </c>
      <c r="H2401" s="70">
        <v>0</v>
      </c>
      <c r="I2401" s="70">
        <v>0</v>
      </c>
      <c r="J2401" s="172"/>
      <c r="K2401" s="69"/>
      <c r="L2401" s="69"/>
      <c r="M2401" s="69"/>
      <c r="N2401" s="69"/>
      <c r="O2401" s="69"/>
      <c r="P2401" s="69"/>
      <c r="Q2401" s="69"/>
      <c r="R2401" s="69"/>
    </row>
    <row r="2402" spans="1:18" ht="41.25" hidden="1" customHeight="1">
      <c r="A2402" s="16"/>
      <c r="B2402" s="14"/>
      <c r="C2402" s="15"/>
      <c r="D2402" s="15"/>
      <c r="E2402" s="15"/>
      <c r="F2402" s="15"/>
      <c r="G2402" s="70"/>
      <c r="H2402" s="70"/>
      <c r="I2402" s="70"/>
      <c r="J2402" s="172"/>
      <c r="K2402" s="69"/>
      <c r="L2402" s="69"/>
      <c r="M2402" s="69"/>
      <c r="N2402" s="69"/>
      <c r="O2402" s="69"/>
      <c r="P2402" s="69"/>
      <c r="Q2402" s="69"/>
      <c r="R2402" s="69"/>
    </row>
    <row r="2403" spans="1:18" ht="44.25" hidden="1" customHeight="1">
      <c r="A2403" s="50"/>
      <c r="B2403" s="14"/>
      <c r="C2403" s="15"/>
      <c r="D2403" s="15"/>
      <c r="E2403" s="15"/>
      <c r="F2403" s="15"/>
      <c r="G2403" s="70"/>
      <c r="H2403" s="70"/>
      <c r="I2403" s="70"/>
      <c r="J2403" s="172"/>
      <c r="K2403" s="69"/>
      <c r="L2403" s="69"/>
      <c r="M2403" s="69"/>
      <c r="N2403" s="69"/>
      <c r="O2403" s="69"/>
      <c r="P2403" s="69"/>
      <c r="Q2403" s="69"/>
      <c r="R2403" s="69"/>
    </row>
    <row r="2404" spans="1:18" ht="32.25" hidden="1" customHeight="1">
      <c r="A2404" s="16"/>
      <c r="B2404" s="14"/>
      <c r="C2404" s="15"/>
      <c r="D2404" s="15"/>
      <c r="E2404" s="15"/>
      <c r="F2404" s="15"/>
      <c r="G2404" s="70"/>
      <c r="H2404" s="70"/>
      <c r="I2404" s="70"/>
      <c r="J2404" s="172"/>
      <c r="K2404" s="69"/>
      <c r="L2404" s="69"/>
      <c r="M2404" s="69"/>
      <c r="N2404" s="69"/>
      <c r="O2404" s="69"/>
      <c r="P2404" s="69"/>
      <c r="Q2404" s="69"/>
      <c r="R2404" s="69"/>
    </row>
    <row r="2405" spans="1:18" ht="30.75" hidden="1" customHeight="1">
      <c r="A2405" s="16"/>
      <c r="B2405" s="14"/>
      <c r="C2405" s="15"/>
      <c r="D2405" s="15"/>
      <c r="E2405" s="15"/>
      <c r="F2405" s="15"/>
      <c r="G2405" s="160"/>
      <c r="H2405" s="70"/>
      <c r="I2405" s="70"/>
      <c r="J2405" s="172"/>
      <c r="K2405" s="69"/>
      <c r="L2405" s="69"/>
      <c r="M2405" s="69"/>
      <c r="N2405" s="69"/>
      <c r="O2405" s="69"/>
      <c r="P2405" s="69"/>
      <c r="Q2405" s="69"/>
      <c r="R2405" s="69"/>
    </row>
    <row r="2406" spans="1:18" s="33" customFormat="1" ht="64.5" customHeight="1">
      <c r="A2406" s="16" t="s">
        <v>1126</v>
      </c>
      <c r="B2406" s="14">
        <v>793</v>
      </c>
      <c r="C2406" s="15" t="s">
        <v>167</v>
      </c>
      <c r="D2406" s="15" t="s">
        <v>69</v>
      </c>
      <c r="E2406" s="14" t="s">
        <v>242</v>
      </c>
      <c r="F2406" s="15"/>
      <c r="G2406" s="70">
        <f>G2412+G2415+G2418+G2421+G2407</f>
        <v>4369010.8100000005</v>
      </c>
      <c r="H2406" s="70">
        <f t="shared" ref="H2406:I2406" si="640">H2412+H2415</f>
        <v>0</v>
      </c>
      <c r="I2406" s="70">
        <f t="shared" si="640"/>
        <v>0</v>
      </c>
      <c r="J2406" s="172"/>
      <c r="K2406" s="329"/>
      <c r="L2406" s="329"/>
      <c r="M2406" s="329"/>
      <c r="N2406" s="329"/>
      <c r="O2406" s="329"/>
      <c r="P2406" s="329"/>
      <c r="Q2406" s="329"/>
      <c r="R2406" s="329"/>
    </row>
    <row r="2407" spans="1:18" ht="27.75" customHeight="1">
      <c r="A2407" s="80" t="s">
        <v>420</v>
      </c>
      <c r="B2407" s="14">
        <v>793</v>
      </c>
      <c r="C2407" s="15" t="s">
        <v>167</v>
      </c>
      <c r="D2407" s="15" t="s">
        <v>69</v>
      </c>
      <c r="E2407" s="15" t="s">
        <v>370</v>
      </c>
      <c r="F2407" s="15"/>
      <c r="G2407" s="70">
        <f>G2408+G2410</f>
        <v>2365086.63</v>
      </c>
      <c r="H2407" s="70">
        <f t="shared" ref="H2407:I2407" si="641">H2408+H2410</f>
        <v>0</v>
      </c>
      <c r="I2407" s="70">
        <f t="shared" si="641"/>
        <v>0</v>
      </c>
      <c r="J2407" s="172"/>
      <c r="K2407" s="69"/>
      <c r="L2407" s="69"/>
      <c r="M2407" s="69"/>
      <c r="N2407" s="69"/>
      <c r="O2407" s="69"/>
      <c r="P2407" s="69"/>
      <c r="Q2407" s="69"/>
      <c r="R2407" s="69"/>
    </row>
    <row r="2408" spans="1:18" ht="19.5" hidden="1" customHeight="1">
      <c r="A2408" s="16" t="s">
        <v>152</v>
      </c>
      <c r="B2408" s="14">
        <v>793</v>
      </c>
      <c r="C2408" s="15" t="s">
        <v>18</v>
      </c>
      <c r="D2408" s="15" t="s">
        <v>22</v>
      </c>
      <c r="E2408" s="15" t="s">
        <v>370</v>
      </c>
      <c r="F2408" s="15" t="s">
        <v>153</v>
      </c>
      <c r="G2408" s="70">
        <f>G2409</f>
        <v>0</v>
      </c>
      <c r="H2408" s="70">
        <f t="shared" ref="H2408:I2410" si="642">H2409</f>
        <v>0</v>
      </c>
      <c r="I2408" s="70">
        <f t="shared" si="642"/>
        <v>0</v>
      </c>
      <c r="J2408" s="172"/>
      <c r="K2408" s="69"/>
      <c r="L2408" s="69"/>
      <c r="M2408" s="69"/>
      <c r="N2408" s="69"/>
      <c r="O2408" s="69"/>
      <c r="P2408" s="69"/>
      <c r="Q2408" s="69"/>
      <c r="R2408" s="69"/>
    </row>
    <row r="2409" spans="1:18" ht="12" hidden="1" customHeight="1">
      <c r="A2409" s="16" t="s">
        <v>172</v>
      </c>
      <c r="B2409" s="14">
        <v>793</v>
      </c>
      <c r="C2409" s="15" t="s">
        <v>18</v>
      </c>
      <c r="D2409" s="15" t="s">
        <v>22</v>
      </c>
      <c r="E2409" s="15" t="s">
        <v>370</v>
      </c>
      <c r="F2409" s="15" t="s">
        <v>173</v>
      </c>
      <c r="G2409" s="70"/>
      <c r="H2409" s="70"/>
      <c r="I2409" s="70"/>
      <c r="J2409" s="172"/>
      <c r="K2409" s="69"/>
      <c r="L2409" s="69"/>
      <c r="M2409" s="69"/>
      <c r="N2409" s="69"/>
      <c r="O2409" s="69"/>
      <c r="P2409" s="69"/>
      <c r="Q2409" s="69"/>
      <c r="R2409" s="69"/>
    </row>
    <row r="2410" spans="1:18" ht="22.5" customHeight="1">
      <c r="A2410" s="16" t="s">
        <v>316</v>
      </c>
      <c r="B2410" s="14">
        <v>793</v>
      </c>
      <c r="C2410" s="15" t="s">
        <v>167</v>
      </c>
      <c r="D2410" s="15" t="s">
        <v>69</v>
      </c>
      <c r="E2410" s="15" t="s">
        <v>370</v>
      </c>
      <c r="F2410" s="15" t="s">
        <v>36</v>
      </c>
      <c r="G2410" s="70">
        <f>G2411</f>
        <v>2365086.63</v>
      </c>
      <c r="H2410" s="70">
        <f t="shared" si="642"/>
        <v>0</v>
      </c>
      <c r="I2410" s="70">
        <f t="shared" si="642"/>
        <v>0</v>
      </c>
      <c r="J2410" s="172"/>
      <c r="K2410" s="69"/>
      <c r="L2410" s="69"/>
      <c r="M2410" s="69"/>
      <c r="N2410" s="69"/>
      <c r="O2410" s="69"/>
      <c r="P2410" s="69"/>
      <c r="Q2410" s="69"/>
      <c r="R2410" s="69"/>
    </row>
    <row r="2411" spans="1:18" ht="28.5" customHeight="1">
      <c r="A2411" s="16" t="s">
        <v>37</v>
      </c>
      <c r="B2411" s="14">
        <v>793</v>
      </c>
      <c r="C2411" s="15" t="s">
        <v>167</v>
      </c>
      <c r="D2411" s="15" t="s">
        <v>69</v>
      </c>
      <c r="E2411" s="15" t="s">
        <v>370</v>
      </c>
      <c r="F2411" s="15" t="s">
        <v>38</v>
      </c>
      <c r="G2411" s="70">
        <v>2365086.63</v>
      </c>
      <c r="H2411" s="70">
        <v>0</v>
      </c>
      <c r="I2411" s="70">
        <v>0</v>
      </c>
      <c r="J2411" s="172"/>
      <c r="K2411" s="69"/>
      <c r="L2411" s="69"/>
      <c r="M2411" s="69"/>
      <c r="N2411" s="69"/>
      <c r="O2411" s="69"/>
      <c r="P2411" s="69"/>
      <c r="Q2411" s="69"/>
      <c r="R2411" s="69"/>
    </row>
    <row r="2412" spans="1:18" ht="40.5" customHeight="1">
      <c r="A2412" s="16" t="s">
        <v>1343</v>
      </c>
      <c r="B2412" s="14">
        <v>793</v>
      </c>
      <c r="C2412" s="15" t="s">
        <v>167</v>
      </c>
      <c r="D2412" s="15" t="s">
        <v>69</v>
      </c>
      <c r="E2412" s="15" t="s">
        <v>1339</v>
      </c>
      <c r="F2412" s="15"/>
      <c r="G2412" s="70">
        <f>G2413</f>
        <v>858423.78</v>
      </c>
      <c r="H2412" s="70">
        <f t="shared" ref="H2412:I2412" si="643">H2413</f>
        <v>0</v>
      </c>
      <c r="I2412" s="70">
        <f t="shared" si="643"/>
        <v>0</v>
      </c>
      <c r="J2412" s="172"/>
      <c r="K2412" s="69"/>
      <c r="L2412" s="69"/>
      <c r="M2412" s="69"/>
      <c r="N2412" s="69"/>
      <c r="O2412" s="69"/>
      <c r="P2412" s="69"/>
      <c r="Q2412" s="69"/>
      <c r="R2412" s="69"/>
    </row>
    <row r="2413" spans="1:18" ht="25.5" customHeight="1">
      <c r="A2413" s="16" t="s">
        <v>316</v>
      </c>
      <c r="B2413" s="14">
        <v>793</v>
      </c>
      <c r="C2413" s="15" t="s">
        <v>167</v>
      </c>
      <c r="D2413" s="15" t="s">
        <v>69</v>
      </c>
      <c r="E2413" s="15" t="s">
        <v>1339</v>
      </c>
      <c r="F2413" s="15" t="s">
        <v>36</v>
      </c>
      <c r="G2413" s="70">
        <f>G2414</f>
        <v>858423.78</v>
      </c>
      <c r="H2413" s="70">
        <f>H2414</f>
        <v>0</v>
      </c>
      <c r="I2413" s="70">
        <f>I2414</f>
        <v>0</v>
      </c>
      <c r="J2413" s="172"/>
      <c r="K2413" s="69"/>
      <c r="L2413" s="69"/>
      <c r="M2413" s="69"/>
      <c r="N2413" s="69"/>
      <c r="O2413" s="69"/>
      <c r="P2413" s="69"/>
      <c r="Q2413" s="69"/>
      <c r="R2413" s="69"/>
    </row>
    <row r="2414" spans="1:18" ht="25.5" customHeight="1">
      <c r="A2414" s="16" t="s">
        <v>37</v>
      </c>
      <c r="B2414" s="14">
        <v>793</v>
      </c>
      <c r="C2414" s="15" t="s">
        <v>167</v>
      </c>
      <c r="D2414" s="15" t="s">
        <v>69</v>
      </c>
      <c r="E2414" s="15" t="s">
        <v>1339</v>
      </c>
      <c r="F2414" s="15" t="s">
        <v>38</v>
      </c>
      <c r="G2414" s="70">
        <v>858423.78</v>
      </c>
      <c r="H2414" s="70">
        <v>0</v>
      </c>
      <c r="I2414" s="70">
        <v>0</v>
      </c>
      <c r="J2414" s="172"/>
      <c r="K2414" s="69"/>
      <c r="L2414" s="69"/>
      <c r="M2414" s="69"/>
      <c r="N2414" s="69"/>
      <c r="O2414" s="69"/>
      <c r="P2414" s="69"/>
      <c r="Q2414" s="69"/>
      <c r="R2414" s="69"/>
    </row>
    <row r="2415" spans="1:18" ht="40.5" customHeight="1">
      <c r="A2415" s="16" t="s">
        <v>1344</v>
      </c>
      <c r="B2415" s="14">
        <v>793</v>
      </c>
      <c r="C2415" s="15" t="s">
        <v>167</v>
      </c>
      <c r="D2415" s="15" t="s">
        <v>69</v>
      </c>
      <c r="E2415" s="15" t="s">
        <v>1340</v>
      </c>
      <c r="F2415" s="15"/>
      <c r="G2415" s="70">
        <f>G2416</f>
        <v>45500</v>
      </c>
      <c r="H2415" s="70">
        <f t="shared" ref="H2415:I2415" si="644">H2416</f>
        <v>0</v>
      </c>
      <c r="I2415" s="70">
        <f t="shared" si="644"/>
        <v>0</v>
      </c>
      <c r="J2415" s="172"/>
      <c r="K2415" s="69"/>
      <c r="L2415" s="69"/>
      <c r="M2415" s="69"/>
      <c r="N2415" s="69"/>
      <c r="O2415" s="69"/>
      <c r="P2415" s="69"/>
      <c r="Q2415" s="69"/>
      <c r="R2415" s="69"/>
    </row>
    <row r="2416" spans="1:18" ht="25.5" customHeight="1">
      <c r="A2416" s="16" t="s">
        <v>316</v>
      </c>
      <c r="B2416" s="14">
        <v>793</v>
      </c>
      <c r="C2416" s="15" t="s">
        <v>167</v>
      </c>
      <c r="D2416" s="15" t="s">
        <v>69</v>
      </c>
      <c r="E2416" s="15" t="s">
        <v>1340</v>
      </c>
      <c r="F2416" s="15" t="s">
        <v>36</v>
      </c>
      <c r="G2416" s="70">
        <f>G2417</f>
        <v>45500</v>
      </c>
      <c r="H2416" s="70">
        <f>H2417</f>
        <v>0</v>
      </c>
      <c r="I2416" s="70">
        <f>I2417</f>
        <v>0</v>
      </c>
      <c r="J2416" s="172"/>
      <c r="K2416" s="69"/>
      <c r="L2416" s="69"/>
      <c r="M2416" s="69"/>
      <c r="N2416" s="69"/>
      <c r="O2416" s="69"/>
      <c r="P2416" s="69"/>
      <c r="Q2416" s="69"/>
      <c r="R2416" s="69"/>
    </row>
    <row r="2417" spans="1:18" ht="25.5" customHeight="1">
      <c r="A2417" s="16" t="s">
        <v>37</v>
      </c>
      <c r="B2417" s="14">
        <v>793</v>
      </c>
      <c r="C2417" s="15" t="s">
        <v>167</v>
      </c>
      <c r="D2417" s="15" t="s">
        <v>69</v>
      </c>
      <c r="E2417" s="15" t="s">
        <v>1340</v>
      </c>
      <c r="F2417" s="15" t="s">
        <v>38</v>
      </c>
      <c r="G2417" s="70">
        <v>45500</v>
      </c>
      <c r="H2417" s="70"/>
      <c r="I2417" s="70"/>
      <c r="J2417" s="172"/>
      <c r="K2417" s="69"/>
      <c r="L2417" s="69"/>
      <c r="M2417" s="69"/>
      <c r="N2417" s="69"/>
      <c r="O2417" s="69"/>
      <c r="P2417" s="69"/>
      <c r="Q2417" s="69"/>
      <c r="R2417" s="69"/>
    </row>
    <row r="2418" spans="1:18" s="28" customFormat="1" ht="45" customHeight="1">
      <c r="A2418" s="37" t="s">
        <v>1370</v>
      </c>
      <c r="B2418" s="14">
        <v>793</v>
      </c>
      <c r="C2418" s="15" t="s">
        <v>167</v>
      </c>
      <c r="D2418" s="15" t="s">
        <v>69</v>
      </c>
      <c r="E2418" s="15" t="s">
        <v>1354</v>
      </c>
      <c r="F2418" s="15"/>
      <c r="G2418" s="70">
        <f>G2419</f>
        <v>1045000.4</v>
      </c>
      <c r="H2418" s="70">
        <f t="shared" ref="H2418:I2418" si="645">H2419</f>
        <v>0</v>
      </c>
      <c r="I2418" s="70">
        <f t="shared" si="645"/>
        <v>0</v>
      </c>
      <c r="J2418" s="172"/>
      <c r="K2418" s="313"/>
      <c r="L2418" s="313"/>
      <c r="M2418" s="313"/>
      <c r="N2418" s="313"/>
      <c r="O2418" s="313"/>
      <c r="P2418" s="313"/>
      <c r="Q2418" s="313"/>
      <c r="R2418" s="313"/>
    </row>
    <row r="2419" spans="1:18" s="32" customFormat="1" ht="28.5" customHeight="1">
      <c r="A2419" s="16" t="s">
        <v>35</v>
      </c>
      <c r="B2419" s="14">
        <v>793</v>
      </c>
      <c r="C2419" s="15" t="s">
        <v>167</v>
      </c>
      <c r="D2419" s="15" t="s">
        <v>69</v>
      </c>
      <c r="E2419" s="15" t="s">
        <v>1354</v>
      </c>
      <c r="F2419" s="15" t="s">
        <v>36</v>
      </c>
      <c r="G2419" s="70">
        <f>G2420</f>
        <v>1045000.4</v>
      </c>
      <c r="H2419" s="70">
        <f>H2420</f>
        <v>0</v>
      </c>
      <c r="I2419" s="70">
        <f>I2420</f>
        <v>0</v>
      </c>
      <c r="J2419" s="172"/>
      <c r="K2419" s="336"/>
      <c r="L2419" s="336"/>
      <c r="M2419" s="336"/>
      <c r="N2419" s="336"/>
      <c r="O2419" s="336"/>
      <c r="P2419" s="336"/>
      <c r="Q2419" s="336"/>
      <c r="R2419" s="336"/>
    </row>
    <row r="2420" spans="1:18" s="32" customFormat="1" ht="26.4">
      <c r="A2420" s="16" t="s">
        <v>37</v>
      </c>
      <c r="B2420" s="14">
        <v>793</v>
      </c>
      <c r="C2420" s="15" t="s">
        <v>167</v>
      </c>
      <c r="D2420" s="15" t="s">
        <v>69</v>
      </c>
      <c r="E2420" s="15" t="s">
        <v>1354</v>
      </c>
      <c r="F2420" s="15" t="s">
        <v>38</v>
      </c>
      <c r="G2420" s="70">
        <v>1045000.4</v>
      </c>
      <c r="H2420" s="70"/>
      <c r="I2420" s="70"/>
      <c r="J2420" s="172"/>
      <c r="K2420" s="338"/>
      <c r="L2420" s="336"/>
      <c r="M2420" s="336"/>
      <c r="N2420" s="336"/>
      <c r="O2420" s="336"/>
      <c r="P2420" s="336"/>
      <c r="Q2420" s="336"/>
      <c r="R2420" s="336"/>
    </row>
    <row r="2421" spans="1:18" s="28" customFormat="1" ht="42.75" customHeight="1">
      <c r="A2421" s="37" t="s">
        <v>1371</v>
      </c>
      <c r="B2421" s="14">
        <v>793</v>
      </c>
      <c r="C2421" s="15" t="s">
        <v>167</v>
      </c>
      <c r="D2421" s="15" t="s">
        <v>69</v>
      </c>
      <c r="E2421" s="15" t="s">
        <v>1355</v>
      </c>
      <c r="F2421" s="15"/>
      <c r="G2421" s="70">
        <f>G2422</f>
        <v>55000</v>
      </c>
      <c r="H2421" s="70">
        <f t="shared" ref="H2421:I2421" si="646">H2422</f>
        <v>0</v>
      </c>
      <c r="I2421" s="70">
        <f t="shared" si="646"/>
        <v>0</v>
      </c>
      <c r="J2421" s="172"/>
      <c r="K2421" s="313"/>
      <c r="L2421" s="313"/>
      <c r="M2421" s="313"/>
      <c r="N2421" s="313"/>
      <c r="O2421" s="313"/>
      <c r="P2421" s="313"/>
      <c r="Q2421" s="313"/>
      <c r="R2421" s="313"/>
    </row>
    <row r="2422" spans="1:18" s="32" customFormat="1" ht="28.5" customHeight="1">
      <c r="A2422" s="16" t="s">
        <v>35</v>
      </c>
      <c r="B2422" s="14">
        <v>793</v>
      </c>
      <c r="C2422" s="15" t="s">
        <v>167</v>
      </c>
      <c r="D2422" s="15" t="s">
        <v>69</v>
      </c>
      <c r="E2422" s="15" t="s">
        <v>1355</v>
      </c>
      <c r="F2422" s="15" t="s">
        <v>36</v>
      </c>
      <c r="G2422" s="70">
        <f>G2423</f>
        <v>55000</v>
      </c>
      <c r="H2422" s="70">
        <f>H2423</f>
        <v>0</v>
      </c>
      <c r="I2422" s="70">
        <f>I2423</f>
        <v>0</v>
      </c>
      <c r="J2422" s="172"/>
      <c r="K2422" s="336"/>
      <c r="L2422" s="336"/>
      <c r="M2422" s="336"/>
      <c r="N2422" s="336"/>
      <c r="O2422" s="336"/>
      <c r="P2422" s="336"/>
      <c r="Q2422" s="336"/>
      <c r="R2422" s="336"/>
    </row>
    <row r="2423" spans="1:18" s="32" customFormat="1" ht="26.4">
      <c r="A2423" s="16" t="s">
        <v>37</v>
      </c>
      <c r="B2423" s="14">
        <v>793</v>
      </c>
      <c r="C2423" s="15" t="s">
        <v>167</v>
      </c>
      <c r="D2423" s="15" t="s">
        <v>69</v>
      </c>
      <c r="E2423" s="15" t="s">
        <v>1355</v>
      </c>
      <c r="F2423" s="15" t="s">
        <v>38</v>
      </c>
      <c r="G2423" s="70">
        <v>55000</v>
      </c>
      <c r="H2423" s="70"/>
      <c r="I2423" s="70"/>
      <c r="J2423" s="172"/>
      <c r="K2423" s="338"/>
      <c r="L2423" s="336"/>
      <c r="M2423" s="336"/>
      <c r="N2423" s="336"/>
      <c r="O2423" s="336"/>
      <c r="P2423" s="336"/>
      <c r="Q2423" s="336"/>
      <c r="R2423" s="336"/>
    </row>
    <row r="2424" spans="1:18" s="32" customFormat="1" ht="39.6">
      <c r="A2424" s="37" t="s">
        <v>1129</v>
      </c>
      <c r="B2424" s="14">
        <v>793</v>
      </c>
      <c r="C2424" s="15" t="s">
        <v>167</v>
      </c>
      <c r="D2424" s="15" t="s">
        <v>69</v>
      </c>
      <c r="E2424" s="15" t="s">
        <v>257</v>
      </c>
      <c r="F2424" s="15"/>
      <c r="G2424" s="70">
        <f>G2428+G2425</f>
        <v>2194764.11</v>
      </c>
      <c r="H2424" s="70">
        <f>H2428</f>
        <v>0</v>
      </c>
      <c r="I2424" s="70">
        <f>I2428</f>
        <v>0</v>
      </c>
      <c r="J2424" s="172"/>
      <c r="K2424" s="338"/>
      <c r="L2424" s="336"/>
      <c r="M2424" s="336"/>
      <c r="N2424" s="336"/>
      <c r="O2424" s="336"/>
      <c r="P2424" s="336"/>
      <c r="Q2424" s="336"/>
      <c r="R2424" s="336"/>
    </row>
    <row r="2425" spans="1:18" s="28" customFormat="1" ht="27.75" customHeight="1">
      <c r="A2425" s="16" t="s">
        <v>1395</v>
      </c>
      <c r="B2425" s="14">
        <v>793</v>
      </c>
      <c r="C2425" s="15" t="s">
        <v>167</v>
      </c>
      <c r="D2425" s="15" t="s">
        <v>69</v>
      </c>
      <c r="E2425" s="15" t="s">
        <v>1394</v>
      </c>
      <c r="F2425" s="15"/>
      <c r="G2425" s="70">
        <f>G2426</f>
        <v>194529.71</v>
      </c>
      <c r="H2425" s="70">
        <f t="shared" ref="H2425:I2425" si="647">H2426</f>
        <v>0</v>
      </c>
      <c r="I2425" s="70">
        <f t="shared" si="647"/>
        <v>0</v>
      </c>
      <c r="J2425" s="172"/>
      <c r="K2425" s="313"/>
      <c r="L2425" s="313"/>
      <c r="M2425" s="313"/>
      <c r="N2425" s="313"/>
      <c r="O2425" s="313"/>
      <c r="P2425" s="313"/>
      <c r="Q2425" s="313"/>
      <c r="R2425" s="313"/>
    </row>
    <row r="2426" spans="1:18" s="32" customFormat="1" ht="28.5" customHeight="1">
      <c r="A2426" s="16" t="s">
        <v>35</v>
      </c>
      <c r="B2426" s="14">
        <v>793</v>
      </c>
      <c r="C2426" s="15" t="s">
        <v>167</v>
      </c>
      <c r="D2426" s="15" t="s">
        <v>69</v>
      </c>
      <c r="E2426" s="15" t="s">
        <v>1394</v>
      </c>
      <c r="F2426" s="15" t="s">
        <v>36</v>
      </c>
      <c r="G2426" s="70">
        <f>G2427</f>
        <v>194529.71</v>
      </c>
      <c r="H2426" s="70">
        <f>H2427</f>
        <v>0</v>
      </c>
      <c r="I2426" s="70">
        <f>I2427</f>
        <v>0</v>
      </c>
      <c r="J2426" s="172"/>
      <c r="K2426" s="336"/>
      <c r="L2426" s="336"/>
      <c r="M2426" s="336"/>
      <c r="N2426" s="336"/>
      <c r="O2426" s="336"/>
      <c r="P2426" s="336"/>
      <c r="Q2426" s="336"/>
      <c r="R2426" s="336"/>
    </row>
    <row r="2427" spans="1:18" s="32" customFormat="1" ht="26.4">
      <c r="A2427" s="16" t="s">
        <v>37</v>
      </c>
      <c r="B2427" s="14">
        <v>793</v>
      </c>
      <c r="C2427" s="15" t="s">
        <v>167</v>
      </c>
      <c r="D2427" s="15" t="s">
        <v>69</v>
      </c>
      <c r="E2427" s="15" t="s">
        <v>1394</v>
      </c>
      <c r="F2427" s="15" t="s">
        <v>38</v>
      </c>
      <c r="G2427" s="70">
        <v>194529.71</v>
      </c>
      <c r="H2427" s="70">
        <v>0</v>
      </c>
      <c r="I2427" s="70">
        <v>0</v>
      </c>
      <c r="J2427" s="172"/>
      <c r="K2427" s="338"/>
      <c r="L2427" s="336"/>
      <c r="M2427" s="336"/>
      <c r="N2427" s="336"/>
      <c r="O2427" s="336"/>
      <c r="P2427" s="336"/>
      <c r="Q2427" s="336"/>
      <c r="R2427" s="336"/>
    </row>
    <row r="2428" spans="1:18" s="28" customFormat="1" ht="38.25" customHeight="1">
      <c r="A2428" s="37" t="s">
        <v>1291</v>
      </c>
      <c r="B2428" s="14">
        <v>793</v>
      </c>
      <c r="C2428" s="15" t="s">
        <v>167</v>
      </c>
      <c r="D2428" s="15" t="s">
        <v>69</v>
      </c>
      <c r="E2428" s="15" t="s">
        <v>1290</v>
      </c>
      <c r="F2428" s="15"/>
      <c r="G2428" s="70">
        <f>G2429</f>
        <v>2000234.4</v>
      </c>
      <c r="H2428" s="70">
        <f t="shared" ref="H2428:I2428" si="648">H2429</f>
        <v>0</v>
      </c>
      <c r="I2428" s="70">
        <f t="shared" si="648"/>
        <v>0</v>
      </c>
      <c r="J2428" s="172"/>
      <c r="K2428" s="313"/>
      <c r="L2428" s="313"/>
      <c r="M2428" s="313"/>
      <c r="N2428" s="313"/>
      <c r="O2428" s="313"/>
      <c r="P2428" s="313"/>
      <c r="Q2428" s="313"/>
      <c r="R2428" s="313"/>
    </row>
    <row r="2429" spans="1:18" s="32" customFormat="1" ht="28.5" customHeight="1">
      <c r="A2429" s="16" t="s">
        <v>35</v>
      </c>
      <c r="B2429" s="14">
        <v>793</v>
      </c>
      <c r="C2429" s="15" t="s">
        <v>167</v>
      </c>
      <c r="D2429" s="15" t="s">
        <v>69</v>
      </c>
      <c r="E2429" s="15" t="s">
        <v>1290</v>
      </c>
      <c r="F2429" s="15" t="s">
        <v>36</v>
      </c>
      <c r="G2429" s="70">
        <f>G2430</f>
        <v>2000234.4</v>
      </c>
      <c r="H2429" s="70">
        <f>H2430</f>
        <v>0</v>
      </c>
      <c r="I2429" s="70">
        <f>I2430</f>
        <v>0</v>
      </c>
      <c r="J2429" s="172"/>
      <c r="K2429" s="336"/>
      <c r="L2429" s="336"/>
      <c r="M2429" s="336"/>
      <c r="N2429" s="336"/>
      <c r="O2429" s="336"/>
      <c r="P2429" s="336"/>
      <c r="Q2429" s="336"/>
      <c r="R2429" s="336"/>
    </row>
    <row r="2430" spans="1:18" s="32" customFormat="1" ht="26.4">
      <c r="A2430" s="16" t="s">
        <v>37</v>
      </c>
      <c r="B2430" s="14">
        <v>793</v>
      </c>
      <c r="C2430" s="15" t="s">
        <v>167</v>
      </c>
      <c r="D2430" s="15" t="s">
        <v>69</v>
      </c>
      <c r="E2430" s="15" t="s">
        <v>1290</v>
      </c>
      <c r="F2430" s="15" t="s">
        <v>38</v>
      </c>
      <c r="G2430" s="70">
        <v>2000234.4</v>
      </c>
      <c r="H2430" s="70">
        <v>0</v>
      </c>
      <c r="I2430" s="70">
        <v>0</v>
      </c>
      <c r="J2430" s="172"/>
      <c r="K2430" s="338"/>
      <c r="L2430" s="336"/>
      <c r="M2430" s="336"/>
      <c r="N2430" s="336"/>
      <c r="O2430" s="336"/>
      <c r="P2430" s="336"/>
      <c r="Q2430" s="336"/>
      <c r="R2430" s="336"/>
    </row>
    <row r="2431" spans="1:18" ht="41.25" customHeight="1">
      <c r="A2431" s="16" t="s">
        <v>1259</v>
      </c>
      <c r="B2431" s="14">
        <v>793</v>
      </c>
      <c r="C2431" s="15" t="s">
        <v>167</v>
      </c>
      <c r="D2431" s="15" t="s">
        <v>69</v>
      </c>
      <c r="E2431" s="15" t="s">
        <v>135</v>
      </c>
      <c r="F2431" s="15"/>
      <c r="G2431" s="70">
        <f>G2432+G2438+G2437</f>
        <v>18347230.202999998</v>
      </c>
      <c r="H2431" s="70">
        <f t="shared" ref="H2431:I2439" si="649">H2432</f>
        <v>18049880.109999999</v>
      </c>
      <c r="I2431" s="70">
        <f t="shared" si="649"/>
        <v>0</v>
      </c>
      <c r="J2431" s="172"/>
      <c r="K2431" s="69"/>
      <c r="L2431" s="69"/>
      <c r="M2431" s="69"/>
      <c r="N2431" s="69"/>
      <c r="O2431" s="69"/>
      <c r="P2431" s="69"/>
      <c r="Q2431" s="69"/>
      <c r="R2431" s="69"/>
    </row>
    <row r="2432" spans="1:18" ht="44.25" customHeight="1">
      <c r="A2432" s="50" t="s">
        <v>1258</v>
      </c>
      <c r="B2432" s="14">
        <v>793</v>
      </c>
      <c r="C2432" s="15" t="s">
        <v>167</v>
      </c>
      <c r="D2432" s="15" t="s">
        <v>69</v>
      </c>
      <c r="E2432" s="15" t="s">
        <v>389</v>
      </c>
      <c r="F2432" s="15"/>
      <c r="G2432" s="70">
        <f>G2433</f>
        <v>16827483.129999999</v>
      </c>
      <c r="H2432" s="70">
        <f t="shared" si="649"/>
        <v>18049880.109999999</v>
      </c>
      <c r="I2432" s="70">
        <f t="shared" si="649"/>
        <v>0</v>
      </c>
      <c r="J2432" s="172"/>
      <c r="K2432" s="69"/>
      <c r="L2432" s="69"/>
      <c r="M2432" s="69"/>
      <c r="N2432" s="69"/>
      <c r="O2432" s="69"/>
      <c r="P2432" s="69"/>
      <c r="Q2432" s="69"/>
      <c r="R2432" s="69"/>
    </row>
    <row r="2433" spans="1:18" ht="32.25" customHeight="1">
      <c r="A2433" s="16" t="s">
        <v>35</v>
      </c>
      <c r="B2433" s="14">
        <v>793</v>
      </c>
      <c r="C2433" s="15" t="s">
        <v>167</v>
      </c>
      <c r="D2433" s="15" t="s">
        <v>69</v>
      </c>
      <c r="E2433" s="15" t="s">
        <v>389</v>
      </c>
      <c r="F2433" s="15" t="s">
        <v>36</v>
      </c>
      <c r="G2433" s="70">
        <f>G2434</f>
        <v>16827483.129999999</v>
      </c>
      <c r="H2433" s="70">
        <f t="shared" si="649"/>
        <v>18049880.109999999</v>
      </c>
      <c r="I2433" s="70">
        <f t="shared" si="649"/>
        <v>0</v>
      </c>
      <c r="J2433" s="172"/>
      <c r="K2433" s="69"/>
      <c r="L2433" s="69"/>
      <c r="M2433" s="69"/>
      <c r="N2433" s="69"/>
      <c r="O2433" s="69"/>
      <c r="P2433" s="69"/>
      <c r="Q2433" s="69"/>
      <c r="R2433" s="69"/>
    </row>
    <row r="2434" spans="1:18" ht="30.75" customHeight="1">
      <c r="A2434" s="16" t="s">
        <v>37</v>
      </c>
      <c r="B2434" s="14">
        <v>793</v>
      </c>
      <c r="C2434" s="15" t="s">
        <v>167</v>
      </c>
      <c r="D2434" s="15" t="s">
        <v>69</v>
      </c>
      <c r="E2434" s="15" t="s">
        <v>389</v>
      </c>
      <c r="F2434" s="15" t="s">
        <v>38</v>
      </c>
      <c r="G2434" s="70">
        <f>860648.82+16497532.48-530698.17</f>
        <v>16827483.129999999</v>
      </c>
      <c r="H2434" s="70">
        <v>18049880.109999999</v>
      </c>
      <c r="I2434" s="70">
        <v>0</v>
      </c>
      <c r="J2434" s="172"/>
      <c r="K2434" s="69"/>
      <c r="L2434" s="69"/>
      <c r="M2434" s="69"/>
      <c r="N2434" s="69"/>
      <c r="O2434" s="69"/>
      <c r="P2434" s="69"/>
      <c r="Q2434" s="69"/>
      <c r="R2434" s="69"/>
    </row>
    <row r="2435" spans="1:18" ht="44.25" customHeight="1">
      <c r="A2435" s="50" t="s">
        <v>1297</v>
      </c>
      <c r="B2435" s="14">
        <v>793</v>
      </c>
      <c r="C2435" s="15" t="s">
        <v>167</v>
      </c>
      <c r="D2435" s="15" t="s">
        <v>69</v>
      </c>
      <c r="E2435" s="15" t="s">
        <v>1296</v>
      </c>
      <c r="F2435" s="15"/>
      <c r="G2435" s="70">
        <f>G2436</f>
        <v>269188.75</v>
      </c>
      <c r="H2435" s="70">
        <f t="shared" si="649"/>
        <v>0</v>
      </c>
      <c r="I2435" s="70">
        <f t="shared" si="649"/>
        <v>0</v>
      </c>
      <c r="J2435" s="172"/>
      <c r="K2435" s="69"/>
      <c r="L2435" s="69"/>
      <c r="M2435" s="69"/>
      <c r="N2435" s="69"/>
      <c r="O2435" s="69"/>
      <c r="P2435" s="69"/>
      <c r="Q2435" s="69"/>
      <c r="R2435" s="69"/>
    </row>
    <row r="2436" spans="1:18" ht="32.25" customHeight="1">
      <c r="A2436" s="16" t="s">
        <v>35</v>
      </c>
      <c r="B2436" s="14">
        <v>793</v>
      </c>
      <c r="C2436" s="15" t="s">
        <v>167</v>
      </c>
      <c r="D2436" s="15" t="s">
        <v>69</v>
      </c>
      <c r="E2436" s="15" t="s">
        <v>1296</v>
      </c>
      <c r="F2436" s="15" t="s">
        <v>36</v>
      </c>
      <c r="G2436" s="70">
        <f>G2437</f>
        <v>269188.75</v>
      </c>
      <c r="H2436" s="70">
        <f t="shared" si="649"/>
        <v>0</v>
      </c>
      <c r="I2436" s="70">
        <f t="shared" si="649"/>
        <v>0</v>
      </c>
      <c r="J2436" s="172"/>
      <c r="K2436" s="69"/>
      <c r="L2436" s="69"/>
      <c r="M2436" s="69"/>
      <c r="N2436" s="69"/>
      <c r="O2436" s="69"/>
      <c r="P2436" s="69"/>
      <c r="Q2436" s="69"/>
      <c r="R2436" s="69"/>
    </row>
    <row r="2437" spans="1:18" ht="30.75" customHeight="1">
      <c r="A2437" s="16" t="s">
        <v>37</v>
      </c>
      <c r="B2437" s="14">
        <v>793</v>
      </c>
      <c r="C2437" s="15" t="s">
        <v>167</v>
      </c>
      <c r="D2437" s="15" t="s">
        <v>69</v>
      </c>
      <c r="E2437" s="15" t="s">
        <v>1296</v>
      </c>
      <c r="F2437" s="15" t="s">
        <v>38</v>
      </c>
      <c r="G2437" s="70">
        <f>344499.8-75311.05</f>
        <v>269188.75</v>
      </c>
      <c r="H2437" s="70">
        <v>0</v>
      </c>
      <c r="I2437" s="70">
        <v>0</v>
      </c>
      <c r="J2437" s="172"/>
      <c r="K2437" s="69"/>
      <c r="L2437" s="69"/>
      <c r="M2437" s="69"/>
      <c r="N2437" s="69"/>
      <c r="O2437" s="69"/>
      <c r="P2437" s="69"/>
      <c r="Q2437" s="69"/>
      <c r="R2437" s="69"/>
    </row>
    <row r="2438" spans="1:18" ht="63.75" customHeight="1">
      <c r="A2438" s="50" t="s">
        <v>1295</v>
      </c>
      <c r="B2438" s="14">
        <v>793</v>
      </c>
      <c r="C2438" s="15" t="s">
        <v>167</v>
      </c>
      <c r="D2438" s="15" t="s">
        <v>69</v>
      </c>
      <c r="E2438" s="15" t="s">
        <v>1294</v>
      </c>
      <c r="F2438" s="15"/>
      <c r="G2438" s="70">
        <f>G2439</f>
        <v>1250558.3230000001</v>
      </c>
      <c r="H2438" s="70">
        <f t="shared" si="649"/>
        <v>0</v>
      </c>
      <c r="I2438" s="70">
        <f t="shared" si="649"/>
        <v>0</v>
      </c>
      <c r="J2438" s="172"/>
      <c r="K2438" s="69"/>
      <c r="L2438" s="69"/>
      <c r="M2438" s="69"/>
      <c r="N2438" s="69"/>
      <c r="O2438" s="69"/>
      <c r="P2438" s="69"/>
      <c r="Q2438" s="69"/>
      <c r="R2438" s="69"/>
    </row>
    <row r="2439" spans="1:18" ht="32.25" customHeight="1">
      <c r="A2439" s="16" t="s">
        <v>35</v>
      </c>
      <c r="B2439" s="14">
        <v>793</v>
      </c>
      <c r="C2439" s="15" t="s">
        <v>167</v>
      </c>
      <c r="D2439" s="15" t="s">
        <v>69</v>
      </c>
      <c r="E2439" s="15" t="s">
        <v>1294</v>
      </c>
      <c r="F2439" s="15" t="s">
        <v>36</v>
      </c>
      <c r="G2439" s="70">
        <f>G2440</f>
        <v>1250558.3230000001</v>
      </c>
      <c r="H2439" s="70">
        <f t="shared" si="649"/>
        <v>0</v>
      </c>
      <c r="I2439" s="70">
        <f t="shared" si="649"/>
        <v>0</v>
      </c>
      <c r="J2439" s="172"/>
      <c r="K2439" s="69"/>
      <c r="L2439" s="69"/>
      <c r="M2439" s="69"/>
      <c r="N2439" s="69"/>
      <c r="O2439" s="69"/>
      <c r="P2439" s="69"/>
      <c r="Q2439" s="69"/>
      <c r="R2439" s="69"/>
    </row>
    <row r="2440" spans="1:18" ht="30.75" customHeight="1">
      <c r="A2440" s="16" t="s">
        <v>37</v>
      </c>
      <c r="B2440" s="14">
        <v>793</v>
      </c>
      <c r="C2440" s="15" t="s">
        <v>167</v>
      </c>
      <c r="D2440" s="15" t="s">
        <v>69</v>
      </c>
      <c r="E2440" s="15" t="s">
        <v>1294</v>
      </c>
      <c r="F2440" s="15" t="s">
        <v>38</v>
      </c>
      <c r="G2440" s="70">
        <v>1250558.3230000001</v>
      </c>
      <c r="H2440" s="70">
        <v>0</v>
      </c>
      <c r="I2440" s="70">
        <v>0</v>
      </c>
      <c r="J2440" s="172"/>
      <c r="K2440" s="69"/>
      <c r="L2440" s="69"/>
      <c r="M2440" s="69"/>
      <c r="N2440" s="69"/>
      <c r="O2440" s="69"/>
      <c r="P2440" s="69"/>
      <c r="Q2440" s="69"/>
      <c r="R2440" s="69"/>
    </row>
    <row r="2441" spans="1:18" s="3" customFormat="1" ht="52.5" customHeight="1">
      <c r="A2441" s="16" t="s">
        <v>1144</v>
      </c>
      <c r="B2441" s="49">
        <v>793</v>
      </c>
      <c r="C2441" s="15" t="s">
        <v>167</v>
      </c>
      <c r="D2441" s="15" t="s">
        <v>69</v>
      </c>
      <c r="E2441" s="15" t="s">
        <v>289</v>
      </c>
      <c r="F2441" s="15"/>
      <c r="G2441" s="70">
        <f>G2442+G2453+G2450+G2445</f>
        <v>2849461.69</v>
      </c>
      <c r="H2441" s="70">
        <v>0</v>
      </c>
      <c r="I2441" s="70">
        <v>0</v>
      </c>
      <c r="J2441" s="172"/>
      <c r="K2441" s="62"/>
      <c r="L2441" s="62"/>
      <c r="M2441" s="62"/>
      <c r="N2441" s="62"/>
      <c r="O2441" s="62"/>
      <c r="P2441" s="62"/>
      <c r="Q2441" s="62"/>
      <c r="R2441" s="62"/>
    </row>
    <row r="2442" spans="1:18" ht="26.4">
      <c r="A2442" s="16" t="s">
        <v>1302</v>
      </c>
      <c r="B2442" s="49">
        <v>793</v>
      </c>
      <c r="C2442" s="15" t="s">
        <v>167</v>
      </c>
      <c r="D2442" s="15" t="s">
        <v>69</v>
      </c>
      <c r="E2442" s="15" t="s">
        <v>1301</v>
      </c>
      <c r="F2442" s="15"/>
      <c r="G2442" s="70">
        <f>G2443</f>
        <v>191382</v>
      </c>
      <c r="H2442" s="70">
        <v>0</v>
      </c>
      <c r="I2442" s="70">
        <v>0</v>
      </c>
      <c r="J2442" s="172"/>
      <c r="K2442" s="69"/>
      <c r="L2442" s="69"/>
      <c r="M2442" s="69"/>
      <c r="N2442" s="69"/>
      <c r="O2442" s="69"/>
      <c r="P2442" s="69"/>
      <c r="Q2442" s="69"/>
      <c r="R2442" s="69"/>
    </row>
    <row r="2443" spans="1:18" ht="26.4">
      <c r="A2443" s="16" t="s">
        <v>35</v>
      </c>
      <c r="B2443" s="49">
        <v>793</v>
      </c>
      <c r="C2443" s="15" t="s">
        <v>167</v>
      </c>
      <c r="D2443" s="15" t="s">
        <v>69</v>
      </c>
      <c r="E2443" s="15" t="s">
        <v>1301</v>
      </c>
      <c r="F2443" s="15" t="s">
        <v>36</v>
      </c>
      <c r="G2443" s="70">
        <f t="shared" ref="G2443:I2443" si="650">G2444</f>
        <v>191382</v>
      </c>
      <c r="H2443" s="70">
        <f t="shared" si="650"/>
        <v>0</v>
      </c>
      <c r="I2443" s="70">
        <f t="shared" si="650"/>
        <v>0</v>
      </c>
      <c r="J2443" s="172"/>
      <c r="K2443" s="69"/>
      <c r="L2443" s="69"/>
      <c r="M2443" s="69"/>
      <c r="N2443" s="69"/>
      <c r="O2443" s="69"/>
      <c r="P2443" s="69"/>
      <c r="Q2443" s="69"/>
      <c r="R2443" s="69"/>
    </row>
    <row r="2444" spans="1:18" ht="26.4">
      <c r="A2444" s="16" t="s">
        <v>37</v>
      </c>
      <c r="B2444" s="49">
        <v>793</v>
      </c>
      <c r="C2444" s="15" t="s">
        <v>167</v>
      </c>
      <c r="D2444" s="15" t="s">
        <v>69</v>
      </c>
      <c r="E2444" s="15" t="s">
        <v>1301</v>
      </c>
      <c r="F2444" s="15" t="s">
        <v>38</v>
      </c>
      <c r="G2444" s="70">
        <f>191382</f>
        <v>191382</v>
      </c>
      <c r="H2444" s="70">
        <v>0</v>
      </c>
      <c r="I2444" s="70">
        <v>0</v>
      </c>
      <c r="J2444" s="172"/>
      <c r="K2444" s="69"/>
      <c r="L2444" s="69"/>
      <c r="M2444" s="69"/>
      <c r="N2444" s="69"/>
      <c r="O2444" s="69"/>
      <c r="P2444" s="69"/>
      <c r="Q2444" s="69"/>
      <c r="R2444" s="69"/>
    </row>
    <row r="2445" spans="1:18" ht="26.4" hidden="1">
      <c r="A2445" s="16" t="s">
        <v>1446</v>
      </c>
      <c r="B2445" s="49">
        <v>793</v>
      </c>
      <c r="C2445" s="15" t="s">
        <v>167</v>
      </c>
      <c r="D2445" s="15" t="s">
        <v>69</v>
      </c>
      <c r="E2445" s="15" t="s">
        <v>1445</v>
      </c>
      <c r="F2445" s="15"/>
      <c r="G2445" s="70">
        <f>G2446</f>
        <v>0</v>
      </c>
      <c r="H2445" s="70">
        <v>0</v>
      </c>
      <c r="I2445" s="70">
        <v>0</v>
      </c>
      <c r="J2445" s="172"/>
      <c r="K2445" s="69"/>
      <c r="L2445" s="69"/>
      <c r="M2445" s="69"/>
      <c r="N2445" s="69"/>
      <c r="O2445" s="69"/>
      <c r="P2445" s="69"/>
      <c r="Q2445" s="69"/>
      <c r="R2445" s="69"/>
    </row>
    <row r="2446" spans="1:18" ht="26.4" hidden="1">
      <c r="A2446" s="16" t="s">
        <v>35</v>
      </c>
      <c r="B2446" s="49">
        <v>793</v>
      </c>
      <c r="C2446" s="15" t="s">
        <v>167</v>
      </c>
      <c r="D2446" s="15" t="s">
        <v>69</v>
      </c>
      <c r="E2446" s="15" t="s">
        <v>1445</v>
      </c>
      <c r="F2446" s="15" t="s">
        <v>36</v>
      </c>
      <c r="G2446" s="70">
        <f>G2447</f>
        <v>0</v>
      </c>
      <c r="H2446" s="70">
        <f>H2447</f>
        <v>0</v>
      </c>
      <c r="I2446" s="70">
        <f>I2447</f>
        <v>0</v>
      </c>
      <c r="J2446" s="172"/>
      <c r="K2446" s="69"/>
      <c r="L2446" s="69"/>
      <c r="M2446" s="69"/>
      <c r="N2446" s="69"/>
      <c r="O2446" s="69"/>
      <c r="P2446" s="69"/>
      <c r="Q2446" s="69"/>
      <c r="R2446" s="69"/>
    </row>
    <row r="2447" spans="1:18" ht="26.4" hidden="1">
      <c r="A2447" s="16" t="s">
        <v>37</v>
      </c>
      <c r="B2447" s="49">
        <v>793</v>
      </c>
      <c r="C2447" s="15" t="s">
        <v>167</v>
      </c>
      <c r="D2447" s="15" t="s">
        <v>69</v>
      </c>
      <c r="E2447" s="15" t="s">
        <v>1445</v>
      </c>
      <c r="F2447" s="15" t="s">
        <v>38</v>
      </c>
      <c r="G2447" s="70">
        <f>60000-60000</f>
        <v>0</v>
      </c>
      <c r="H2447" s="70">
        <v>0</v>
      </c>
      <c r="I2447" s="70">
        <v>0</v>
      </c>
      <c r="J2447" s="172"/>
      <c r="K2447" s="69"/>
      <c r="L2447" s="69"/>
      <c r="M2447" s="69"/>
      <c r="N2447" s="69"/>
      <c r="O2447" s="69"/>
      <c r="P2447" s="69"/>
      <c r="Q2447" s="69"/>
      <c r="R2447" s="69"/>
    </row>
    <row r="2448" spans="1:18" s="18" customFormat="1" ht="110.25" customHeight="1">
      <c r="A2448" s="130" t="s">
        <v>1544</v>
      </c>
      <c r="B2448" s="49">
        <v>793</v>
      </c>
      <c r="C2448" s="15" t="s">
        <v>167</v>
      </c>
      <c r="D2448" s="15" t="s">
        <v>69</v>
      </c>
      <c r="E2448" s="15" t="s">
        <v>1083</v>
      </c>
      <c r="F2448" s="15"/>
      <c r="G2448" s="70">
        <f>G2449</f>
        <v>2658079.69</v>
      </c>
      <c r="H2448" s="70">
        <f t="shared" ref="H2448:I2448" si="651">H2449</f>
        <v>0</v>
      </c>
      <c r="I2448" s="70">
        <f t="shared" si="651"/>
        <v>0</v>
      </c>
      <c r="J2448" s="172"/>
      <c r="K2448" s="180"/>
      <c r="L2448" s="180"/>
      <c r="M2448" s="180"/>
      <c r="N2448" s="180"/>
      <c r="O2448" s="180"/>
      <c r="P2448" s="180"/>
      <c r="Q2448" s="180"/>
      <c r="R2448" s="180"/>
    </row>
    <row r="2449" spans="1:20" ht="30.75" customHeight="1">
      <c r="A2449" s="16" t="s">
        <v>35</v>
      </c>
      <c r="B2449" s="49">
        <v>793</v>
      </c>
      <c r="C2449" s="15" t="s">
        <v>167</v>
      </c>
      <c r="D2449" s="15" t="s">
        <v>69</v>
      </c>
      <c r="E2449" s="15" t="s">
        <v>1083</v>
      </c>
      <c r="F2449" s="15" t="s">
        <v>36</v>
      </c>
      <c r="G2449" s="70">
        <f t="shared" ref="G2449:I2449" si="652">G2450</f>
        <v>2658079.69</v>
      </c>
      <c r="H2449" s="70">
        <f t="shared" si="652"/>
        <v>0</v>
      </c>
      <c r="I2449" s="70">
        <f t="shared" si="652"/>
        <v>0</v>
      </c>
      <c r="J2449" s="172"/>
      <c r="K2449" s="69"/>
      <c r="L2449" s="69"/>
      <c r="M2449" s="69"/>
      <c r="N2449" s="69"/>
      <c r="O2449" s="69"/>
      <c r="P2449" s="69"/>
      <c r="Q2449" s="69"/>
      <c r="R2449" s="69"/>
    </row>
    <row r="2450" spans="1:20" s="18" customFormat="1" ht="34.5" customHeight="1">
      <c r="A2450" s="16" t="s">
        <v>37</v>
      </c>
      <c r="B2450" s="49">
        <v>793</v>
      </c>
      <c r="C2450" s="15" t="s">
        <v>167</v>
      </c>
      <c r="D2450" s="15" t="s">
        <v>69</v>
      </c>
      <c r="E2450" s="15" t="s">
        <v>1083</v>
      </c>
      <c r="F2450" s="15" t="s">
        <v>38</v>
      </c>
      <c r="G2450" s="70">
        <v>2658079.69</v>
      </c>
      <c r="H2450" s="70">
        <v>0</v>
      </c>
      <c r="I2450" s="70">
        <v>0</v>
      </c>
      <c r="J2450" s="172"/>
      <c r="K2450" s="180"/>
      <c r="L2450" s="180"/>
      <c r="M2450" s="180"/>
      <c r="N2450" s="180"/>
      <c r="O2450" s="180"/>
      <c r="P2450" s="180"/>
      <c r="Q2450" s="180"/>
      <c r="R2450" s="180"/>
    </row>
    <row r="2451" spans="1:20" ht="70.5" hidden="1" customHeight="1">
      <c r="A2451" s="16" t="s">
        <v>1401</v>
      </c>
      <c r="B2451" s="49">
        <v>793</v>
      </c>
      <c r="C2451" s="15" t="s">
        <v>167</v>
      </c>
      <c r="D2451" s="15" t="s">
        <v>69</v>
      </c>
      <c r="E2451" s="15" t="s">
        <v>1404</v>
      </c>
      <c r="F2451" s="15"/>
      <c r="G2451" s="70">
        <f t="shared" ref="G2451:I2452" si="653">G2452</f>
        <v>0</v>
      </c>
      <c r="H2451" s="70">
        <f t="shared" si="653"/>
        <v>0</v>
      </c>
      <c r="I2451" s="70">
        <f t="shared" si="653"/>
        <v>0</v>
      </c>
      <c r="J2451" s="172"/>
      <c r="K2451" s="69"/>
      <c r="L2451" s="69"/>
      <c r="M2451" s="69"/>
      <c r="N2451" s="69"/>
      <c r="O2451" s="69"/>
      <c r="P2451" s="69"/>
      <c r="Q2451" s="69"/>
      <c r="R2451" s="69"/>
    </row>
    <row r="2452" spans="1:20" ht="30.75" hidden="1" customHeight="1">
      <c r="A2452" s="16" t="s">
        <v>35</v>
      </c>
      <c r="B2452" s="49">
        <v>793</v>
      </c>
      <c r="C2452" s="15" t="s">
        <v>167</v>
      </c>
      <c r="D2452" s="15" t="s">
        <v>69</v>
      </c>
      <c r="E2452" s="15" t="s">
        <v>1404</v>
      </c>
      <c r="F2452" s="15" t="s">
        <v>36</v>
      </c>
      <c r="G2452" s="70">
        <f t="shared" si="653"/>
        <v>0</v>
      </c>
      <c r="H2452" s="70">
        <f t="shared" si="653"/>
        <v>0</v>
      </c>
      <c r="I2452" s="70">
        <f t="shared" si="653"/>
        <v>0</v>
      </c>
      <c r="J2452" s="172"/>
      <c r="K2452" s="69"/>
      <c r="L2452" s="69"/>
      <c r="M2452" s="69"/>
      <c r="N2452" s="69"/>
      <c r="O2452" s="69"/>
      <c r="P2452" s="69"/>
      <c r="Q2452" s="69"/>
      <c r="R2452" s="69"/>
    </row>
    <row r="2453" spans="1:20" ht="30.75" hidden="1" customHeight="1">
      <c r="A2453" s="16" t="s">
        <v>37</v>
      </c>
      <c r="B2453" s="49">
        <v>793</v>
      </c>
      <c r="C2453" s="15" t="s">
        <v>167</v>
      </c>
      <c r="D2453" s="15" t="s">
        <v>69</v>
      </c>
      <c r="E2453" s="15" t="s">
        <v>1404</v>
      </c>
      <c r="F2453" s="15" t="s">
        <v>38</v>
      </c>
      <c r="G2453" s="70"/>
      <c r="H2453" s="70">
        <v>0</v>
      </c>
      <c r="I2453" s="70">
        <v>0</v>
      </c>
      <c r="J2453" s="172"/>
      <c r="K2453" s="69"/>
      <c r="L2453" s="69"/>
      <c r="M2453" s="69"/>
      <c r="N2453" s="69"/>
      <c r="O2453" s="69"/>
      <c r="P2453" s="69"/>
      <c r="Q2453" s="69"/>
      <c r="R2453" s="69"/>
    </row>
    <row r="2454" spans="1:20" ht="42.75" customHeight="1">
      <c r="A2454" s="16" t="s">
        <v>1100</v>
      </c>
      <c r="B2454" s="49">
        <v>793</v>
      </c>
      <c r="C2454" s="15" t="s">
        <v>167</v>
      </c>
      <c r="D2454" s="15" t="s">
        <v>69</v>
      </c>
      <c r="E2454" s="15" t="s">
        <v>648</v>
      </c>
      <c r="F2454" s="15"/>
      <c r="G2454" s="70">
        <f>G2455+G2459+G2471+G2483+G2488+G2491+G2460+G2496+G2499</f>
        <v>21180103.550000001</v>
      </c>
      <c r="H2454" s="70">
        <f>H2455+H2459+H2471+H2483+H2488+H2491</f>
        <v>12010300</v>
      </c>
      <c r="I2454" s="70">
        <f t="shared" ref="I2454" si="654">I2455+I2459+I2471+I2483+I2488+I2491</f>
        <v>12010300</v>
      </c>
      <c r="J2454" s="172"/>
      <c r="K2454" s="69"/>
      <c r="L2454" s="69"/>
      <c r="M2454" s="69"/>
      <c r="N2454" s="241"/>
      <c r="O2454" s="241"/>
      <c r="P2454" s="69"/>
      <c r="Q2454" s="69"/>
      <c r="R2454" s="69"/>
    </row>
    <row r="2455" spans="1:20" s="18" customFormat="1" ht="39" hidden="1" customHeight="1">
      <c r="A2455" s="16" t="s">
        <v>1086</v>
      </c>
      <c r="B2455" s="49">
        <v>793</v>
      </c>
      <c r="C2455" s="15" t="s">
        <v>167</v>
      </c>
      <c r="D2455" s="15" t="s">
        <v>69</v>
      </c>
      <c r="E2455" s="15" t="s">
        <v>1099</v>
      </c>
      <c r="F2455" s="15"/>
      <c r="G2455" s="70">
        <f>G2457</f>
        <v>6500000</v>
      </c>
      <c r="H2455" s="70">
        <f>H2457</f>
        <v>0</v>
      </c>
      <c r="I2455" s="70">
        <f>I2457</f>
        <v>0</v>
      </c>
      <c r="J2455" s="172"/>
      <c r="K2455" s="180"/>
      <c r="L2455" s="180"/>
      <c r="M2455" s="180"/>
      <c r="N2455" s="180"/>
      <c r="O2455" s="180"/>
      <c r="P2455" s="180"/>
      <c r="Q2455" s="180"/>
      <c r="R2455" s="180"/>
    </row>
    <row r="2456" spans="1:20" s="18" customFormat="1" ht="84" customHeight="1">
      <c r="A2456" s="82" t="s">
        <v>1455</v>
      </c>
      <c r="B2456" s="49">
        <v>793</v>
      </c>
      <c r="C2456" s="15" t="s">
        <v>167</v>
      </c>
      <c r="D2456" s="15" t="s">
        <v>69</v>
      </c>
      <c r="E2456" s="15" t="s">
        <v>1099</v>
      </c>
      <c r="F2456" s="15"/>
      <c r="G2456" s="70">
        <f>G2457</f>
        <v>6500000</v>
      </c>
      <c r="H2456" s="70">
        <f t="shared" ref="H2456:I2456" si="655">H2457</f>
        <v>0</v>
      </c>
      <c r="I2456" s="70">
        <f t="shared" si="655"/>
        <v>0</v>
      </c>
      <c r="J2456" s="172"/>
      <c r="K2456" s="180"/>
      <c r="L2456" s="180"/>
      <c r="M2456" s="180"/>
      <c r="N2456" s="180"/>
      <c r="O2456" s="180"/>
      <c r="P2456" s="180"/>
      <c r="Q2456" s="180"/>
      <c r="R2456" s="180"/>
    </row>
    <row r="2457" spans="1:20" ht="30.75" customHeight="1">
      <c r="A2457" s="16" t="s">
        <v>35</v>
      </c>
      <c r="B2457" s="49">
        <v>793</v>
      </c>
      <c r="C2457" s="15" t="s">
        <v>167</v>
      </c>
      <c r="D2457" s="15" t="s">
        <v>69</v>
      </c>
      <c r="E2457" s="15" t="s">
        <v>1099</v>
      </c>
      <c r="F2457" s="15" t="s">
        <v>36</v>
      </c>
      <c r="G2457" s="70">
        <f t="shared" ref="G2457:I2457" si="656">G2458</f>
        <v>6500000</v>
      </c>
      <c r="H2457" s="70">
        <f t="shared" si="656"/>
        <v>0</v>
      </c>
      <c r="I2457" s="70">
        <f t="shared" si="656"/>
        <v>0</v>
      </c>
      <c r="J2457" s="172"/>
      <c r="K2457" s="69"/>
      <c r="L2457" s="69"/>
      <c r="M2457" s="69"/>
      <c r="N2457" s="69"/>
      <c r="O2457" s="69"/>
      <c r="P2457" s="69"/>
      <c r="Q2457" s="69"/>
      <c r="R2457" s="69"/>
    </row>
    <row r="2458" spans="1:20" s="18" customFormat="1" ht="34.5" customHeight="1">
      <c r="A2458" s="16" t="s">
        <v>37</v>
      </c>
      <c r="B2458" s="49">
        <v>793</v>
      </c>
      <c r="C2458" s="15" t="s">
        <v>167</v>
      </c>
      <c r="D2458" s="15" t="s">
        <v>69</v>
      </c>
      <c r="E2458" s="15" t="s">
        <v>1099</v>
      </c>
      <c r="F2458" s="15" t="s">
        <v>38</v>
      </c>
      <c r="G2458" s="70">
        <f>5000000+1500000</f>
        <v>6500000</v>
      </c>
      <c r="H2458" s="70">
        <v>0</v>
      </c>
      <c r="I2458" s="70">
        <v>0</v>
      </c>
      <c r="J2458" s="172"/>
      <c r="K2458" s="180"/>
      <c r="L2458" s="180"/>
      <c r="M2458" s="180"/>
      <c r="N2458" s="180"/>
      <c r="O2458" s="180"/>
      <c r="P2458" s="180"/>
      <c r="Q2458" s="180"/>
      <c r="R2458" s="180"/>
    </row>
    <row r="2459" spans="1:20" s="18" customFormat="1" ht="39" hidden="1" customHeight="1">
      <c r="A2459" s="16" t="s">
        <v>1102</v>
      </c>
      <c r="B2459" s="49">
        <v>793</v>
      </c>
      <c r="C2459" s="15" t="s">
        <v>167</v>
      </c>
      <c r="D2459" s="15" t="s">
        <v>69</v>
      </c>
      <c r="E2459" s="15" t="s">
        <v>1101</v>
      </c>
      <c r="F2459" s="15"/>
      <c r="G2459" s="70">
        <f>G2461</f>
        <v>0</v>
      </c>
      <c r="H2459" s="70">
        <f>H2461</f>
        <v>0</v>
      </c>
      <c r="I2459" s="70">
        <f>I2461</f>
        <v>0</v>
      </c>
      <c r="J2459" s="172"/>
      <c r="K2459" s="180"/>
      <c r="L2459" s="180"/>
      <c r="M2459" s="180"/>
      <c r="N2459" s="180"/>
      <c r="O2459" s="180"/>
      <c r="P2459" s="180"/>
      <c r="Q2459" s="180"/>
      <c r="R2459" s="180"/>
    </row>
    <row r="2460" spans="1:20" s="18" customFormat="1" ht="56.25" hidden="1" customHeight="1">
      <c r="A2460" s="82" t="s">
        <v>1166</v>
      </c>
      <c r="B2460" s="49">
        <v>793</v>
      </c>
      <c r="C2460" s="15" t="s">
        <v>167</v>
      </c>
      <c r="D2460" s="15" t="s">
        <v>69</v>
      </c>
      <c r="E2460" s="15" t="s">
        <v>1101</v>
      </c>
      <c r="F2460" s="15"/>
      <c r="G2460" s="70">
        <f>G2461+G2468</f>
        <v>2487695</v>
      </c>
      <c r="H2460" s="70">
        <f t="shared" ref="H2460" si="657">H2461</f>
        <v>0</v>
      </c>
      <c r="I2460" s="70">
        <f t="shared" ref="I2460" si="658">I2461</f>
        <v>0</v>
      </c>
      <c r="J2460" s="172"/>
      <c r="K2460" s="180"/>
      <c r="L2460" s="180"/>
      <c r="M2460" s="180"/>
      <c r="N2460" s="180"/>
      <c r="O2460" s="180"/>
      <c r="P2460" s="180"/>
      <c r="Q2460" s="180"/>
      <c r="R2460" s="180"/>
    </row>
    <row r="2461" spans="1:20" ht="30.75" hidden="1" customHeight="1">
      <c r="A2461" s="16" t="s">
        <v>35</v>
      </c>
      <c r="B2461" s="49">
        <v>793</v>
      </c>
      <c r="C2461" s="15" t="s">
        <v>167</v>
      </c>
      <c r="D2461" s="15" t="s">
        <v>69</v>
      </c>
      <c r="E2461" s="15" t="s">
        <v>1101</v>
      </c>
      <c r="F2461" s="15" t="s">
        <v>36</v>
      </c>
      <c r="G2461" s="70">
        <f t="shared" ref="G2461:I2461" si="659">G2462</f>
        <v>0</v>
      </c>
      <c r="H2461" s="70">
        <f t="shared" si="659"/>
        <v>0</v>
      </c>
      <c r="I2461" s="70">
        <f t="shared" si="659"/>
        <v>0</v>
      </c>
      <c r="J2461" s="172"/>
      <c r="K2461" s="69"/>
      <c r="L2461" s="69"/>
      <c r="M2461" s="69"/>
      <c r="N2461" s="69"/>
      <c r="O2461" s="69"/>
      <c r="P2461" s="69"/>
      <c r="Q2461" s="69"/>
      <c r="R2461" s="69"/>
    </row>
    <row r="2462" spans="1:20" s="18" customFormat="1" ht="34.5" hidden="1" customHeight="1">
      <c r="A2462" s="16" t="s">
        <v>37</v>
      </c>
      <c r="B2462" s="49">
        <v>793</v>
      </c>
      <c r="C2462" s="15" t="s">
        <v>167</v>
      </c>
      <c r="D2462" s="15" t="s">
        <v>69</v>
      </c>
      <c r="E2462" s="15" t="s">
        <v>1101</v>
      </c>
      <c r="F2462" s="15" t="s">
        <v>38</v>
      </c>
      <c r="G2462" s="70">
        <f>2500000-2500000</f>
        <v>0</v>
      </c>
      <c r="H2462" s="70">
        <v>0</v>
      </c>
      <c r="I2462" s="70">
        <v>0</v>
      </c>
      <c r="J2462" s="172"/>
      <c r="K2462" s="180"/>
      <c r="L2462" s="180"/>
      <c r="M2462" s="180"/>
      <c r="N2462" s="180"/>
      <c r="O2462" s="180"/>
      <c r="P2462" s="180"/>
      <c r="Q2462" s="180"/>
      <c r="R2462" s="180"/>
    </row>
    <row r="2463" spans="1:20" s="76" customFormat="1" ht="34.5" hidden="1" customHeight="1">
      <c r="A2463" s="37" t="s">
        <v>163</v>
      </c>
      <c r="B2463" s="14">
        <v>793</v>
      </c>
      <c r="C2463" s="15" t="s">
        <v>167</v>
      </c>
      <c r="D2463" s="15" t="s">
        <v>69</v>
      </c>
      <c r="E2463" s="15" t="s">
        <v>228</v>
      </c>
      <c r="F2463" s="39"/>
      <c r="G2463" s="70">
        <f>G2464</f>
        <v>0</v>
      </c>
      <c r="H2463" s="70">
        <f t="shared" ref="H2463:I2463" si="660">H2464</f>
        <v>0</v>
      </c>
      <c r="I2463" s="70">
        <f t="shared" si="660"/>
        <v>0</v>
      </c>
      <c r="J2463" s="230"/>
      <c r="P2463" s="230"/>
      <c r="Q2463" s="230"/>
      <c r="R2463" s="230"/>
      <c r="S2463" s="230"/>
      <c r="T2463" s="230"/>
    </row>
    <row r="2464" spans="1:20" ht="26.4" hidden="1">
      <c r="A2464" s="37" t="s">
        <v>163</v>
      </c>
      <c r="B2464" s="14">
        <v>793</v>
      </c>
      <c r="C2464" s="15" t="s">
        <v>167</v>
      </c>
      <c r="D2464" s="15" t="s">
        <v>69</v>
      </c>
      <c r="E2464" s="15" t="s">
        <v>270</v>
      </c>
      <c r="F2464" s="14"/>
      <c r="G2464" s="70">
        <f>G2465</f>
        <v>0</v>
      </c>
      <c r="H2464" s="70">
        <f>H2507+H2516+H2522+H2514+H2511</f>
        <v>0</v>
      </c>
      <c r="I2464" s="70">
        <f>I2507+I2516+I2522+I2514+I2511</f>
        <v>0</v>
      </c>
      <c r="J2464" s="2"/>
      <c r="K2464" s="1"/>
      <c r="L2464" s="1"/>
      <c r="M2464" s="1"/>
      <c r="N2464" s="1"/>
      <c r="O2464" s="1"/>
      <c r="P2464" s="2"/>
      <c r="Q2464" s="2"/>
      <c r="R2464" s="2"/>
      <c r="S2464" s="2"/>
      <c r="T2464" s="2"/>
    </row>
    <row r="2465" spans="1:20" ht="30.75" hidden="1" customHeight="1">
      <c r="A2465" s="16" t="s">
        <v>152</v>
      </c>
      <c r="B2465" s="14">
        <v>793</v>
      </c>
      <c r="C2465" s="15" t="s">
        <v>167</v>
      </c>
      <c r="D2465" s="15" t="s">
        <v>69</v>
      </c>
      <c r="E2465" s="15" t="s">
        <v>270</v>
      </c>
      <c r="F2465" s="15" t="s">
        <v>153</v>
      </c>
      <c r="G2465" s="70">
        <f>G2466</f>
        <v>0</v>
      </c>
      <c r="H2465" s="70">
        <v>0</v>
      </c>
      <c r="I2465" s="70">
        <v>0</v>
      </c>
      <c r="J2465" s="1"/>
      <c r="K2465" s="1"/>
      <c r="L2465" s="1"/>
      <c r="M2465" s="1"/>
      <c r="N2465" s="1"/>
      <c r="O2465" s="1"/>
      <c r="P2465" s="2"/>
      <c r="Q2465" s="2"/>
      <c r="R2465" s="2"/>
      <c r="S2465" s="2"/>
      <c r="T2465" s="2"/>
    </row>
    <row r="2466" spans="1:20" ht="30.75" hidden="1" customHeight="1">
      <c r="A2466" s="16" t="s">
        <v>172</v>
      </c>
      <c r="B2466" s="14">
        <v>793</v>
      </c>
      <c r="C2466" s="15" t="s">
        <v>167</v>
      </c>
      <c r="D2466" s="15" t="s">
        <v>69</v>
      </c>
      <c r="E2466" s="15" t="s">
        <v>270</v>
      </c>
      <c r="F2466" s="15" t="s">
        <v>173</v>
      </c>
      <c r="G2466" s="70"/>
      <c r="H2466" s="70"/>
      <c r="I2466" s="70"/>
      <c r="J2466" s="1"/>
      <c r="K2466" s="1"/>
      <c r="L2466" s="1"/>
      <c r="M2466" s="1"/>
      <c r="N2466" s="1"/>
      <c r="O2466" s="1"/>
      <c r="P2466" s="2"/>
      <c r="Q2466" s="2"/>
      <c r="R2466" s="2"/>
      <c r="S2466" s="2"/>
      <c r="T2466" s="2"/>
    </row>
    <row r="2467" spans="1:20" ht="48.75" hidden="1" customHeight="1">
      <c r="A2467" s="344"/>
      <c r="B2467" s="49"/>
      <c r="C2467" s="15"/>
      <c r="D2467" s="15"/>
      <c r="E2467" s="15"/>
      <c r="F2467" s="15"/>
      <c r="G2467" s="70"/>
      <c r="H2467" s="70"/>
      <c r="I2467" s="70"/>
      <c r="J2467" s="172"/>
      <c r="K2467" s="69"/>
      <c r="L2467" s="69"/>
      <c r="M2467" s="69"/>
      <c r="N2467" s="69"/>
      <c r="O2467" s="69"/>
      <c r="P2467" s="69"/>
      <c r="Q2467" s="69"/>
      <c r="R2467" s="69"/>
    </row>
    <row r="2468" spans="1:20" s="18" customFormat="1" ht="56.25" customHeight="1">
      <c r="A2468" s="82" t="s">
        <v>1545</v>
      </c>
      <c r="B2468" s="49">
        <v>793</v>
      </c>
      <c r="C2468" s="15" t="s">
        <v>167</v>
      </c>
      <c r="D2468" s="15" t="s">
        <v>69</v>
      </c>
      <c r="E2468" s="15" t="s">
        <v>1101</v>
      </c>
      <c r="F2468" s="15"/>
      <c r="G2468" s="70">
        <f>G2469</f>
        <v>2487695</v>
      </c>
      <c r="H2468" s="70">
        <f t="shared" ref="H2468:I2468" si="661">H2469</f>
        <v>0</v>
      </c>
      <c r="I2468" s="70">
        <f t="shared" si="661"/>
        <v>0</v>
      </c>
      <c r="J2468" s="172"/>
      <c r="K2468" s="180"/>
      <c r="L2468" s="180"/>
      <c r="M2468" s="180"/>
      <c r="N2468" s="180"/>
      <c r="O2468" s="180"/>
      <c r="P2468" s="180"/>
      <c r="Q2468" s="180"/>
      <c r="R2468" s="180"/>
    </row>
    <row r="2469" spans="1:20" ht="30.75" customHeight="1">
      <c r="A2469" s="16" t="s">
        <v>94</v>
      </c>
      <c r="B2469" s="49">
        <v>793</v>
      </c>
      <c r="C2469" s="15" t="s">
        <v>167</v>
      </c>
      <c r="D2469" s="15" t="s">
        <v>69</v>
      </c>
      <c r="E2469" s="15" t="s">
        <v>1101</v>
      </c>
      <c r="F2469" s="15" t="s">
        <v>338</v>
      </c>
      <c r="G2469" s="70">
        <f t="shared" ref="G2469:I2469" si="662">G2470</f>
        <v>2487695</v>
      </c>
      <c r="H2469" s="70">
        <f t="shared" si="662"/>
        <v>0</v>
      </c>
      <c r="I2469" s="70">
        <f t="shared" si="662"/>
        <v>0</v>
      </c>
      <c r="J2469" s="172"/>
      <c r="K2469" s="69"/>
      <c r="L2469" s="69"/>
      <c r="M2469" s="69"/>
      <c r="N2469" s="69"/>
      <c r="O2469" s="69"/>
      <c r="P2469" s="69"/>
      <c r="Q2469" s="69"/>
      <c r="R2469" s="69"/>
    </row>
    <row r="2470" spans="1:20" s="18" customFormat="1" ht="34.5" customHeight="1">
      <c r="A2470" s="16" t="s">
        <v>339</v>
      </c>
      <c r="B2470" s="49">
        <v>793</v>
      </c>
      <c r="C2470" s="15" t="s">
        <v>167</v>
      </c>
      <c r="D2470" s="15" t="s">
        <v>69</v>
      </c>
      <c r="E2470" s="15" t="s">
        <v>1101</v>
      </c>
      <c r="F2470" s="15" t="s">
        <v>340</v>
      </c>
      <c r="G2470" s="70">
        <v>2487695</v>
      </c>
      <c r="H2470" s="70">
        <v>0</v>
      </c>
      <c r="I2470" s="70">
        <v>0</v>
      </c>
      <c r="J2470" s="172"/>
      <c r="K2470" s="180"/>
      <c r="L2470" s="180"/>
      <c r="M2470" s="180"/>
      <c r="N2470" s="180"/>
      <c r="O2470" s="180"/>
      <c r="P2470" s="180"/>
      <c r="Q2470" s="180"/>
      <c r="R2470" s="180"/>
    </row>
    <row r="2471" spans="1:20" s="46" customFormat="1" ht="17.25" customHeight="1">
      <c r="A2471" s="16" t="s">
        <v>368</v>
      </c>
      <c r="B2471" s="49">
        <v>793</v>
      </c>
      <c r="C2471" s="15" t="s">
        <v>167</v>
      </c>
      <c r="D2471" s="15" t="s">
        <v>69</v>
      </c>
      <c r="E2471" s="15" t="s">
        <v>1111</v>
      </c>
      <c r="F2471" s="15"/>
      <c r="G2471" s="70">
        <f t="shared" ref="G2471:I2471" si="663">G2472</f>
        <v>10568908.550000001</v>
      </c>
      <c r="H2471" s="70">
        <f t="shared" si="663"/>
        <v>10640300</v>
      </c>
      <c r="I2471" s="70">
        <f t="shared" si="663"/>
        <v>10640300</v>
      </c>
      <c r="J2471" s="172"/>
      <c r="K2471" s="58"/>
      <c r="L2471" s="58"/>
      <c r="M2471" s="58"/>
      <c r="N2471" s="58"/>
      <c r="O2471" s="58"/>
      <c r="P2471" s="58"/>
      <c r="Q2471" s="58"/>
      <c r="R2471" s="58"/>
    </row>
    <row r="2472" spans="1:20" s="46" customFormat="1" ht="17.25" customHeight="1">
      <c r="A2472" s="16" t="s">
        <v>316</v>
      </c>
      <c r="B2472" s="49">
        <v>793</v>
      </c>
      <c r="C2472" s="15" t="s">
        <v>167</v>
      </c>
      <c r="D2472" s="15" t="s">
        <v>69</v>
      </c>
      <c r="E2472" s="15" t="s">
        <v>1111</v>
      </c>
      <c r="F2472" s="15" t="s">
        <v>36</v>
      </c>
      <c r="G2472" s="70">
        <f>G2482</f>
        <v>10568908.550000001</v>
      </c>
      <c r="H2472" s="70">
        <f t="shared" ref="H2472:I2472" si="664">H2482</f>
        <v>10640300</v>
      </c>
      <c r="I2472" s="70">
        <f t="shared" si="664"/>
        <v>10640300</v>
      </c>
      <c r="J2472" s="172"/>
      <c r="K2472" s="58"/>
      <c r="L2472" s="58"/>
      <c r="M2472" s="58"/>
      <c r="N2472" s="58"/>
      <c r="O2472" s="58"/>
      <c r="P2472" s="58"/>
      <c r="Q2472" s="58"/>
      <c r="R2472" s="58"/>
    </row>
    <row r="2473" spans="1:20" s="28" customFormat="1" ht="24.75" hidden="1" customHeight="1">
      <c r="A2473" s="37" t="s">
        <v>163</v>
      </c>
      <c r="B2473" s="49">
        <v>793</v>
      </c>
      <c r="C2473" s="15" t="s">
        <v>167</v>
      </c>
      <c r="D2473" s="15" t="s">
        <v>69</v>
      </c>
      <c r="E2473" s="15" t="s">
        <v>228</v>
      </c>
      <c r="F2473" s="39"/>
      <c r="G2473" s="70">
        <f t="shared" ref="G2473:I2473" si="665">G2474</f>
        <v>0</v>
      </c>
      <c r="H2473" s="70">
        <f t="shared" si="665"/>
        <v>0</v>
      </c>
      <c r="I2473" s="70">
        <f t="shared" si="665"/>
        <v>0</v>
      </c>
      <c r="J2473" s="172"/>
      <c r="K2473" s="313"/>
      <c r="L2473" s="313"/>
      <c r="M2473" s="313"/>
      <c r="N2473" s="313"/>
      <c r="O2473" s="313"/>
      <c r="P2473" s="313"/>
      <c r="Q2473" s="313"/>
      <c r="R2473" s="313"/>
    </row>
    <row r="2474" spans="1:20" ht="26.4" hidden="1">
      <c r="A2474" s="37" t="s">
        <v>163</v>
      </c>
      <c r="B2474" s="49">
        <v>793</v>
      </c>
      <c r="C2474" s="15" t="s">
        <v>167</v>
      </c>
      <c r="D2474" s="15" t="s">
        <v>69</v>
      </c>
      <c r="E2474" s="15" t="s">
        <v>270</v>
      </c>
      <c r="F2474" s="15"/>
      <c r="G2474" s="70">
        <f>G2475+G2477</f>
        <v>0</v>
      </c>
      <c r="H2474" s="70">
        <f>H2475+H2477</f>
        <v>0</v>
      </c>
      <c r="I2474" s="70">
        <f>I2475+I2477</f>
        <v>0</v>
      </c>
      <c r="J2474" s="172"/>
      <c r="K2474" s="69"/>
      <c r="L2474" s="69"/>
      <c r="M2474" s="69"/>
      <c r="N2474" s="69"/>
      <c r="O2474" s="69"/>
      <c r="P2474" s="69"/>
      <c r="Q2474" s="69"/>
      <c r="R2474" s="69"/>
    </row>
    <row r="2475" spans="1:20" hidden="1">
      <c r="A2475" s="16"/>
      <c r="B2475" s="49">
        <v>793</v>
      </c>
      <c r="C2475" s="15" t="s">
        <v>167</v>
      </c>
      <c r="D2475" s="15" t="s">
        <v>69</v>
      </c>
      <c r="E2475" s="15" t="s">
        <v>270</v>
      </c>
      <c r="F2475" s="15"/>
      <c r="G2475" s="70"/>
      <c r="H2475" s="70"/>
      <c r="I2475" s="70"/>
      <c r="J2475" s="172"/>
      <c r="K2475" s="69"/>
      <c r="L2475" s="69"/>
      <c r="M2475" s="69"/>
      <c r="N2475" s="69"/>
      <c r="O2475" s="69"/>
      <c r="P2475" s="69"/>
      <c r="Q2475" s="69"/>
      <c r="R2475" s="69"/>
    </row>
    <row r="2476" spans="1:20" ht="30.75" hidden="1" customHeight="1">
      <c r="A2476" s="16"/>
      <c r="B2476" s="49">
        <v>793</v>
      </c>
      <c r="C2476" s="15" t="s">
        <v>167</v>
      </c>
      <c r="D2476" s="15" t="s">
        <v>69</v>
      </c>
      <c r="E2476" s="15" t="s">
        <v>270</v>
      </c>
      <c r="F2476" s="15"/>
      <c r="G2476" s="70"/>
      <c r="H2476" s="70"/>
      <c r="I2476" s="70"/>
      <c r="J2476" s="172"/>
      <c r="K2476" s="69"/>
      <c r="L2476" s="69"/>
      <c r="M2476" s="69"/>
      <c r="N2476" s="69"/>
      <c r="O2476" s="69"/>
      <c r="P2476" s="69"/>
      <c r="Q2476" s="69"/>
      <c r="R2476" s="69"/>
    </row>
    <row r="2477" spans="1:20" ht="18" hidden="1" customHeight="1">
      <c r="A2477" s="16" t="s">
        <v>152</v>
      </c>
      <c r="B2477" s="49">
        <v>793</v>
      </c>
      <c r="C2477" s="15" t="s">
        <v>167</v>
      </c>
      <c r="D2477" s="15" t="s">
        <v>69</v>
      </c>
      <c r="E2477" s="15" t="s">
        <v>270</v>
      </c>
      <c r="F2477" s="15" t="s">
        <v>153</v>
      </c>
      <c r="G2477" s="70">
        <f>G2478</f>
        <v>0</v>
      </c>
      <c r="H2477" s="70">
        <f>H2478</f>
        <v>0</v>
      </c>
      <c r="I2477" s="70">
        <f>I2478</f>
        <v>0</v>
      </c>
      <c r="J2477" s="172"/>
      <c r="K2477" s="69"/>
      <c r="L2477" s="69"/>
      <c r="M2477" s="69"/>
      <c r="N2477" s="69"/>
      <c r="O2477" s="69"/>
      <c r="P2477" s="69"/>
      <c r="Q2477" s="69"/>
      <c r="R2477" s="69"/>
    </row>
    <row r="2478" spans="1:20" ht="18" hidden="1" customHeight="1">
      <c r="A2478" s="16" t="s">
        <v>172</v>
      </c>
      <c r="B2478" s="49">
        <v>793</v>
      </c>
      <c r="C2478" s="15" t="s">
        <v>167</v>
      </c>
      <c r="D2478" s="15" t="s">
        <v>69</v>
      </c>
      <c r="E2478" s="15" t="s">
        <v>270</v>
      </c>
      <c r="F2478" s="15" t="s">
        <v>173</v>
      </c>
      <c r="G2478" s="70"/>
      <c r="H2478" s="70"/>
      <c r="I2478" s="70"/>
      <c r="J2478" s="172"/>
      <c r="K2478" s="69"/>
      <c r="L2478" s="69"/>
      <c r="M2478" s="69"/>
      <c r="N2478" s="69"/>
      <c r="O2478" s="69"/>
      <c r="P2478" s="69"/>
      <c r="Q2478" s="69"/>
      <c r="R2478" s="69"/>
    </row>
    <row r="2479" spans="1:20" ht="52.8" hidden="1">
      <c r="A2479" s="16" t="s">
        <v>467</v>
      </c>
      <c r="B2479" s="49">
        <v>793</v>
      </c>
      <c r="C2479" s="15" t="s">
        <v>167</v>
      </c>
      <c r="D2479" s="15" t="s">
        <v>69</v>
      </c>
      <c r="E2479" s="15" t="s">
        <v>289</v>
      </c>
      <c r="F2479" s="15"/>
      <c r="G2479" s="70"/>
      <c r="H2479" s="70">
        <f t="shared" ref="H2479:I2479" si="666">H2480+H2483+H2488+H2491</f>
        <v>12010300</v>
      </c>
      <c r="I2479" s="70">
        <f t="shared" si="666"/>
        <v>12010300</v>
      </c>
      <c r="J2479" s="172"/>
      <c r="K2479" s="69"/>
      <c r="L2479" s="69"/>
      <c r="M2479" s="69"/>
      <c r="N2479" s="69"/>
      <c r="O2479" s="69"/>
      <c r="P2479" s="69"/>
      <c r="Q2479" s="69"/>
      <c r="R2479" s="69"/>
    </row>
    <row r="2480" spans="1:20" s="46" customFormat="1" ht="17.25" hidden="1" customHeight="1">
      <c r="A2480" s="16" t="s">
        <v>368</v>
      </c>
      <c r="B2480" s="49">
        <v>793</v>
      </c>
      <c r="C2480" s="15" t="s">
        <v>167</v>
      </c>
      <c r="D2480" s="15" t="s">
        <v>69</v>
      </c>
      <c r="E2480" s="15" t="s">
        <v>367</v>
      </c>
      <c r="F2480" s="15"/>
      <c r="G2480" s="70">
        <f t="shared" ref="G2480:I2481" si="667">G2481</f>
        <v>0</v>
      </c>
      <c r="H2480" s="70">
        <f t="shared" si="667"/>
        <v>10640300</v>
      </c>
      <c r="I2480" s="70">
        <f t="shared" si="667"/>
        <v>10640300</v>
      </c>
      <c r="J2480" s="172"/>
      <c r="K2480" s="58"/>
      <c r="L2480" s="58"/>
      <c r="M2480" s="58"/>
      <c r="N2480" s="58"/>
      <c r="O2480" s="58"/>
      <c r="P2480" s="58"/>
      <c r="Q2480" s="58"/>
      <c r="R2480" s="58"/>
    </row>
    <row r="2481" spans="1:18" s="46" customFormat="1" ht="17.25" hidden="1" customHeight="1">
      <c r="A2481" s="16" t="s">
        <v>316</v>
      </c>
      <c r="B2481" s="49">
        <v>793</v>
      </c>
      <c r="C2481" s="15" t="s">
        <v>167</v>
      </c>
      <c r="D2481" s="15" t="s">
        <v>69</v>
      </c>
      <c r="E2481" s="15" t="s">
        <v>367</v>
      </c>
      <c r="F2481" s="15" t="s">
        <v>36</v>
      </c>
      <c r="G2481" s="70"/>
      <c r="H2481" s="70">
        <f t="shared" si="667"/>
        <v>10640300</v>
      </c>
      <c r="I2481" s="70">
        <f t="shared" si="667"/>
        <v>10640300</v>
      </c>
      <c r="J2481" s="172"/>
      <c r="K2481" s="58"/>
      <c r="L2481" s="58"/>
      <c r="M2481" s="58"/>
      <c r="N2481" s="58"/>
      <c r="O2481" s="58"/>
      <c r="P2481" s="58"/>
      <c r="Q2481" s="58"/>
      <c r="R2481" s="58"/>
    </row>
    <row r="2482" spans="1:18" s="46" customFormat="1" ht="32.25" customHeight="1">
      <c r="A2482" s="16" t="s">
        <v>37</v>
      </c>
      <c r="B2482" s="49">
        <v>793</v>
      </c>
      <c r="C2482" s="15" t="s">
        <v>167</v>
      </c>
      <c r="D2482" s="15" t="s">
        <v>69</v>
      </c>
      <c r="E2482" s="15" t="s">
        <v>1111</v>
      </c>
      <c r="F2482" s="15" t="s">
        <v>38</v>
      </c>
      <c r="G2482" s="70">
        <f>10640300-220891.45+150000-500</f>
        <v>10568908.550000001</v>
      </c>
      <c r="H2482" s="70">
        <v>10640300</v>
      </c>
      <c r="I2482" s="70">
        <v>10640300</v>
      </c>
      <c r="J2482" s="172"/>
      <c r="K2482" s="58"/>
      <c r="L2482" s="58"/>
      <c r="M2482" s="58"/>
      <c r="N2482" s="58"/>
      <c r="O2482" s="58"/>
      <c r="P2482" s="58"/>
      <c r="Q2482" s="58"/>
      <c r="R2482" s="58"/>
    </row>
    <row r="2483" spans="1:18">
      <c r="A2483" s="16" t="s">
        <v>78</v>
      </c>
      <c r="B2483" s="49">
        <v>793</v>
      </c>
      <c r="C2483" s="15" t="s">
        <v>167</v>
      </c>
      <c r="D2483" s="15" t="s">
        <v>69</v>
      </c>
      <c r="E2483" s="15" t="s">
        <v>1156</v>
      </c>
      <c r="F2483" s="15"/>
      <c r="G2483" s="70">
        <f>G2484+G2486</f>
        <v>1200000</v>
      </c>
      <c r="H2483" s="70">
        <f>H2484+H2486</f>
        <v>1200000</v>
      </c>
      <c r="I2483" s="70">
        <f>I2484+I2486</f>
        <v>1200000</v>
      </c>
      <c r="J2483" s="172"/>
      <c r="K2483" s="69"/>
      <c r="L2483" s="69"/>
      <c r="M2483" s="69"/>
      <c r="N2483" s="69"/>
      <c r="O2483" s="69"/>
      <c r="P2483" s="69"/>
      <c r="Q2483" s="69"/>
      <c r="R2483" s="69"/>
    </row>
    <row r="2484" spans="1:18" ht="26.4">
      <c r="A2484" s="16" t="s">
        <v>35</v>
      </c>
      <c r="B2484" s="49">
        <v>793</v>
      </c>
      <c r="C2484" s="15" t="s">
        <v>167</v>
      </c>
      <c r="D2484" s="15" t="s">
        <v>69</v>
      </c>
      <c r="E2484" s="15" t="s">
        <v>1156</v>
      </c>
      <c r="F2484" s="15" t="s">
        <v>36</v>
      </c>
      <c r="G2484" s="70">
        <f>G2485</f>
        <v>1200000</v>
      </c>
      <c r="H2484" s="70">
        <f>H2485</f>
        <v>1200000</v>
      </c>
      <c r="I2484" s="70">
        <f>I2485</f>
        <v>1200000</v>
      </c>
      <c r="J2484" s="172"/>
      <c r="K2484" s="69"/>
      <c r="L2484" s="69"/>
      <c r="M2484" s="69"/>
      <c r="N2484" s="69"/>
      <c r="O2484" s="69"/>
      <c r="P2484" s="69"/>
      <c r="Q2484" s="69"/>
      <c r="R2484" s="69"/>
    </row>
    <row r="2485" spans="1:18" ht="30.75" customHeight="1">
      <c r="A2485" s="16" t="s">
        <v>37</v>
      </c>
      <c r="B2485" s="49">
        <v>793</v>
      </c>
      <c r="C2485" s="15" t="s">
        <v>167</v>
      </c>
      <c r="D2485" s="15" t="s">
        <v>69</v>
      </c>
      <c r="E2485" s="15" t="s">
        <v>1156</v>
      </c>
      <c r="F2485" s="15" t="s">
        <v>38</v>
      </c>
      <c r="G2485" s="70">
        <v>1200000</v>
      </c>
      <c r="H2485" s="70">
        <v>1200000</v>
      </c>
      <c r="I2485" s="70">
        <v>1200000</v>
      </c>
      <c r="J2485" s="172"/>
      <c r="K2485" s="69"/>
      <c r="L2485" s="69"/>
      <c r="M2485" s="69"/>
      <c r="N2485" s="69"/>
      <c r="O2485" s="69"/>
      <c r="P2485" s="69"/>
      <c r="Q2485" s="69"/>
      <c r="R2485" s="69"/>
    </row>
    <row r="2486" spans="1:18" ht="18" hidden="1" customHeight="1">
      <c r="A2486" s="16" t="s">
        <v>152</v>
      </c>
      <c r="B2486" s="49">
        <v>793</v>
      </c>
      <c r="C2486" s="15" t="s">
        <v>167</v>
      </c>
      <c r="D2486" s="15" t="s">
        <v>69</v>
      </c>
      <c r="E2486" s="15" t="s">
        <v>97</v>
      </c>
      <c r="F2486" s="15" t="s">
        <v>153</v>
      </c>
      <c r="G2486" s="70">
        <f>G2487</f>
        <v>0</v>
      </c>
      <c r="H2486" s="70">
        <f>H2487</f>
        <v>0</v>
      </c>
      <c r="I2486" s="70">
        <f>I2487</f>
        <v>0</v>
      </c>
      <c r="J2486" s="172"/>
      <c r="K2486" s="69"/>
      <c r="L2486" s="69"/>
      <c r="M2486" s="69"/>
      <c r="N2486" s="69"/>
      <c r="O2486" s="69"/>
      <c r="P2486" s="69"/>
      <c r="Q2486" s="69"/>
      <c r="R2486" s="69"/>
    </row>
    <row r="2487" spans="1:18" ht="18" hidden="1" customHeight="1">
      <c r="A2487" s="16" t="s">
        <v>172</v>
      </c>
      <c r="B2487" s="49">
        <v>793</v>
      </c>
      <c r="C2487" s="15" t="s">
        <v>167</v>
      </c>
      <c r="D2487" s="15" t="s">
        <v>69</v>
      </c>
      <c r="E2487" s="15" t="s">
        <v>97</v>
      </c>
      <c r="F2487" s="15" t="s">
        <v>173</v>
      </c>
      <c r="G2487" s="70"/>
      <c r="H2487" s="70"/>
      <c r="I2487" s="70"/>
      <c r="J2487" s="172"/>
      <c r="K2487" s="69"/>
      <c r="L2487" s="69"/>
      <c r="M2487" s="69"/>
      <c r="N2487" s="69"/>
      <c r="O2487" s="69"/>
      <c r="P2487" s="69"/>
      <c r="Q2487" s="69"/>
      <c r="R2487" s="69"/>
    </row>
    <row r="2488" spans="1:18" ht="26.25" customHeight="1">
      <c r="A2488" s="16" t="s">
        <v>76</v>
      </c>
      <c r="B2488" s="49">
        <v>793</v>
      </c>
      <c r="C2488" s="15" t="s">
        <v>167</v>
      </c>
      <c r="D2488" s="15" t="s">
        <v>69</v>
      </c>
      <c r="E2488" s="15" t="s">
        <v>1157</v>
      </c>
      <c r="F2488" s="15"/>
      <c r="G2488" s="70">
        <f t="shared" ref="G2488:I2489" si="668">G2489</f>
        <v>33500</v>
      </c>
      <c r="H2488" s="70">
        <f t="shared" si="668"/>
        <v>70000</v>
      </c>
      <c r="I2488" s="70">
        <f t="shared" si="668"/>
        <v>70000</v>
      </c>
      <c r="J2488" s="172"/>
      <c r="K2488" s="69"/>
      <c r="L2488" s="69"/>
      <c r="M2488" s="69"/>
      <c r="N2488" s="69"/>
      <c r="O2488" s="69"/>
      <c r="P2488" s="69"/>
      <c r="Q2488" s="69"/>
      <c r="R2488" s="69"/>
    </row>
    <row r="2489" spans="1:18" ht="26.25" customHeight="1">
      <c r="A2489" s="16" t="s">
        <v>35</v>
      </c>
      <c r="B2489" s="49">
        <v>793</v>
      </c>
      <c r="C2489" s="15" t="s">
        <v>167</v>
      </c>
      <c r="D2489" s="15" t="s">
        <v>69</v>
      </c>
      <c r="E2489" s="15" t="s">
        <v>1157</v>
      </c>
      <c r="F2489" s="15" t="s">
        <v>36</v>
      </c>
      <c r="G2489" s="70">
        <f t="shared" si="668"/>
        <v>33500</v>
      </c>
      <c r="H2489" s="70">
        <f t="shared" si="668"/>
        <v>70000</v>
      </c>
      <c r="I2489" s="70">
        <f t="shared" si="668"/>
        <v>70000</v>
      </c>
      <c r="J2489" s="172"/>
      <c r="K2489" s="69"/>
      <c r="L2489" s="69"/>
      <c r="M2489" s="69"/>
      <c r="N2489" s="69"/>
      <c r="O2489" s="69"/>
      <c r="P2489" s="69"/>
      <c r="Q2489" s="69"/>
      <c r="R2489" s="69"/>
    </row>
    <row r="2490" spans="1:18" ht="26.4">
      <c r="A2490" s="16" t="s">
        <v>37</v>
      </c>
      <c r="B2490" s="49">
        <v>793</v>
      </c>
      <c r="C2490" s="15" t="s">
        <v>167</v>
      </c>
      <c r="D2490" s="15" t="s">
        <v>69</v>
      </c>
      <c r="E2490" s="15" t="s">
        <v>1157</v>
      </c>
      <c r="F2490" s="15" t="s">
        <v>38</v>
      </c>
      <c r="G2490" s="70">
        <f>70000-36500</f>
        <v>33500</v>
      </c>
      <c r="H2490" s="70">
        <v>70000</v>
      </c>
      <c r="I2490" s="70">
        <v>70000</v>
      </c>
      <c r="J2490" s="172"/>
      <c r="K2490" s="69"/>
      <c r="L2490" s="69"/>
      <c r="M2490" s="69"/>
      <c r="N2490" s="69"/>
      <c r="O2490" s="69"/>
      <c r="P2490" s="69"/>
      <c r="Q2490" s="69"/>
      <c r="R2490" s="69"/>
    </row>
    <row r="2491" spans="1:18" ht="30.75" customHeight="1">
      <c r="A2491" s="16" t="s">
        <v>669</v>
      </c>
      <c r="B2491" s="49">
        <v>793</v>
      </c>
      <c r="C2491" s="15" t="s">
        <v>167</v>
      </c>
      <c r="D2491" s="15" t="s">
        <v>69</v>
      </c>
      <c r="E2491" s="15" t="s">
        <v>1158</v>
      </c>
      <c r="F2491" s="15"/>
      <c r="G2491" s="70">
        <f t="shared" ref="G2491:I2495" si="669">G2492</f>
        <v>0</v>
      </c>
      <c r="H2491" s="70">
        <f t="shared" si="669"/>
        <v>100000</v>
      </c>
      <c r="I2491" s="70">
        <f t="shared" si="669"/>
        <v>100000</v>
      </c>
      <c r="J2491" s="172"/>
      <c r="K2491" s="69"/>
      <c r="L2491" s="69"/>
      <c r="M2491" s="69"/>
      <c r="N2491" s="69"/>
      <c r="O2491" s="69"/>
      <c r="P2491" s="69"/>
      <c r="Q2491" s="69"/>
      <c r="R2491" s="69"/>
    </row>
    <row r="2492" spans="1:18" ht="30.75" customHeight="1">
      <c r="A2492" s="16" t="s">
        <v>35</v>
      </c>
      <c r="B2492" s="49">
        <v>793</v>
      </c>
      <c r="C2492" s="15" t="s">
        <v>167</v>
      </c>
      <c r="D2492" s="15" t="s">
        <v>69</v>
      </c>
      <c r="E2492" s="15" t="s">
        <v>1158</v>
      </c>
      <c r="F2492" s="15" t="s">
        <v>36</v>
      </c>
      <c r="G2492" s="70">
        <f t="shared" si="669"/>
        <v>0</v>
      </c>
      <c r="H2492" s="70">
        <f t="shared" si="669"/>
        <v>100000</v>
      </c>
      <c r="I2492" s="70">
        <f t="shared" si="669"/>
        <v>100000</v>
      </c>
      <c r="J2492" s="172"/>
      <c r="K2492" s="69"/>
      <c r="L2492" s="69"/>
      <c r="M2492" s="69"/>
      <c r="N2492" s="69"/>
      <c r="O2492" s="69"/>
      <c r="P2492" s="69"/>
      <c r="Q2492" s="69"/>
      <c r="R2492" s="69"/>
    </row>
    <row r="2493" spans="1:18" ht="30.75" customHeight="1">
      <c r="A2493" s="16" t="s">
        <v>37</v>
      </c>
      <c r="B2493" s="49">
        <v>793</v>
      </c>
      <c r="C2493" s="15" t="s">
        <v>167</v>
      </c>
      <c r="D2493" s="15" t="s">
        <v>69</v>
      </c>
      <c r="E2493" s="15" t="s">
        <v>1158</v>
      </c>
      <c r="F2493" s="15" t="s">
        <v>38</v>
      </c>
      <c r="G2493" s="70">
        <f>200000-200000</f>
        <v>0</v>
      </c>
      <c r="H2493" s="70">
        <f>200000-100000</f>
        <v>100000</v>
      </c>
      <c r="I2493" s="70">
        <f>200000-100000</f>
        <v>100000</v>
      </c>
      <c r="J2493" s="172"/>
      <c r="K2493" s="69"/>
      <c r="L2493" s="69"/>
      <c r="M2493" s="69"/>
      <c r="N2493" s="69"/>
      <c r="O2493" s="69"/>
      <c r="P2493" s="69"/>
      <c r="Q2493" s="69"/>
      <c r="R2493" s="69"/>
    </row>
    <row r="2494" spans="1:18" ht="54.75" customHeight="1">
      <c r="A2494" s="16" t="s">
        <v>1438</v>
      </c>
      <c r="B2494" s="49">
        <v>793</v>
      </c>
      <c r="C2494" s="15" t="s">
        <v>167</v>
      </c>
      <c r="D2494" s="15" t="s">
        <v>69</v>
      </c>
      <c r="E2494" s="15" t="s">
        <v>1397</v>
      </c>
      <c r="F2494" s="15"/>
      <c r="G2494" s="70">
        <f t="shared" si="669"/>
        <v>390000</v>
      </c>
      <c r="H2494" s="70">
        <f t="shared" si="669"/>
        <v>0</v>
      </c>
      <c r="I2494" s="70">
        <f t="shared" si="669"/>
        <v>0</v>
      </c>
      <c r="J2494" s="172"/>
      <c r="K2494" s="69"/>
      <c r="L2494" s="69"/>
      <c r="M2494" s="69"/>
      <c r="N2494" s="69"/>
      <c r="O2494" s="69"/>
      <c r="P2494" s="69"/>
      <c r="Q2494" s="69"/>
      <c r="R2494" s="69"/>
    </row>
    <row r="2495" spans="1:18" ht="29.25" customHeight="1">
      <c r="A2495" s="16" t="s">
        <v>316</v>
      </c>
      <c r="B2495" s="49">
        <v>793</v>
      </c>
      <c r="C2495" s="15" t="s">
        <v>167</v>
      </c>
      <c r="D2495" s="15" t="s">
        <v>69</v>
      </c>
      <c r="E2495" s="15" t="s">
        <v>1397</v>
      </c>
      <c r="F2495" s="15" t="s">
        <v>36</v>
      </c>
      <c r="G2495" s="70">
        <f t="shared" si="669"/>
        <v>390000</v>
      </c>
      <c r="H2495" s="70">
        <f t="shared" si="669"/>
        <v>0</v>
      </c>
      <c r="I2495" s="70">
        <f t="shared" si="669"/>
        <v>0</v>
      </c>
      <c r="J2495" s="172"/>
      <c r="K2495" s="69"/>
      <c r="L2495" s="69"/>
      <c r="M2495" s="69"/>
      <c r="N2495" s="69"/>
      <c r="O2495" s="69"/>
      <c r="P2495" s="69"/>
      <c r="Q2495" s="69"/>
      <c r="R2495" s="69"/>
    </row>
    <row r="2496" spans="1:18" ht="30.75" customHeight="1">
      <c r="A2496" s="16" t="s">
        <v>37</v>
      </c>
      <c r="B2496" s="49">
        <v>793</v>
      </c>
      <c r="C2496" s="15" t="s">
        <v>167</v>
      </c>
      <c r="D2496" s="15" t="s">
        <v>69</v>
      </c>
      <c r="E2496" s="15" t="s">
        <v>1397</v>
      </c>
      <c r="F2496" s="15" t="s">
        <v>38</v>
      </c>
      <c r="G2496" s="70">
        <v>390000</v>
      </c>
      <c r="H2496" s="70">
        <v>0</v>
      </c>
      <c r="I2496" s="70">
        <v>0</v>
      </c>
      <c r="J2496" s="172"/>
      <c r="K2496" s="69"/>
      <c r="L2496" s="69"/>
      <c r="M2496" s="69"/>
      <c r="N2496" s="69"/>
      <c r="O2496" s="69"/>
      <c r="P2496" s="69"/>
      <c r="Q2496" s="69"/>
      <c r="R2496" s="69"/>
    </row>
    <row r="2497" spans="1:20" ht="70.5" hidden="1" customHeight="1">
      <c r="A2497" s="295"/>
      <c r="B2497" s="321"/>
      <c r="C2497" s="298"/>
      <c r="D2497" s="298"/>
      <c r="E2497" s="298"/>
      <c r="F2497" s="298"/>
      <c r="G2497" s="160"/>
      <c r="H2497" s="160"/>
      <c r="I2497" s="160"/>
      <c r="J2497" s="172"/>
      <c r="K2497" s="69"/>
      <c r="L2497" s="69"/>
      <c r="M2497" s="69"/>
      <c r="N2497" s="69"/>
      <c r="O2497" s="69"/>
      <c r="P2497" s="69"/>
      <c r="Q2497" s="69"/>
      <c r="R2497" s="69"/>
    </row>
    <row r="2498" spans="1:20" ht="30.75" hidden="1" customHeight="1">
      <c r="A2498" s="295"/>
      <c r="B2498" s="321"/>
      <c r="C2498" s="298"/>
      <c r="D2498" s="298"/>
      <c r="E2498" s="298"/>
      <c r="F2498" s="298"/>
      <c r="G2498" s="160"/>
      <c r="H2498" s="160"/>
      <c r="I2498" s="160"/>
      <c r="J2498" s="172"/>
      <c r="K2498" s="69"/>
      <c r="L2498" s="69"/>
      <c r="M2498" s="69"/>
      <c r="N2498" s="69"/>
      <c r="O2498" s="69"/>
      <c r="P2498" s="69"/>
      <c r="Q2498" s="69"/>
      <c r="R2498" s="69"/>
    </row>
    <row r="2499" spans="1:20" ht="30.75" hidden="1" customHeight="1">
      <c r="A2499" s="295"/>
      <c r="B2499" s="321"/>
      <c r="C2499" s="298"/>
      <c r="D2499" s="298"/>
      <c r="E2499" s="298"/>
      <c r="F2499" s="298"/>
      <c r="G2499" s="160"/>
      <c r="H2499" s="160"/>
      <c r="I2499" s="160"/>
      <c r="J2499" s="172"/>
      <c r="K2499" s="69"/>
      <c r="L2499" s="69"/>
      <c r="M2499" s="69"/>
      <c r="N2499" s="69"/>
      <c r="O2499" s="69"/>
      <c r="P2499" s="69"/>
      <c r="Q2499" s="69"/>
      <c r="R2499" s="69"/>
    </row>
    <row r="2500" spans="1:20" ht="39" customHeight="1">
      <c r="A2500" s="16" t="s">
        <v>1271</v>
      </c>
      <c r="B2500" s="14">
        <v>793</v>
      </c>
      <c r="C2500" s="15" t="s">
        <v>167</v>
      </c>
      <c r="D2500" s="15" t="s">
        <v>69</v>
      </c>
      <c r="E2500" s="15" t="s">
        <v>1274</v>
      </c>
      <c r="F2500" s="15"/>
      <c r="G2500" s="70">
        <f>G2501+G2503</f>
        <v>699693.20000000007</v>
      </c>
      <c r="H2500" s="70">
        <f t="shared" ref="H2500:I2500" si="670">H2501+H2503</f>
        <v>0</v>
      </c>
      <c r="I2500" s="70">
        <f t="shared" si="670"/>
        <v>0</v>
      </c>
      <c r="J2500" s="2"/>
      <c r="K2500" s="1"/>
      <c r="L2500" s="1"/>
      <c r="M2500" s="1"/>
      <c r="N2500" s="1"/>
      <c r="O2500" s="1"/>
      <c r="P2500" s="2"/>
      <c r="Q2500" s="2"/>
      <c r="R2500" s="2"/>
      <c r="S2500" s="2"/>
      <c r="T2500" s="2"/>
    </row>
    <row r="2501" spans="1:20" ht="29.25" hidden="1" customHeight="1">
      <c r="A2501" s="16" t="s">
        <v>316</v>
      </c>
      <c r="B2501" s="15" t="s">
        <v>92</v>
      </c>
      <c r="C2501" s="15" t="s">
        <v>167</v>
      </c>
      <c r="D2501" s="15" t="s">
        <v>69</v>
      </c>
      <c r="E2501" s="15" t="s">
        <v>205</v>
      </c>
      <c r="F2501" s="15" t="s">
        <v>36</v>
      </c>
      <c r="G2501" s="70">
        <f>G2502</f>
        <v>0</v>
      </c>
      <c r="H2501" s="70"/>
      <c r="I2501" s="70"/>
      <c r="J2501" s="2"/>
      <c r="K2501" s="1"/>
      <c r="L2501" s="1"/>
      <c r="M2501" s="1"/>
      <c r="N2501" s="1"/>
      <c r="O2501" s="1"/>
      <c r="P2501" s="2"/>
      <c r="Q2501" s="2"/>
      <c r="R2501" s="2"/>
      <c r="S2501" s="2"/>
      <c r="T2501" s="2"/>
    </row>
    <row r="2502" spans="1:20" ht="36.75" hidden="1" customHeight="1">
      <c r="A2502" s="16" t="s">
        <v>37</v>
      </c>
      <c r="B2502" s="15" t="s">
        <v>92</v>
      </c>
      <c r="C2502" s="15" t="s">
        <v>167</v>
      </c>
      <c r="D2502" s="15" t="s">
        <v>69</v>
      </c>
      <c r="E2502" s="15" t="s">
        <v>205</v>
      </c>
      <c r="F2502" s="15" t="s">
        <v>38</v>
      </c>
      <c r="G2502" s="70">
        <f>прил4!G3518</f>
        <v>0</v>
      </c>
      <c r="H2502" s="70"/>
      <c r="I2502" s="70"/>
      <c r="J2502" s="2"/>
      <c r="K2502" s="1"/>
      <c r="L2502" s="1"/>
      <c r="M2502" s="1"/>
      <c r="N2502" s="1"/>
      <c r="O2502" s="1"/>
      <c r="P2502" s="2"/>
      <c r="Q2502" s="2"/>
      <c r="R2502" s="2"/>
      <c r="S2502" s="2"/>
      <c r="T2502" s="2"/>
    </row>
    <row r="2503" spans="1:20">
      <c r="A2503" s="16" t="s">
        <v>316</v>
      </c>
      <c r="B2503" s="14">
        <v>793</v>
      </c>
      <c r="C2503" s="15" t="s">
        <v>167</v>
      </c>
      <c r="D2503" s="15" t="s">
        <v>69</v>
      </c>
      <c r="E2503" s="15" t="s">
        <v>1274</v>
      </c>
      <c r="F2503" s="15" t="s">
        <v>36</v>
      </c>
      <c r="G2503" s="70">
        <f t="shared" ref="G2503:I2503" si="671">G2504</f>
        <v>699693.20000000007</v>
      </c>
      <c r="H2503" s="70">
        <f t="shared" si="671"/>
        <v>0</v>
      </c>
      <c r="I2503" s="70">
        <f t="shared" si="671"/>
        <v>0</v>
      </c>
      <c r="J2503" s="2"/>
      <c r="K2503" s="1"/>
      <c r="L2503" s="1"/>
      <c r="M2503" s="1"/>
      <c r="N2503" s="1"/>
      <c r="O2503" s="1"/>
      <c r="P2503" s="2"/>
      <c r="Q2503" s="2"/>
      <c r="R2503" s="2"/>
      <c r="S2503" s="2"/>
      <c r="T2503" s="2"/>
    </row>
    <row r="2504" spans="1:20" ht="27.75" customHeight="1">
      <c r="A2504" s="16" t="s">
        <v>37</v>
      </c>
      <c r="B2504" s="14">
        <v>793</v>
      </c>
      <c r="C2504" s="15" t="s">
        <v>167</v>
      </c>
      <c r="D2504" s="15" t="s">
        <v>69</v>
      </c>
      <c r="E2504" s="15" t="s">
        <v>1274</v>
      </c>
      <c r="F2504" s="15" t="s">
        <v>38</v>
      </c>
      <c r="G2504" s="70">
        <f>725148.67-141.64-25313.83</f>
        <v>699693.20000000007</v>
      </c>
      <c r="H2504" s="70">
        <f>прил4!H1692</f>
        <v>0</v>
      </c>
      <c r="I2504" s="70">
        <f>прил4!I1692</f>
        <v>0</v>
      </c>
      <c r="J2504" s="2"/>
      <c r="K2504" s="1"/>
      <c r="L2504" s="1"/>
      <c r="M2504" s="1"/>
      <c r="N2504" s="1"/>
      <c r="O2504" s="1"/>
      <c r="P2504" s="2"/>
      <c r="Q2504" s="2"/>
      <c r="R2504" s="2"/>
      <c r="S2504" s="2"/>
      <c r="T2504" s="2"/>
    </row>
    <row r="2505" spans="1:20" s="22" customFormat="1" ht="26.4">
      <c r="A2505" s="16" t="s">
        <v>560</v>
      </c>
      <c r="B2505" s="49">
        <v>793</v>
      </c>
      <c r="C2505" s="15" t="s">
        <v>167</v>
      </c>
      <c r="D2505" s="15" t="s">
        <v>167</v>
      </c>
      <c r="E2505" s="15"/>
      <c r="F2505" s="15"/>
      <c r="G2505" s="70">
        <f>G2506+G2575</f>
        <v>4666630.68</v>
      </c>
      <c r="H2505" s="70">
        <f t="shared" ref="H2505:I2505" si="672">H2506</f>
        <v>101000</v>
      </c>
      <c r="I2505" s="70">
        <f t="shared" si="672"/>
        <v>101000</v>
      </c>
      <c r="J2505" s="323"/>
      <c r="K2505" s="61"/>
      <c r="L2505" s="61"/>
      <c r="M2505" s="61"/>
      <c r="N2505" s="61"/>
      <c r="O2505" s="61"/>
      <c r="P2505" s="61"/>
      <c r="Q2505" s="61"/>
      <c r="R2505" s="61"/>
    </row>
    <row r="2506" spans="1:20" ht="54" customHeight="1">
      <c r="A2506" s="16" t="s">
        <v>1144</v>
      </c>
      <c r="B2506" s="49">
        <v>793</v>
      </c>
      <c r="C2506" s="15" t="s">
        <v>167</v>
      </c>
      <c r="D2506" s="15" t="s">
        <v>167</v>
      </c>
      <c r="E2506" s="15" t="s">
        <v>289</v>
      </c>
      <c r="F2506" s="15"/>
      <c r="G2506" s="70">
        <f>G2533+G2507+G2530+G2527+G2536+G2572+G2569</f>
        <v>1345000</v>
      </c>
      <c r="H2506" s="70">
        <f t="shared" ref="H2506:I2506" si="673">H2533+H2507+H2530+H2527+H2536</f>
        <v>101000</v>
      </c>
      <c r="I2506" s="70">
        <f t="shared" si="673"/>
        <v>101000</v>
      </c>
      <c r="J2506" s="172"/>
      <c r="K2506" s="69"/>
      <c r="L2506" s="69"/>
      <c r="M2506" s="69"/>
      <c r="N2506" s="69"/>
      <c r="O2506" s="69"/>
      <c r="P2506" s="69"/>
      <c r="Q2506" s="69"/>
      <c r="R2506" s="69"/>
    </row>
    <row r="2507" spans="1:20" ht="67.5" hidden="1" customHeight="1">
      <c r="A2507" s="37" t="s">
        <v>680</v>
      </c>
      <c r="B2507" s="49">
        <v>793</v>
      </c>
      <c r="C2507" s="15" t="s">
        <v>167</v>
      </c>
      <c r="D2507" s="15" t="s">
        <v>167</v>
      </c>
      <c r="E2507" s="15" t="s">
        <v>687</v>
      </c>
      <c r="F2507" s="15"/>
      <c r="G2507" s="70">
        <f>G2508</f>
        <v>0</v>
      </c>
      <c r="H2507" s="8">
        <v>0</v>
      </c>
      <c r="I2507" s="8">
        <v>0</v>
      </c>
      <c r="J2507" s="332"/>
      <c r="K2507" s="69"/>
      <c r="L2507" s="69"/>
      <c r="M2507" s="69"/>
      <c r="N2507" s="69"/>
      <c r="O2507" s="69"/>
      <c r="P2507" s="69"/>
      <c r="Q2507" s="69"/>
      <c r="R2507" s="69"/>
    </row>
    <row r="2508" spans="1:20" ht="21" hidden="1" customHeight="1">
      <c r="A2508" s="16" t="s">
        <v>152</v>
      </c>
      <c r="B2508" s="49">
        <v>793</v>
      </c>
      <c r="C2508" s="15" t="s">
        <v>167</v>
      </c>
      <c r="D2508" s="15" t="s">
        <v>167</v>
      </c>
      <c r="E2508" s="15" t="s">
        <v>687</v>
      </c>
      <c r="F2508" s="15" t="s">
        <v>153</v>
      </c>
      <c r="G2508" s="70">
        <f>G2509</f>
        <v>0</v>
      </c>
      <c r="H2508" s="8">
        <v>0</v>
      </c>
      <c r="I2508" s="8">
        <v>0</v>
      </c>
      <c r="J2508" s="332"/>
      <c r="K2508" s="69"/>
      <c r="L2508" s="69"/>
      <c r="M2508" s="69"/>
      <c r="N2508" s="69"/>
      <c r="O2508" s="69"/>
      <c r="P2508" s="69"/>
      <c r="Q2508" s="69"/>
      <c r="R2508" s="69"/>
    </row>
    <row r="2509" spans="1:20" ht="20.25" hidden="1" customHeight="1">
      <c r="A2509" s="16" t="s">
        <v>172</v>
      </c>
      <c r="B2509" s="49">
        <v>793</v>
      </c>
      <c r="C2509" s="15" t="s">
        <v>167</v>
      </c>
      <c r="D2509" s="15" t="s">
        <v>167</v>
      </c>
      <c r="E2509" s="15" t="s">
        <v>687</v>
      </c>
      <c r="F2509" s="15" t="s">
        <v>173</v>
      </c>
      <c r="G2509" s="70"/>
      <c r="H2509" s="8"/>
      <c r="I2509" s="8"/>
      <c r="J2509" s="332"/>
      <c r="K2509" s="69"/>
      <c r="L2509" s="69"/>
      <c r="M2509" s="69"/>
      <c r="N2509" s="69"/>
      <c r="O2509" s="69"/>
      <c r="P2509" s="69"/>
      <c r="Q2509" s="69"/>
      <c r="R2509" s="69"/>
    </row>
    <row r="2510" spans="1:20" ht="25.5" hidden="1" customHeight="1">
      <c r="A2510" s="37" t="s">
        <v>599</v>
      </c>
      <c r="B2510" s="49">
        <v>793</v>
      </c>
      <c r="C2510" s="15" t="s">
        <v>167</v>
      </c>
      <c r="D2510" s="15" t="s">
        <v>167</v>
      </c>
      <c r="E2510" s="15" t="s">
        <v>596</v>
      </c>
      <c r="F2510" s="15"/>
      <c r="G2510" s="70">
        <f>G2511</f>
        <v>0</v>
      </c>
      <c r="H2510" s="8">
        <v>0</v>
      </c>
      <c r="I2510" s="8">
        <v>0</v>
      </c>
      <c r="J2510" s="332"/>
      <c r="K2510" s="69"/>
      <c r="L2510" s="69"/>
      <c r="M2510" s="69"/>
      <c r="N2510" s="69"/>
      <c r="O2510" s="69"/>
      <c r="P2510" s="69"/>
      <c r="Q2510" s="69"/>
      <c r="R2510" s="69"/>
    </row>
    <row r="2511" spans="1:20" ht="39.75" hidden="1" customHeight="1">
      <c r="A2511" s="37" t="s">
        <v>598</v>
      </c>
      <c r="B2511" s="49">
        <v>793</v>
      </c>
      <c r="C2511" s="15" t="s">
        <v>167</v>
      </c>
      <c r="D2511" s="15" t="s">
        <v>167</v>
      </c>
      <c r="E2511" s="15" t="s">
        <v>597</v>
      </c>
      <c r="F2511" s="15"/>
      <c r="G2511" s="70">
        <f>G2512</f>
        <v>0</v>
      </c>
      <c r="H2511" s="8">
        <v>0</v>
      </c>
      <c r="I2511" s="8">
        <v>0</v>
      </c>
      <c r="J2511" s="332"/>
      <c r="K2511" s="69"/>
      <c r="L2511" s="69"/>
      <c r="M2511" s="69"/>
      <c r="N2511" s="69"/>
      <c r="O2511" s="69"/>
      <c r="P2511" s="69"/>
      <c r="Q2511" s="69"/>
      <c r="R2511" s="69"/>
    </row>
    <row r="2512" spans="1:20" ht="30.75" hidden="1" customHeight="1">
      <c r="A2512" s="16" t="s">
        <v>94</v>
      </c>
      <c r="B2512" s="49">
        <v>793</v>
      </c>
      <c r="C2512" s="15" t="s">
        <v>167</v>
      </c>
      <c r="D2512" s="15" t="s">
        <v>167</v>
      </c>
      <c r="E2512" s="15" t="s">
        <v>597</v>
      </c>
      <c r="F2512" s="15" t="s">
        <v>338</v>
      </c>
      <c r="G2512" s="70">
        <f>G2513</f>
        <v>0</v>
      </c>
      <c r="H2512" s="8">
        <v>0</v>
      </c>
      <c r="I2512" s="8">
        <v>0</v>
      </c>
      <c r="J2512" s="332"/>
      <c r="K2512" s="69"/>
      <c r="L2512" s="69"/>
      <c r="M2512" s="69"/>
      <c r="N2512" s="69"/>
      <c r="O2512" s="69"/>
      <c r="P2512" s="69"/>
      <c r="Q2512" s="69"/>
      <c r="R2512" s="69"/>
    </row>
    <row r="2513" spans="1:18" ht="30.75" hidden="1" customHeight="1">
      <c r="A2513" s="16" t="s">
        <v>339</v>
      </c>
      <c r="B2513" s="49">
        <v>793</v>
      </c>
      <c r="C2513" s="15" t="s">
        <v>167</v>
      </c>
      <c r="D2513" s="15" t="s">
        <v>167</v>
      </c>
      <c r="E2513" s="15" t="s">
        <v>597</v>
      </c>
      <c r="F2513" s="15" t="s">
        <v>340</v>
      </c>
      <c r="G2513" s="70"/>
      <c r="H2513" s="8">
        <v>0</v>
      </c>
      <c r="I2513" s="8">
        <v>0</v>
      </c>
      <c r="J2513" s="332"/>
      <c r="K2513" s="69"/>
      <c r="L2513" s="69"/>
      <c r="M2513" s="69"/>
      <c r="N2513" s="69"/>
      <c r="O2513" s="69"/>
      <c r="P2513" s="69"/>
      <c r="Q2513" s="69"/>
      <c r="R2513" s="69"/>
    </row>
    <row r="2514" spans="1:18" ht="55.5" hidden="1" customHeight="1">
      <c r="A2514" s="37" t="s">
        <v>704</v>
      </c>
      <c r="B2514" s="49">
        <v>793</v>
      </c>
      <c r="C2514" s="15" t="s">
        <v>167</v>
      </c>
      <c r="D2514" s="15" t="s">
        <v>167</v>
      </c>
      <c r="E2514" s="15" t="s">
        <v>688</v>
      </c>
      <c r="F2514" s="15"/>
      <c r="G2514" s="70">
        <f>G2515+G2517</f>
        <v>0</v>
      </c>
      <c r="H2514" s="70">
        <f t="shared" ref="H2514:I2514" si="674">H2515+H2517</f>
        <v>0</v>
      </c>
      <c r="I2514" s="70">
        <f t="shared" si="674"/>
        <v>0</v>
      </c>
      <c r="J2514" s="172"/>
      <c r="K2514" s="69"/>
      <c r="L2514" s="69"/>
      <c r="M2514" s="69"/>
      <c r="N2514" s="69"/>
      <c r="O2514" s="69"/>
      <c r="P2514" s="69"/>
      <c r="Q2514" s="69"/>
      <c r="R2514" s="69"/>
    </row>
    <row r="2515" spans="1:18" ht="27" hidden="1" customHeight="1">
      <c r="A2515" s="16" t="s">
        <v>94</v>
      </c>
      <c r="B2515" s="49">
        <v>793</v>
      </c>
      <c r="C2515" s="15" t="s">
        <v>167</v>
      </c>
      <c r="D2515" s="15" t="s">
        <v>167</v>
      </c>
      <c r="E2515" s="15" t="s">
        <v>582</v>
      </c>
      <c r="F2515" s="15" t="s">
        <v>338</v>
      </c>
      <c r="G2515" s="70">
        <f>G2516</f>
        <v>0</v>
      </c>
      <c r="H2515" s="8">
        <f>H2516</f>
        <v>0</v>
      </c>
      <c r="I2515" s="8">
        <v>0</v>
      </c>
      <c r="J2515" s="332"/>
      <c r="K2515" s="69"/>
      <c r="L2515" s="69"/>
      <c r="M2515" s="69"/>
      <c r="N2515" s="69"/>
      <c r="O2515" s="69"/>
      <c r="P2515" s="69"/>
      <c r="Q2515" s="69"/>
      <c r="R2515" s="69"/>
    </row>
    <row r="2516" spans="1:18" ht="18.75" hidden="1" customHeight="1">
      <c r="A2516" s="16" t="s">
        <v>339</v>
      </c>
      <c r="B2516" s="49">
        <v>793</v>
      </c>
      <c r="C2516" s="15" t="s">
        <v>167</v>
      </c>
      <c r="D2516" s="15" t="s">
        <v>167</v>
      </c>
      <c r="E2516" s="15" t="s">
        <v>582</v>
      </c>
      <c r="F2516" s="15" t="s">
        <v>340</v>
      </c>
      <c r="G2516" s="70"/>
      <c r="H2516" s="8"/>
      <c r="I2516" s="8">
        <v>0</v>
      </c>
      <c r="J2516" s="332"/>
      <c r="K2516" s="69"/>
      <c r="L2516" s="69"/>
      <c r="M2516" s="69"/>
      <c r="N2516" s="69"/>
      <c r="O2516" s="69"/>
      <c r="P2516" s="69"/>
      <c r="Q2516" s="69"/>
      <c r="R2516" s="69"/>
    </row>
    <row r="2517" spans="1:18" ht="39.75" hidden="1" customHeight="1">
      <c r="A2517" s="16" t="s">
        <v>35</v>
      </c>
      <c r="B2517" s="49">
        <v>793</v>
      </c>
      <c r="C2517" s="15" t="s">
        <v>167</v>
      </c>
      <c r="D2517" s="15" t="s">
        <v>167</v>
      </c>
      <c r="E2517" s="15" t="s">
        <v>689</v>
      </c>
      <c r="F2517" s="15" t="s">
        <v>338</v>
      </c>
      <c r="G2517" s="70">
        <f>G2518</f>
        <v>0</v>
      </c>
      <c r="H2517" s="8"/>
      <c r="I2517" s="8"/>
      <c r="J2517" s="332"/>
      <c r="K2517" s="69"/>
      <c r="L2517" s="69"/>
      <c r="M2517" s="69"/>
      <c r="N2517" s="69"/>
      <c r="O2517" s="69"/>
      <c r="P2517" s="69"/>
      <c r="Q2517" s="69"/>
      <c r="R2517" s="69"/>
    </row>
    <row r="2518" spans="1:18" ht="39" hidden="1" customHeight="1">
      <c r="A2518" s="16" t="s">
        <v>37</v>
      </c>
      <c r="B2518" s="49">
        <v>793</v>
      </c>
      <c r="C2518" s="15" t="s">
        <v>167</v>
      </c>
      <c r="D2518" s="15" t="s">
        <v>167</v>
      </c>
      <c r="E2518" s="15" t="s">
        <v>688</v>
      </c>
      <c r="F2518" s="15" t="s">
        <v>340</v>
      </c>
      <c r="G2518" s="70">
        <f>358104.72+400000-758104.72</f>
        <v>0</v>
      </c>
      <c r="H2518" s="8"/>
      <c r="I2518" s="8"/>
      <c r="J2518" s="332"/>
      <c r="K2518" s="69"/>
      <c r="L2518" s="69"/>
      <c r="M2518" s="69"/>
      <c r="N2518" s="69"/>
      <c r="O2518" s="69"/>
      <c r="P2518" s="69"/>
      <c r="Q2518" s="69"/>
      <c r="R2518" s="69"/>
    </row>
    <row r="2519" spans="1:18" ht="57" hidden="1" customHeight="1">
      <c r="A2519" s="37" t="s">
        <v>704</v>
      </c>
      <c r="B2519" s="49">
        <v>793</v>
      </c>
      <c r="C2519" s="15" t="s">
        <v>167</v>
      </c>
      <c r="D2519" s="15" t="s">
        <v>167</v>
      </c>
      <c r="E2519" s="15" t="s">
        <v>582</v>
      </c>
      <c r="F2519" s="15"/>
      <c r="G2519" s="70">
        <f>G2520+G2522</f>
        <v>0</v>
      </c>
      <c r="H2519" s="70">
        <f t="shared" ref="H2519:I2519" si="675">H2520+H2522</f>
        <v>0</v>
      </c>
      <c r="I2519" s="70">
        <f t="shared" si="675"/>
        <v>0</v>
      </c>
      <c r="J2519" s="172"/>
      <c r="K2519" s="69"/>
      <c r="L2519" s="69"/>
      <c r="M2519" s="69"/>
      <c r="N2519" s="69"/>
      <c r="O2519" s="69"/>
      <c r="P2519" s="69"/>
      <c r="Q2519" s="69"/>
      <c r="R2519" s="69"/>
    </row>
    <row r="2520" spans="1:18" ht="27" hidden="1" customHeight="1">
      <c r="A2520" s="16" t="s">
        <v>94</v>
      </c>
      <c r="B2520" s="49">
        <v>793</v>
      </c>
      <c r="C2520" s="15" t="s">
        <v>167</v>
      </c>
      <c r="D2520" s="15" t="s">
        <v>167</v>
      </c>
      <c r="E2520" s="15" t="s">
        <v>582</v>
      </c>
      <c r="F2520" s="15" t="s">
        <v>338</v>
      </c>
      <c r="G2520" s="70">
        <f>G2521</f>
        <v>0</v>
      </c>
      <c r="H2520" s="8">
        <f>H2521</f>
        <v>0</v>
      </c>
      <c r="I2520" s="8">
        <v>0</v>
      </c>
      <c r="J2520" s="332"/>
      <c r="K2520" s="69"/>
      <c r="L2520" s="69"/>
      <c r="M2520" s="69"/>
      <c r="N2520" s="69"/>
      <c r="O2520" s="69"/>
      <c r="P2520" s="69"/>
      <c r="Q2520" s="69"/>
      <c r="R2520" s="69"/>
    </row>
    <row r="2521" spans="1:18" ht="18.75" hidden="1" customHeight="1">
      <c r="A2521" s="16" t="s">
        <v>339</v>
      </c>
      <c r="B2521" s="49">
        <v>793</v>
      </c>
      <c r="C2521" s="15" t="s">
        <v>167</v>
      </c>
      <c r="D2521" s="15" t="s">
        <v>167</v>
      </c>
      <c r="E2521" s="15" t="s">
        <v>582</v>
      </c>
      <c r="F2521" s="15" t="s">
        <v>340</v>
      </c>
      <c r="G2521" s="70"/>
      <c r="H2521" s="8"/>
      <c r="I2521" s="8">
        <v>0</v>
      </c>
      <c r="J2521" s="332"/>
      <c r="K2521" s="69"/>
      <c r="L2521" s="69"/>
      <c r="M2521" s="69"/>
      <c r="N2521" s="69"/>
      <c r="O2521" s="69"/>
      <c r="P2521" s="69"/>
      <c r="Q2521" s="69"/>
      <c r="R2521" s="69"/>
    </row>
    <row r="2522" spans="1:18" ht="30" hidden="1" customHeight="1">
      <c r="A2522" s="16" t="s">
        <v>35</v>
      </c>
      <c r="B2522" s="49">
        <v>793</v>
      </c>
      <c r="C2522" s="15" t="s">
        <v>167</v>
      </c>
      <c r="D2522" s="15" t="s">
        <v>167</v>
      </c>
      <c r="E2522" s="15" t="s">
        <v>582</v>
      </c>
      <c r="F2522" s="15" t="s">
        <v>338</v>
      </c>
      <c r="G2522" s="70">
        <f>G2523</f>
        <v>0</v>
      </c>
      <c r="H2522" s="8">
        <v>0</v>
      </c>
      <c r="I2522" s="8">
        <v>0</v>
      </c>
      <c r="J2522" s="332"/>
      <c r="K2522" s="69"/>
      <c r="L2522" s="69"/>
      <c r="M2522" s="69"/>
      <c r="N2522" s="69"/>
      <c r="O2522" s="69"/>
      <c r="P2522" s="69"/>
      <c r="Q2522" s="69"/>
      <c r="R2522" s="69"/>
    </row>
    <row r="2523" spans="1:18" ht="30.75" hidden="1" customHeight="1">
      <c r="A2523" s="16" t="s">
        <v>37</v>
      </c>
      <c r="B2523" s="49">
        <v>793</v>
      </c>
      <c r="C2523" s="15" t="s">
        <v>167</v>
      </c>
      <c r="D2523" s="15" t="s">
        <v>167</v>
      </c>
      <c r="E2523" s="15" t="s">
        <v>582</v>
      </c>
      <c r="F2523" s="15" t="s">
        <v>340</v>
      </c>
      <c r="G2523" s="70"/>
      <c r="H2523" s="8"/>
      <c r="I2523" s="8"/>
      <c r="J2523" s="332"/>
      <c r="K2523" s="69"/>
      <c r="L2523" s="69"/>
      <c r="M2523" s="69"/>
      <c r="N2523" s="69"/>
      <c r="O2523" s="69"/>
      <c r="P2523" s="69"/>
      <c r="Q2523" s="69"/>
      <c r="R2523" s="69"/>
    </row>
    <row r="2524" spans="1:18" s="3" customFormat="1" ht="33.75" hidden="1" customHeight="1">
      <c r="A2524" s="16" t="s">
        <v>482</v>
      </c>
      <c r="B2524" s="49">
        <v>793</v>
      </c>
      <c r="C2524" s="15" t="s">
        <v>167</v>
      </c>
      <c r="D2524" s="15" t="s">
        <v>167</v>
      </c>
      <c r="E2524" s="15" t="s">
        <v>483</v>
      </c>
      <c r="F2524" s="15"/>
      <c r="G2524" s="70">
        <f>G2525</f>
        <v>0</v>
      </c>
      <c r="H2524" s="8">
        <v>0</v>
      </c>
      <c r="I2524" s="8">
        <v>0</v>
      </c>
      <c r="J2524" s="332"/>
      <c r="K2524" s="62"/>
      <c r="L2524" s="62"/>
      <c r="M2524" s="62"/>
      <c r="N2524" s="62"/>
      <c r="O2524" s="62"/>
      <c r="P2524" s="62"/>
      <c r="Q2524" s="62"/>
      <c r="R2524" s="62"/>
    </row>
    <row r="2525" spans="1:18" s="3" customFormat="1" ht="38.25" hidden="1" customHeight="1">
      <c r="A2525" s="16" t="s">
        <v>35</v>
      </c>
      <c r="B2525" s="49">
        <v>793</v>
      </c>
      <c r="C2525" s="15" t="s">
        <v>167</v>
      </c>
      <c r="D2525" s="15" t="s">
        <v>167</v>
      </c>
      <c r="E2525" s="15" t="s">
        <v>483</v>
      </c>
      <c r="F2525" s="15" t="s">
        <v>36</v>
      </c>
      <c r="G2525" s="70">
        <f>G2526</f>
        <v>0</v>
      </c>
      <c r="H2525" s="8">
        <v>0</v>
      </c>
      <c r="I2525" s="8">
        <v>0</v>
      </c>
      <c r="J2525" s="332"/>
      <c r="K2525" s="62"/>
      <c r="L2525" s="62"/>
      <c r="M2525" s="62"/>
      <c r="N2525" s="62"/>
      <c r="O2525" s="62"/>
      <c r="P2525" s="62"/>
      <c r="Q2525" s="62"/>
      <c r="R2525" s="62"/>
    </row>
    <row r="2526" spans="1:18" s="3" customFormat="1" ht="38.25" hidden="1" customHeight="1">
      <c r="A2526" s="16" t="s">
        <v>37</v>
      </c>
      <c r="B2526" s="49">
        <v>793</v>
      </c>
      <c r="C2526" s="15" t="s">
        <v>167</v>
      </c>
      <c r="D2526" s="15" t="s">
        <v>167</v>
      </c>
      <c r="E2526" s="15" t="s">
        <v>483</v>
      </c>
      <c r="F2526" s="15" t="s">
        <v>38</v>
      </c>
      <c r="G2526" s="70"/>
      <c r="H2526" s="8">
        <v>0</v>
      </c>
      <c r="I2526" s="8">
        <v>0</v>
      </c>
      <c r="J2526" s="332"/>
      <c r="K2526" s="62"/>
      <c r="L2526" s="62"/>
      <c r="M2526" s="62"/>
      <c r="N2526" s="62"/>
      <c r="O2526" s="62"/>
      <c r="P2526" s="62"/>
      <c r="Q2526" s="62"/>
      <c r="R2526" s="62"/>
    </row>
    <row r="2527" spans="1:18" ht="67.5" hidden="1" customHeight="1">
      <c r="A2527" s="37" t="s">
        <v>949</v>
      </c>
      <c r="B2527" s="49">
        <v>793</v>
      </c>
      <c r="C2527" s="15" t="s">
        <v>167</v>
      </c>
      <c r="D2527" s="15" t="s">
        <v>167</v>
      </c>
      <c r="E2527" s="15" t="s">
        <v>582</v>
      </c>
      <c r="F2527" s="15"/>
      <c r="G2527" s="70">
        <f>G2528</f>
        <v>0</v>
      </c>
      <c r="H2527" s="8">
        <v>0</v>
      </c>
      <c r="I2527" s="8">
        <v>0</v>
      </c>
      <c r="J2527" s="332"/>
      <c r="K2527" s="69"/>
      <c r="L2527" s="69"/>
      <c r="M2527" s="69"/>
      <c r="N2527" s="69"/>
      <c r="O2527" s="69"/>
      <c r="P2527" s="69"/>
      <c r="Q2527" s="69"/>
      <c r="R2527" s="69"/>
    </row>
    <row r="2528" spans="1:18" ht="44.25" hidden="1" customHeight="1">
      <c r="A2528" s="16" t="s">
        <v>94</v>
      </c>
      <c r="B2528" s="49">
        <v>793</v>
      </c>
      <c r="C2528" s="15" t="s">
        <v>167</v>
      </c>
      <c r="D2528" s="15" t="s">
        <v>167</v>
      </c>
      <c r="E2528" s="15" t="s">
        <v>582</v>
      </c>
      <c r="F2528" s="15" t="s">
        <v>338</v>
      </c>
      <c r="G2528" s="70">
        <f>G2529</f>
        <v>0</v>
      </c>
      <c r="H2528" s="8">
        <v>0</v>
      </c>
      <c r="I2528" s="8">
        <v>0</v>
      </c>
      <c r="J2528" s="332"/>
      <c r="K2528" s="69"/>
      <c r="L2528" s="69"/>
      <c r="M2528" s="69"/>
      <c r="N2528" s="69"/>
      <c r="O2528" s="69"/>
      <c r="P2528" s="69"/>
      <c r="Q2528" s="69"/>
      <c r="R2528" s="69"/>
    </row>
    <row r="2529" spans="1:18" ht="20.25" hidden="1" customHeight="1">
      <c r="A2529" s="16" t="s">
        <v>339</v>
      </c>
      <c r="B2529" s="49">
        <v>793</v>
      </c>
      <c r="C2529" s="15" t="s">
        <v>167</v>
      </c>
      <c r="D2529" s="15" t="s">
        <v>167</v>
      </c>
      <c r="E2529" s="15" t="s">
        <v>582</v>
      </c>
      <c r="F2529" s="15" t="s">
        <v>340</v>
      </c>
      <c r="G2529" s="335"/>
      <c r="H2529" s="8"/>
      <c r="I2529" s="8"/>
      <c r="J2529" s="332"/>
      <c r="K2529" s="69"/>
      <c r="L2529" s="69"/>
      <c r="M2529" s="69"/>
      <c r="N2529" s="69"/>
      <c r="O2529" s="69"/>
      <c r="P2529" s="69"/>
      <c r="Q2529" s="69"/>
      <c r="R2529" s="69"/>
    </row>
    <row r="2530" spans="1:18" ht="70.5" hidden="1" customHeight="1">
      <c r="A2530" s="37" t="s">
        <v>786</v>
      </c>
      <c r="B2530" s="49">
        <v>793</v>
      </c>
      <c r="C2530" s="15" t="s">
        <v>167</v>
      </c>
      <c r="D2530" s="15" t="s">
        <v>167</v>
      </c>
      <c r="E2530" s="15" t="s">
        <v>686</v>
      </c>
      <c r="F2530" s="15"/>
      <c r="G2530" s="70">
        <f>G2531</f>
        <v>0</v>
      </c>
      <c r="H2530" s="8">
        <v>0</v>
      </c>
      <c r="I2530" s="8">
        <v>0</v>
      </c>
      <c r="J2530" s="332"/>
      <c r="K2530" s="69"/>
      <c r="L2530" s="69"/>
      <c r="M2530" s="69"/>
      <c r="N2530" s="69"/>
      <c r="O2530" s="69"/>
      <c r="P2530" s="69"/>
      <c r="Q2530" s="69"/>
      <c r="R2530" s="69"/>
    </row>
    <row r="2531" spans="1:18" ht="21" hidden="1" customHeight="1">
      <c r="A2531" s="16" t="s">
        <v>152</v>
      </c>
      <c r="B2531" s="49">
        <v>793</v>
      </c>
      <c r="C2531" s="15" t="s">
        <v>167</v>
      </c>
      <c r="D2531" s="15" t="s">
        <v>167</v>
      </c>
      <c r="E2531" s="15" t="s">
        <v>686</v>
      </c>
      <c r="F2531" s="15" t="s">
        <v>153</v>
      </c>
      <c r="G2531" s="70">
        <f>G2532</f>
        <v>0</v>
      </c>
      <c r="H2531" s="8">
        <v>0</v>
      </c>
      <c r="I2531" s="8">
        <v>0</v>
      </c>
      <c r="J2531" s="332"/>
      <c r="K2531" s="69"/>
      <c r="L2531" s="69"/>
      <c r="M2531" s="69"/>
      <c r="N2531" s="69"/>
      <c r="O2531" s="69"/>
      <c r="P2531" s="69"/>
      <c r="Q2531" s="69"/>
      <c r="R2531" s="69"/>
    </row>
    <row r="2532" spans="1:18" ht="20.25" hidden="1" customHeight="1">
      <c r="A2532" s="16" t="s">
        <v>172</v>
      </c>
      <c r="B2532" s="49">
        <v>793</v>
      </c>
      <c r="C2532" s="15" t="s">
        <v>167</v>
      </c>
      <c r="D2532" s="15" t="s">
        <v>167</v>
      </c>
      <c r="E2532" s="15" t="s">
        <v>686</v>
      </c>
      <c r="F2532" s="15" t="s">
        <v>173</v>
      </c>
      <c r="G2532" s="70"/>
      <c r="H2532" s="8"/>
      <c r="I2532" s="8"/>
      <c r="J2532" s="332"/>
      <c r="K2532" s="69"/>
      <c r="L2532" s="69"/>
      <c r="M2532" s="69"/>
      <c r="N2532" s="69"/>
      <c r="O2532" s="69"/>
      <c r="P2532" s="69"/>
      <c r="Q2532" s="69"/>
      <c r="R2532" s="69"/>
    </row>
    <row r="2533" spans="1:18" ht="57" hidden="1" customHeight="1">
      <c r="A2533" s="37" t="s">
        <v>833</v>
      </c>
      <c r="B2533" s="49">
        <v>793</v>
      </c>
      <c r="C2533" s="15" t="s">
        <v>167</v>
      </c>
      <c r="D2533" s="15" t="s">
        <v>167</v>
      </c>
      <c r="E2533" s="15" t="s">
        <v>832</v>
      </c>
      <c r="F2533" s="15"/>
      <c r="G2533" s="70">
        <f>G2534</f>
        <v>0</v>
      </c>
      <c r="H2533" s="70">
        <f t="shared" ref="H2533:I2533" si="676">H2534</f>
        <v>0</v>
      </c>
      <c r="I2533" s="70">
        <f t="shared" si="676"/>
        <v>0</v>
      </c>
      <c r="J2533" s="172"/>
      <c r="K2533" s="69"/>
      <c r="L2533" s="69"/>
      <c r="M2533" s="69"/>
      <c r="N2533" s="69"/>
      <c r="O2533" s="69"/>
      <c r="P2533" s="69"/>
      <c r="Q2533" s="69"/>
      <c r="R2533" s="69"/>
    </row>
    <row r="2534" spans="1:18" ht="27" hidden="1" customHeight="1">
      <c r="A2534" s="16" t="s">
        <v>62</v>
      </c>
      <c r="B2534" s="49">
        <v>793</v>
      </c>
      <c r="C2534" s="15" t="s">
        <v>167</v>
      </c>
      <c r="D2534" s="15" t="s">
        <v>167</v>
      </c>
      <c r="E2534" s="15" t="s">
        <v>832</v>
      </c>
      <c r="F2534" s="15" t="s">
        <v>63</v>
      </c>
      <c r="G2534" s="70">
        <f>G2535</f>
        <v>0</v>
      </c>
      <c r="H2534" s="8">
        <f>H2535</f>
        <v>0</v>
      </c>
      <c r="I2534" s="8">
        <f>I2535</f>
        <v>0</v>
      </c>
      <c r="J2534" s="332"/>
      <c r="K2534" s="69"/>
      <c r="L2534" s="69"/>
      <c r="M2534" s="69"/>
      <c r="N2534" s="69"/>
      <c r="O2534" s="69"/>
      <c r="P2534" s="69"/>
      <c r="Q2534" s="69"/>
      <c r="R2534" s="69"/>
    </row>
    <row r="2535" spans="1:18" ht="18.75" hidden="1" customHeight="1">
      <c r="A2535" s="16" t="s">
        <v>174</v>
      </c>
      <c r="B2535" s="49">
        <v>793</v>
      </c>
      <c r="C2535" s="15" t="s">
        <v>167</v>
      </c>
      <c r="D2535" s="15" t="s">
        <v>167</v>
      </c>
      <c r="E2535" s="15" t="s">
        <v>832</v>
      </c>
      <c r="F2535" s="15" t="s">
        <v>175</v>
      </c>
      <c r="G2535" s="70">
        <f>450000-450000</f>
        <v>0</v>
      </c>
      <c r="H2535" s="70">
        <v>0</v>
      </c>
      <c r="I2535" s="70">
        <v>0</v>
      </c>
      <c r="J2535" s="172"/>
      <c r="K2535" s="69"/>
      <c r="L2535" s="69"/>
      <c r="M2535" s="69"/>
      <c r="N2535" s="69"/>
      <c r="O2535" s="69"/>
      <c r="P2535" s="69"/>
      <c r="Q2535" s="69"/>
      <c r="R2535" s="69"/>
    </row>
    <row r="2536" spans="1:18" ht="45" customHeight="1">
      <c r="A2536" s="37" t="s">
        <v>1162</v>
      </c>
      <c r="B2536" s="49">
        <v>793</v>
      </c>
      <c r="C2536" s="15" t="s">
        <v>167</v>
      </c>
      <c r="D2536" s="15" t="s">
        <v>167</v>
      </c>
      <c r="E2536" s="15" t="s">
        <v>1116</v>
      </c>
      <c r="F2536" s="15"/>
      <c r="G2536" s="70">
        <f>G2537</f>
        <v>0</v>
      </c>
      <c r="H2536" s="70">
        <f t="shared" ref="H2536:I2536" si="677">H2537</f>
        <v>101000</v>
      </c>
      <c r="I2536" s="70">
        <f t="shared" si="677"/>
        <v>101000</v>
      </c>
      <c r="J2536" s="332"/>
      <c r="K2536" s="69"/>
      <c r="L2536" s="69"/>
      <c r="M2536" s="69"/>
      <c r="N2536" s="69"/>
      <c r="O2536" s="69"/>
      <c r="P2536" s="69"/>
      <c r="Q2536" s="69"/>
      <c r="R2536" s="69"/>
    </row>
    <row r="2537" spans="1:18" ht="21" customHeight="1">
      <c r="A2537" s="16" t="s">
        <v>35</v>
      </c>
      <c r="B2537" s="49">
        <v>793</v>
      </c>
      <c r="C2537" s="15" t="s">
        <v>167</v>
      </c>
      <c r="D2537" s="15" t="s">
        <v>167</v>
      </c>
      <c r="E2537" s="15" t="s">
        <v>1116</v>
      </c>
      <c r="F2537" s="15" t="s">
        <v>36</v>
      </c>
      <c r="G2537" s="70">
        <f>G2538</f>
        <v>0</v>
      </c>
      <c r="H2537" s="70">
        <f t="shared" ref="H2537:I2537" si="678">H2538</f>
        <v>101000</v>
      </c>
      <c r="I2537" s="70">
        <f t="shared" si="678"/>
        <v>101000</v>
      </c>
      <c r="J2537" s="332"/>
      <c r="K2537" s="69"/>
      <c r="L2537" s="69"/>
      <c r="M2537" s="69"/>
      <c r="N2537" s="69"/>
      <c r="O2537" s="69"/>
      <c r="P2537" s="69"/>
      <c r="Q2537" s="69"/>
      <c r="R2537" s="69"/>
    </row>
    <row r="2538" spans="1:18" ht="31.5" customHeight="1">
      <c r="A2538" s="16" t="s">
        <v>37</v>
      </c>
      <c r="B2538" s="49">
        <v>793</v>
      </c>
      <c r="C2538" s="15" t="s">
        <v>167</v>
      </c>
      <c r="D2538" s="15" t="s">
        <v>167</v>
      </c>
      <c r="E2538" s="15" t="s">
        <v>1116</v>
      </c>
      <c r="F2538" s="15" t="s">
        <v>38</v>
      </c>
      <c r="G2538" s="70">
        <f>101000-101000</f>
        <v>0</v>
      </c>
      <c r="H2538" s="70">
        <v>101000</v>
      </c>
      <c r="I2538" s="70">
        <v>101000</v>
      </c>
      <c r="J2538" s="332"/>
      <c r="K2538" s="69"/>
      <c r="L2538" s="69"/>
      <c r="M2538" s="69"/>
      <c r="N2538" s="69"/>
      <c r="O2538" s="69"/>
      <c r="P2538" s="69"/>
      <c r="Q2538" s="69"/>
      <c r="R2538" s="69"/>
    </row>
    <row r="2539" spans="1:18" ht="54" hidden="1" customHeight="1">
      <c r="A2539" s="16"/>
      <c r="B2539" s="49"/>
      <c r="C2539" s="15"/>
      <c r="D2539" s="15"/>
      <c r="E2539" s="15"/>
      <c r="F2539" s="15"/>
      <c r="G2539" s="70"/>
      <c r="H2539" s="70"/>
      <c r="I2539" s="70"/>
      <c r="J2539" s="172"/>
      <c r="K2539" s="69"/>
      <c r="L2539" s="69"/>
      <c r="M2539" s="69"/>
      <c r="N2539" s="69"/>
      <c r="O2539" s="69"/>
      <c r="P2539" s="69"/>
      <c r="Q2539" s="69"/>
      <c r="R2539" s="69"/>
    </row>
    <row r="2540" spans="1:18" ht="67.5" hidden="1" customHeight="1">
      <c r="A2540" s="37" t="s">
        <v>680</v>
      </c>
      <c r="B2540" s="49">
        <v>793</v>
      </c>
      <c r="C2540" s="15" t="s">
        <v>167</v>
      </c>
      <c r="D2540" s="15" t="s">
        <v>167</v>
      </c>
      <c r="E2540" s="15" t="s">
        <v>687</v>
      </c>
      <c r="F2540" s="15"/>
      <c r="G2540" s="70">
        <f>G2541</f>
        <v>0</v>
      </c>
      <c r="H2540" s="8">
        <v>0</v>
      </c>
      <c r="I2540" s="8">
        <v>0</v>
      </c>
      <c r="J2540" s="332"/>
      <c r="K2540" s="69"/>
      <c r="L2540" s="69"/>
      <c r="M2540" s="69"/>
      <c r="N2540" s="69"/>
      <c r="O2540" s="69"/>
      <c r="P2540" s="69"/>
      <c r="Q2540" s="69"/>
      <c r="R2540" s="69"/>
    </row>
    <row r="2541" spans="1:18" ht="21" hidden="1" customHeight="1">
      <c r="A2541" s="16" t="s">
        <v>152</v>
      </c>
      <c r="B2541" s="49">
        <v>793</v>
      </c>
      <c r="C2541" s="15" t="s">
        <v>167</v>
      </c>
      <c r="D2541" s="15" t="s">
        <v>167</v>
      </c>
      <c r="E2541" s="15" t="s">
        <v>687</v>
      </c>
      <c r="F2541" s="15" t="s">
        <v>153</v>
      </c>
      <c r="G2541" s="70">
        <f>G2542</f>
        <v>0</v>
      </c>
      <c r="H2541" s="8">
        <v>0</v>
      </c>
      <c r="I2541" s="8">
        <v>0</v>
      </c>
      <c r="J2541" s="332"/>
      <c r="K2541" s="69"/>
      <c r="L2541" s="69"/>
      <c r="M2541" s="69"/>
      <c r="N2541" s="69"/>
      <c r="O2541" s="69"/>
      <c r="P2541" s="69"/>
      <c r="Q2541" s="69"/>
      <c r="R2541" s="69"/>
    </row>
    <row r="2542" spans="1:18" ht="20.25" hidden="1" customHeight="1">
      <c r="A2542" s="16" t="s">
        <v>172</v>
      </c>
      <c r="B2542" s="49">
        <v>793</v>
      </c>
      <c r="C2542" s="15" t="s">
        <v>167</v>
      </c>
      <c r="D2542" s="15" t="s">
        <v>167</v>
      </c>
      <c r="E2542" s="15" t="s">
        <v>687</v>
      </c>
      <c r="F2542" s="15" t="s">
        <v>173</v>
      </c>
      <c r="G2542" s="70"/>
      <c r="H2542" s="8"/>
      <c r="I2542" s="8"/>
      <c r="J2542" s="332"/>
      <c r="K2542" s="69"/>
      <c r="L2542" s="69"/>
      <c r="M2542" s="69"/>
      <c r="N2542" s="69"/>
      <c r="O2542" s="69"/>
      <c r="P2542" s="69"/>
      <c r="Q2542" s="69"/>
      <c r="R2542" s="69"/>
    </row>
    <row r="2543" spans="1:18" ht="25.5" hidden="1" customHeight="1">
      <c r="A2543" s="37" t="s">
        <v>599</v>
      </c>
      <c r="B2543" s="49">
        <v>793</v>
      </c>
      <c r="C2543" s="15" t="s">
        <v>167</v>
      </c>
      <c r="D2543" s="15" t="s">
        <v>167</v>
      </c>
      <c r="E2543" s="15" t="s">
        <v>596</v>
      </c>
      <c r="F2543" s="15"/>
      <c r="G2543" s="70">
        <f>G2544</f>
        <v>0</v>
      </c>
      <c r="H2543" s="8">
        <v>0</v>
      </c>
      <c r="I2543" s="8">
        <v>0</v>
      </c>
      <c r="J2543" s="332"/>
      <c r="K2543" s="69"/>
      <c r="L2543" s="69"/>
      <c r="M2543" s="69"/>
      <c r="N2543" s="69"/>
      <c r="O2543" s="69"/>
      <c r="P2543" s="69"/>
      <c r="Q2543" s="69"/>
      <c r="R2543" s="69"/>
    </row>
    <row r="2544" spans="1:18" ht="39.75" hidden="1" customHeight="1">
      <c r="A2544" s="37" t="s">
        <v>598</v>
      </c>
      <c r="B2544" s="49">
        <v>793</v>
      </c>
      <c r="C2544" s="15" t="s">
        <v>167</v>
      </c>
      <c r="D2544" s="15" t="s">
        <v>167</v>
      </c>
      <c r="E2544" s="15" t="s">
        <v>597</v>
      </c>
      <c r="F2544" s="15"/>
      <c r="G2544" s="70">
        <f>G2545</f>
        <v>0</v>
      </c>
      <c r="H2544" s="8">
        <v>0</v>
      </c>
      <c r="I2544" s="8">
        <v>0</v>
      </c>
      <c r="J2544" s="332"/>
      <c r="K2544" s="69"/>
      <c r="L2544" s="69"/>
      <c r="M2544" s="69"/>
      <c r="N2544" s="69"/>
      <c r="O2544" s="69"/>
      <c r="P2544" s="69"/>
      <c r="Q2544" s="69"/>
      <c r="R2544" s="69"/>
    </row>
    <row r="2545" spans="1:18" ht="30.75" hidden="1" customHeight="1">
      <c r="A2545" s="16" t="s">
        <v>94</v>
      </c>
      <c r="B2545" s="49">
        <v>793</v>
      </c>
      <c r="C2545" s="15" t="s">
        <v>167</v>
      </c>
      <c r="D2545" s="15" t="s">
        <v>167</v>
      </c>
      <c r="E2545" s="15" t="s">
        <v>597</v>
      </c>
      <c r="F2545" s="15" t="s">
        <v>338</v>
      </c>
      <c r="G2545" s="70">
        <f>G2546</f>
        <v>0</v>
      </c>
      <c r="H2545" s="8">
        <v>0</v>
      </c>
      <c r="I2545" s="8">
        <v>0</v>
      </c>
      <c r="J2545" s="332"/>
      <c r="K2545" s="69"/>
      <c r="L2545" s="69"/>
      <c r="M2545" s="69"/>
      <c r="N2545" s="69"/>
      <c r="O2545" s="69"/>
      <c r="P2545" s="69"/>
      <c r="Q2545" s="69"/>
      <c r="R2545" s="69"/>
    </row>
    <row r="2546" spans="1:18" ht="30.75" hidden="1" customHeight="1">
      <c r="A2546" s="16" t="s">
        <v>339</v>
      </c>
      <c r="B2546" s="49">
        <v>793</v>
      </c>
      <c r="C2546" s="15" t="s">
        <v>167</v>
      </c>
      <c r="D2546" s="15" t="s">
        <v>167</v>
      </c>
      <c r="E2546" s="15" t="s">
        <v>597</v>
      </c>
      <c r="F2546" s="15" t="s">
        <v>340</v>
      </c>
      <c r="G2546" s="70"/>
      <c r="H2546" s="8">
        <v>0</v>
      </c>
      <c r="I2546" s="8">
        <v>0</v>
      </c>
      <c r="J2546" s="332"/>
      <c r="K2546" s="69"/>
      <c r="L2546" s="69"/>
      <c r="M2546" s="69"/>
      <c r="N2546" s="69"/>
      <c r="O2546" s="69"/>
      <c r="P2546" s="69"/>
      <c r="Q2546" s="69"/>
      <c r="R2546" s="69"/>
    </row>
    <row r="2547" spans="1:18" ht="55.5" hidden="1" customHeight="1">
      <c r="A2547" s="37" t="s">
        <v>704</v>
      </c>
      <c r="B2547" s="49">
        <v>793</v>
      </c>
      <c r="C2547" s="15" t="s">
        <v>167</v>
      </c>
      <c r="D2547" s="15" t="s">
        <v>167</v>
      </c>
      <c r="E2547" s="15" t="s">
        <v>688</v>
      </c>
      <c r="F2547" s="15"/>
      <c r="G2547" s="70">
        <f>G2548+G2550</f>
        <v>0</v>
      </c>
      <c r="H2547" s="70">
        <f t="shared" ref="H2547:I2547" si="679">H2548+H2550</f>
        <v>0</v>
      </c>
      <c r="I2547" s="70">
        <f t="shared" si="679"/>
        <v>0</v>
      </c>
      <c r="J2547" s="172"/>
      <c r="K2547" s="69"/>
      <c r="L2547" s="69"/>
      <c r="M2547" s="69"/>
      <c r="N2547" s="69"/>
      <c r="O2547" s="69"/>
      <c r="P2547" s="69"/>
      <c r="Q2547" s="69"/>
      <c r="R2547" s="69"/>
    </row>
    <row r="2548" spans="1:18" ht="27" hidden="1" customHeight="1">
      <c r="A2548" s="16" t="s">
        <v>94</v>
      </c>
      <c r="B2548" s="49">
        <v>793</v>
      </c>
      <c r="C2548" s="15" t="s">
        <v>167</v>
      </c>
      <c r="D2548" s="15" t="s">
        <v>167</v>
      </c>
      <c r="E2548" s="15" t="s">
        <v>582</v>
      </c>
      <c r="F2548" s="15" t="s">
        <v>338</v>
      </c>
      <c r="G2548" s="70">
        <f>G2549</f>
        <v>0</v>
      </c>
      <c r="H2548" s="8">
        <f>H2549</f>
        <v>0</v>
      </c>
      <c r="I2548" s="8">
        <v>0</v>
      </c>
      <c r="J2548" s="332"/>
      <c r="K2548" s="69"/>
      <c r="L2548" s="69"/>
      <c r="M2548" s="69"/>
      <c r="N2548" s="69"/>
      <c r="O2548" s="69"/>
      <c r="P2548" s="69"/>
      <c r="Q2548" s="69"/>
      <c r="R2548" s="69"/>
    </row>
    <row r="2549" spans="1:18" ht="18.75" hidden="1" customHeight="1">
      <c r="A2549" s="16" t="s">
        <v>339</v>
      </c>
      <c r="B2549" s="49">
        <v>793</v>
      </c>
      <c r="C2549" s="15" t="s">
        <v>167</v>
      </c>
      <c r="D2549" s="15" t="s">
        <v>167</v>
      </c>
      <c r="E2549" s="15" t="s">
        <v>582</v>
      </c>
      <c r="F2549" s="15" t="s">
        <v>340</v>
      </c>
      <c r="G2549" s="70"/>
      <c r="H2549" s="8"/>
      <c r="I2549" s="8">
        <v>0</v>
      </c>
      <c r="J2549" s="332"/>
      <c r="K2549" s="69"/>
      <c r="L2549" s="69"/>
      <c r="M2549" s="69"/>
      <c r="N2549" s="69"/>
      <c r="O2549" s="69"/>
      <c r="P2549" s="69"/>
      <c r="Q2549" s="69"/>
      <c r="R2549" s="69"/>
    </row>
    <row r="2550" spans="1:18" ht="39.75" hidden="1" customHeight="1">
      <c r="A2550" s="16" t="s">
        <v>35</v>
      </c>
      <c r="B2550" s="49">
        <v>793</v>
      </c>
      <c r="C2550" s="15" t="s">
        <v>167</v>
      </c>
      <c r="D2550" s="15" t="s">
        <v>167</v>
      </c>
      <c r="E2550" s="15" t="s">
        <v>689</v>
      </c>
      <c r="F2550" s="15" t="s">
        <v>338</v>
      </c>
      <c r="G2550" s="70">
        <f>G2551</f>
        <v>0</v>
      </c>
      <c r="H2550" s="8"/>
      <c r="I2550" s="8"/>
      <c r="J2550" s="332"/>
      <c r="K2550" s="69"/>
      <c r="L2550" s="69"/>
      <c r="M2550" s="69"/>
      <c r="N2550" s="69"/>
      <c r="O2550" s="69"/>
      <c r="P2550" s="69"/>
      <c r="Q2550" s="69"/>
      <c r="R2550" s="69"/>
    </row>
    <row r="2551" spans="1:18" ht="39" hidden="1" customHeight="1">
      <c r="A2551" s="16" t="s">
        <v>37</v>
      </c>
      <c r="B2551" s="49">
        <v>793</v>
      </c>
      <c r="C2551" s="15" t="s">
        <v>167</v>
      </c>
      <c r="D2551" s="15" t="s">
        <v>167</v>
      </c>
      <c r="E2551" s="15" t="s">
        <v>688</v>
      </c>
      <c r="F2551" s="15" t="s">
        <v>340</v>
      </c>
      <c r="G2551" s="70">
        <f>358104.72+400000-758104.72</f>
        <v>0</v>
      </c>
      <c r="H2551" s="8"/>
      <c r="I2551" s="8"/>
      <c r="J2551" s="332"/>
      <c r="K2551" s="69"/>
      <c r="L2551" s="69"/>
      <c r="M2551" s="69"/>
      <c r="N2551" s="69"/>
      <c r="O2551" s="69"/>
      <c r="P2551" s="69"/>
      <c r="Q2551" s="69"/>
      <c r="R2551" s="69"/>
    </row>
    <row r="2552" spans="1:18" ht="57" hidden="1" customHeight="1">
      <c r="A2552" s="37" t="s">
        <v>704</v>
      </c>
      <c r="B2552" s="49">
        <v>793</v>
      </c>
      <c r="C2552" s="15" t="s">
        <v>167</v>
      </c>
      <c r="D2552" s="15" t="s">
        <v>167</v>
      </c>
      <c r="E2552" s="15" t="s">
        <v>582</v>
      </c>
      <c r="F2552" s="15"/>
      <c r="G2552" s="70">
        <f>G2553+G2555</f>
        <v>0</v>
      </c>
      <c r="H2552" s="70">
        <f t="shared" ref="H2552:I2552" si="680">H2553+H2555</f>
        <v>0</v>
      </c>
      <c r="I2552" s="70">
        <f t="shared" si="680"/>
        <v>0</v>
      </c>
      <c r="J2552" s="172"/>
      <c r="K2552" s="69"/>
      <c r="L2552" s="69"/>
      <c r="M2552" s="69"/>
      <c r="N2552" s="69"/>
      <c r="O2552" s="69"/>
      <c r="P2552" s="69"/>
      <c r="Q2552" s="69"/>
      <c r="R2552" s="69"/>
    </row>
    <row r="2553" spans="1:18" ht="27" hidden="1" customHeight="1">
      <c r="A2553" s="16" t="s">
        <v>94</v>
      </c>
      <c r="B2553" s="49">
        <v>793</v>
      </c>
      <c r="C2553" s="15" t="s">
        <v>167</v>
      </c>
      <c r="D2553" s="15" t="s">
        <v>167</v>
      </c>
      <c r="E2553" s="15" t="s">
        <v>582</v>
      </c>
      <c r="F2553" s="15" t="s">
        <v>338</v>
      </c>
      <c r="G2553" s="70">
        <f>G2554</f>
        <v>0</v>
      </c>
      <c r="H2553" s="8">
        <f>H2554</f>
        <v>0</v>
      </c>
      <c r="I2553" s="8">
        <v>0</v>
      </c>
      <c r="J2553" s="332"/>
      <c r="K2553" s="69"/>
      <c r="L2553" s="69"/>
      <c r="M2553" s="69"/>
      <c r="N2553" s="69"/>
      <c r="O2553" s="69"/>
      <c r="P2553" s="69"/>
      <c r="Q2553" s="69"/>
      <c r="R2553" s="69"/>
    </row>
    <row r="2554" spans="1:18" ht="18.75" hidden="1" customHeight="1">
      <c r="A2554" s="16" t="s">
        <v>339</v>
      </c>
      <c r="B2554" s="49">
        <v>793</v>
      </c>
      <c r="C2554" s="15" t="s">
        <v>167</v>
      </c>
      <c r="D2554" s="15" t="s">
        <v>167</v>
      </c>
      <c r="E2554" s="15" t="s">
        <v>582</v>
      </c>
      <c r="F2554" s="15" t="s">
        <v>340</v>
      </c>
      <c r="G2554" s="70"/>
      <c r="H2554" s="8"/>
      <c r="I2554" s="8">
        <v>0</v>
      </c>
      <c r="J2554" s="332"/>
      <c r="K2554" s="69"/>
      <c r="L2554" s="69"/>
      <c r="M2554" s="69"/>
      <c r="N2554" s="69"/>
      <c r="O2554" s="69"/>
      <c r="P2554" s="69"/>
      <c r="Q2554" s="69"/>
      <c r="R2554" s="69"/>
    </row>
    <row r="2555" spans="1:18" ht="30" hidden="1" customHeight="1">
      <c r="A2555" s="16" t="s">
        <v>35</v>
      </c>
      <c r="B2555" s="49">
        <v>793</v>
      </c>
      <c r="C2555" s="15" t="s">
        <v>167</v>
      </c>
      <c r="D2555" s="15" t="s">
        <v>167</v>
      </c>
      <c r="E2555" s="15" t="s">
        <v>582</v>
      </c>
      <c r="F2555" s="15" t="s">
        <v>338</v>
      </c>
      <c r="G2555" s="70">
        <f>G2556</f>
        <v>0</v>
      </c>
      <c r="H2555" s="8">
        <v>0</v>
      </c>
      <c r="I2555" s="8">
        <v>0</v>
      </c>
      <c r="J2555" s="332"/>
      <c r="K2555" s="69"/>
      <c r="L2555" s="69"/>
      <c r="M2555" s="69"/>
      <c r="N2555" s="69"/>
      <c r="O2555" s="69"/>
      <c r="P2555" s="69"/>
      <c r="Q2555" s="69"/>
      <c r="R2555" s="69"/>
    </row>
    <row r="2556" spans="1:18" ht="30.75" hidden="1" customHeight="1">
      <c r="A2556" s="16" t="s">
        <v>37</v>
      </c>
      <c r="B2556" s="49">
        <v>793</v>
      </c>
      <c r="C2556" s="15" t="s">
        <v>167</v>
      </c>
      <c r="D2556" s="15" t="s">
        <v>167</v>
      </c>
      <c r="E2556" s="15" t="s">
        <v>582</v>
      </c>
      <c r="F2556" s="15" t="s">
        <v>340</v>
      </c>
      <c r="G2556" s="70"/>
      <c r="H2556" s="8"/>
      <c r="I2556" s="8"/>
      <c r="J2556" s="332"/>
      <c r="K2556" s="69"/>
      <c r="L2556" s="69"/>
      <c r="M2556" s="69"/>
      <c r="N2556" s="69"/>
      <c r="O2556" s="69"/>
      <c r="P2556" s="69"/>
      <c r="Q2556" s="69"/>
      <c r="R2556" s="69"/>
    </row>
    <row r="2557" spans="1:18" s="3" customFormat="1" ht="33.75" hidden="1" customHeight="1">
      <c r="A2557" s="16" t="s">
        <v>482</v>
      </c>
      <c r="B2557" s="49">
        <v>793</v>
      </c>
      <c r="C2557" s="15" t="s">
        <v>167</v>
      </c>
      <c r="D2557" s="15" t="s">
        <v>167</v>
      </c>
      <c r="E2557" s="15" t="s">
        <v>483</v>
      </c>
      <c r="F2557" s="15"/>
      <c r="G2557" s="70">
        <f>G2558</f>
        <v>0</v>
      </c>
      <c r="H2557" s="8">
        <v>0</v>
      </c>
      <c r="I2557" s="8">
        <v>0</v>
      </c>
      <c r="J2557" s="332"/>
      <c r="K2557" s="62"/>
      <c r="L2557" s="62"/>
      <c r="M2557" s="62"/>
      <c r="N2557" s="62"/>
      <c r="O2557" s="62"/>
      <c r="P2557" s="62"/>
      <c r="Q2557" s="62"/>
      <c r="R2557" s="62"/>
    </row>
    <row r="2558" spans="1:18" s="3" customFormat="1" ht="38.25" hidden="1" customHeight="1">
      <c r="A2558" s="16" t="s">
        <v>35</v>
      </c>
      <c r="B2558" s="49">
        <v>793</v>
      </c>
      <c r="C2558" s="15" t="s">
        <v>167</v>
      </c>
      <c r="D2558" s="15" t="s">
        <v>167</v>
      </c>
      <c r="E2558" s="15" t="s">
        <v>483</v>
      </c>
      <c r="F2558" s="15" t="s">
        <v>36</v>
      </c>
      <c r="G2558" s="70">
        <f>G2559</f>
        <v>0</v>
      </c>
      <c r="H2558" s="8">
        <v>0</v>
      </c>
      <c r="I2558" s="8">
        <v>0</v>
      </c>
      <c r="J2558" s="332"/>
      <c r="K2558" s="62"/>
      <c r="L2558" s="62"/>
      <c r="M2558" s="62"/>
      <c r="N2558" s="62"/>
      <c r="O2558" s="62"/>
      <c r="P2558" s="62"/>
      <c r="Q2558" s="62"/>
      <c r="R2558" s="62"/>
    </row>
    <row r="2559" spans="1:18" s="3" customFormat="1" ht="38.25" hidden="1" customHeight="1">
      <c r="A2559" s="16" t="s">
        <v>37</v>
      </c>
      <c r="B2559" s="49">
        <v>793</v>
      </c>
      <c r="C2559" s="15" t="s">
        <v>167</v>
      </c>
      <c r="D2559" s="15" t="s">
        <v>167</v>
      </c>
      <c r="E2559" s="15" t="s">
        <v>483</v>
      </c>
      <c r="F2559" s="15" t="s">
        <v>38</v>
      </c>
      <c r="G2559" s="70"/>
      <c r="H2559" s="8">
        <v>0</v>
      </c>
      <c r="I2559" s="8">
        <v>0</v>
      </c>
      <c r="J2559" s="332"/>
      <c r="K2559" s="62"/>
      <c r="L2559" s="62"/>
      <c r="M2559" s="62"/>
      <c r="N2559" s="62"/>
      <c r="O2559" s="62"/>
      <c r="P2559" s="62"/>
      <c r="Q2559" s="62"/>
      <c r="R2559" s="62"/>
    </row>
    <row r="2560" spans="1:18" ht="67.5" hidden="1" customHeight="1">
      <c r="A2560" s="37" t="s">
        <v>949</v>
      </c>
      <c r="B2560" s="49">
        <v>793</v>
      </c>
      <c r="C2560" s="15" t="s">
        <v>167</v>
      </c>
      <c r="D2560" s="15" t="s">
        <v>167</v>
      </c>
      <c r="E2560" s="15" t="s">
        <v>582</v>
      </c>
      <c r="F2560" s="15"/>
      <c r="G2560" s="70">
        <f>G2561</f>
        <v>0</v>
      </c>
      <c r="H2560" s="8">
        <v>0</v>
      </c>
      <c r="I2560" s="8">
        <v>0</v>
      </c>
      <c r="J2560" s="332"/>
      <c r="K2560" s="69"/>
      <c r="L2560" s="69"/>
      <c r="M2560" s="69"/>
      <c r="N2560" s="69"/>
      <c r="O2560" s="69"/>
      <c r="P2560" s="69"/>
      <c r="Q2560" s="69"/>
      <c r="R2560" s="69"/>
    </row>
    <row r="2561" spans="1:18" ht="44.25" hidden="1" customHeight="1">
      <c r="A2561" s="16" t="s">
        <v>94</v>
      </c>
      <c r="B2561" s="49">
        <v>793</v>
      </c>
      <c r="C2561" s="15" t="s">
        <v>167</v>
      </c>
      <c r="D2561" s="15" t="s">
        <v>167</v>
      </c>
      <c r="E2561" s="15" t="s">
        <v>582</v>
      </c>
      <c r="F2561" s="15" t="s">
        <v>338</v>
      </c>
      <c r="G2561" s="70">
        <f>G2562</f>
        <v>0</v>
      </c>
      <c r="H2561" s="8">
        <v>0</v>
      </c>
      <c r="I2561" s="8">
        <v>0</v>
      </c>
      <c r="J2561" s="332"/>
      <c r="K2561" s="69"/>
      <c r="L2561" s="69"/>
      <c r="M2561" s="69"/>
      <c r="N2561" s="69"/>
      <c r="O2561" s="69"/>
      <c r="P2561" s="69"/>
      <c r="Q2561" s="69"/>
      <c r="R2561" s="69"/>
    </row>
    <row r="2562" spans="1:18" ht="20.25" hidden="1" customHeight="1">
      <c r="A2562" s="16" t="s">
        <v>339</v>
      </c>
      <c r="B2562" s="49">
        <v>793</v>
      </c>
      <c r="C2562" s="15" t="s">
        <v>167</v>
      </c>
      <c r="D2562" s="15" t="s">
        <v>167</v>
      </c>
      <c r="E2562" s="15" t="s">
        <v>582</v>
      </c>
      <c r="F2562" s="15" t="s">
        <v>340</v>
      </c>
      <c r="G2562" s="335"/>
      <c r="H2562" s="8"/>
      <c r="I2562" s="8"/>
      <c r="J2562" s="332"/>
      <c r="K2562" s="69"/>
      <c r="L2562" s="69"/>
      <c r="M2562" s="69"/>
      <c r="N2562" s="69"/>
      <c r="O2562" s="69"/>
      <c r="P2562" s="69"/>
      <c r="Q2562" s="69"/>
      <c r="R2562" s="69"/>
    </row>
    <row r="2563" spans="1:18" ht="70.5" hidden="1" customHeight="1">
      <c r="A2563" s="37" t="s">
        <v>786</v>
      </c>
      <c r="B2563" s="49">
        <v>793</v>
      </c>
      <c r="C2563" s="15" t="s">
        <v>167</v>
      </c>
      <c r="D2563" s="15" t="s">
        <v>167</v>
      </c>
      <c r="E2563" s="15" t="s">
        <v>686</v>
      </c>
      <c r="F2563" s="15"/>
      <c r="G2563" s="70">
        <f>G2564</f>
        <v>0</v>
      </c>
      <c r="H2563" s="8">
        <v>0</v>
      </c>
      <c r="I2563" s="8">
        <v>0</v>
      </c>
      <c r="J2563" s="332"/>
      <c r="K2563" s="69"/>
      <c r="L2563" s="69"/>
      <c r="M2563" s="69"/>
      <c r="N2563" s="69"/>
      <c r="O2563" s="69"/>
      <c r="P2563" s="69"/>
      <c r="Q2563" s="69"/>
      <c r="R2563" s="69"/>
    </row>
    <row r="2564" spans="1:18" ht="21" hidden="1" customHeight="1">
      <c r="A2564" s="16" t="s">
        <v>152</v>
      </c>
      <c r="B2564" s="49">
        <v>793</v>
      </c>
      <c r="C2564" s="15" t="s">
        <v>167</v>
      </c>
      <c r="D2564" s="15" t="s">
        <v>167</v>
      </c>
      <c r="E2564" s="15" t="s">
        <v>686</v>
      </c>
      <c r="F2564" s="15" t="s">
        <v>153</v>
      </c>
      <c r="G2564" s="70">
        <f>G2565</f>
        <v>0</v>
      </c>
      <c r="H2564" s="8">
        <v>0</v>
      </c>
      <c r="I2564" s="8">
        <v>0</v>
      </c>
      <c r="J2564" s="332"/>
      <c r="K2564" s="69"/>
      <c r="L2564" s="69"/>
      <c r="M2564" s="69"/>
      <c r="N2564" s="69"/>
      <c r="O2564" s="69"/>
      <c r="P2564" s="69"/>
      <c r="Q2564" s="69"/>
      <c r="R2564" s="69"/>
    </row>
    <row r="2565" spans="1:18" ht="20.25" hidden="1" customHeight="1">
      <c r="A2565" s="16" t="s">
        <v>172</v>
      </c>
      <c r="B2565" s="49">
        <v>793</v>
      </c>
      <c r="C2565" s="15" t="s">
        <v>167</v>
      </c>
      <c r="D2565" s="15" t="s">
        <v>167</v>
      </c>
      <c r="E2565" s="15" t="s">
        <v>686</v>
      </c>
      <c r="F2565" s="15" t="s">
        <v>173</v>
      </c>
      <c r="G2565" s="70"/>
      <c r="H2565" s="8"/>
      <c r="I2565" s="8"/>
      <c r="J2565" s="332"/>
      <c r="K2565" s="69"/>
      <c r="L2565" s="69"/>
      <c r="M2565" s="69"/>
      <c r="N2565" s="69"/>
      <c r="O2565" s="69"/>
      <c r="P2565" s="69"/>
      <c r="Q2565" s="69"/>
      <c r="R2565" s="69"/>
    </row>
    <row r="2566" spans="1:18" ht="57" hidden="1" customHeight="1">
      <c r="A2566" s="37" t="s">
        <v>833</v>
      </c>
      <c r="B2566" s="49">
        <v>793</v>
      </c>
      <c r="C2566" s="15" t="s">
        <v>167</v>
      </c>
      <c r="D2566" s="15" t="s">
        <v>167</v>
      </c>
      <c r="E2566" s="15" t="s">
        <v>832</v>
      </c>
      <c r="F2566" s="15"/>
      <c r="G2566" s="70">
        <f>G2567</f>
        <v>0</v>
      </c>
      <c r="H2566" s="70">
        <f t="shared" ref="H2566:I2566" si="681">H2567</f>
        <v>0</v>
      </c>
      <c r="I2566" s="70">
        <f t="shared" si="681"/>
        <v>0</v>
      </c>
      <c r="J2566" s="172"/>
      <c r="K2566" s="69"/>
      <c r="L2566" s="69"/>
      <c r="M2566" s="69"/>
      <c r="N2566" s="69"/>
      <c r="O2566" s="69"/>
      <c r="P2566" s="69"/>
      <c r="Q2566" s="69"/>
      <c r="R2566" s="69"/>
    </row>
    <row r="2567" spans="1:18" ht="27" hidden="1" customHeight="1">
      <c r="A2567" s="16" t="s">
        <v>62</v>
      </c>
      <c r="B2567" s="49">
        <v>793</v>
      </c>
      <c r="C2567" s="15" t="s">
        <v>167</v>
      </c>
      <c r="D2567" s="15" t="s">
        <v>167</v>
      </c>
      <c r="E2567" s="15" t="s">
        <v>832</v>
      </c>
      <c r="F2567" s="15" t="s">
        <v>63</v>
      </c>
      <c r="G2567" s="70">
        <f>G2568</f>
        <v>0</v>
      </c>
      <c r="H2567" s="8">
        <f>H2568</f>
        <v>0</v>
      </c>
      <c r="I2567" s="8">
        <f>I2568</f>
        <v>0</v>
      </c>
      <c r="J2567" s="332"/>
      <c r="K2567" s="69"/>
      <c r="L2567" s="69"/>
      <c r="M2567" s="69"/>
      <c r="N2567" s="69"/>
      <c r="O2567" s="69"/>
      <c r="P2567" s="69"/>
      <c r="Q2567" s="69"/>
      <c r="R2567" s="69"/>
    </row>
    <row r="2568" spans="1:18" ht="18.75" hidden="1" customHeight="1">
      <c r="A2568" s="16" t="s">
        <v>174</v>
      </c>
      <c r="B2568" s="49">
        <v>793</v>
      </c>
      <c r="C2568" s="15" t="s">
        <v>167</v>
      </c>
      <c r="D2568" s="15" t="s">
        <v>167</v>
      </c>
      <c r="E2568" s="15" t="s">
        <v>832</v>
      </c>
      <c r="F2568" s="15" t="s">
        <v>175</v>
      </c>
      <c r="G2568" s="70">
        <f>450000-450000</f>
        <v>0</v>
      </c>
      <c r="H2568" s="70">
        <v>0</v>
      </c>
      <c r="I2568" s="70">
        <v>0</v>
      </c>
      <c r="J2568" s="172"/>
      <c r="K2568" s="69"/>
      <c r="L2568" s="69"/>
      <c r="M2568" s="69"/>
      <c r="N2568" s="69"/>
      <c r="O2568" s="69"/>
      <c r="P2568" s="69"/>
      <c r="Q2568" s="69"/>
      <c r="R2568" s="69"/>
    </row>
    <row r="2569" spans="1:18" ht="66" customHeight="1">
      <c r="A2569" s="37" t="s">
        <v>786</v>
      </c>
      <c r="B2569" s="49">
        <v>793</v>
      </c>
      <c r="C2569" s="15" t="s">
        <v>167</v>
      </c>
      <c r="D2569" s="15" t="s">
        <v>167</v>
      </c>
      <c r="E2569" s="15" t="s">
        <v>686</v>
      </c>
      <c r="F2569" s="15"/>
      <c r="G2569" s="70">
        <f>G2570</f>
        <v>1345000</v>
      </c>
      <c r="H2569" s="70">
        <f t="shared" ref="H2569:I2570" si="682">H2570</f>
        <v>0</v>
      </c>
      <c r="I2569" s="70">
        <f t="shared" si="682"/>
        <v>0</v>
      </c>
      <c r="J2569" s="332"/>
      <c r="K2569" s="69"/>
      <c r="L2569" s="69"/>
      <c r="M2569" s="69"/>
      <c r="N2569" s="69"/>
      <c r="O2569" s="69"/>
      <c r="P2569" s="69"/>
      <c r="Q2569" s="69"/>
      <c r="R2569" s="69"/>
    </row>
    <row r="2570" spans="1:18" ht="27.75" customHeight="1">
      <c r="A2570" s="16" t="s">
        <v>94</v>
      </c>
      <c r="B2570" s="49">
        <v>793</v>
      </c>
      <c r="C2570" s="15" t="s">
        <v>167</v>
      </c>
      <c r="D2570" s="15" t="s">
        <v>167</v>
      </c>
      <c r="E2570" s="15" t="s">
        <v>686</v>
      </c>
      <c r="F2570" s="15" t="s">
        <v>338</v>
      </c>
      <c r="G2570" s="70">
        <f>G2571</f>
        <v>1345000</v>
      </c>
      <c r="H2570" s="70">
        <f t="shared" si="682"/>
        <v>0</v>
      </c>
      <c r="I2570" s="70">
        <f t="shared" si="682"/>
        <v>0</v>
      </c>
      <c r="J2570" s="332"/>
      <c r="K2570" s="69"/>
      <c r="L2570" s="69"/>
      <c r="M2570" s="69"/>
      <c r="N2570" s="69"/>
      <c r="O2570" s="69"/>
      <c r="P2570" s="69"/>
      <c r="Q2570" s="69"/>
      <c r="R2570" s="69"/>
    </row>
    <row r="2571" spans="1:18" ht="31.5" customHeight="1">
      <c r="A2571" s="16" t="s">
        <v>339</v>
      </c>
      <c r="B2571" s="49">
        <v>793</v>
      </c>
      <c r="C2571" s="15" t="s">
        <v>167</v>
      </c>
      <c r="D2571" s="15" t="s">
        <v>167</v>
      </c>
      <c r="E2571" s="15" t="s">
        <v>686</v>
      </c>
      <c r="F2571" s="15" t="s">
        <v>340</v>
      </c>
      <c r="G2571" s="70">
        <v>1345000</v>
      </c>
      <c r="H2571" s="70">
        <v>0</v>
      </c>
      <c r="I2571" s="70">
        <v>0</v>
      </c>
      <c r="J2571" s="332"/>
      <c r="K2571" s="69"/>
      <c r="L2571" s="69"/>
      <c r="M2571" s="69"/>
      <c r="N2571" s="69"/>
      <c r="O2571" s="69"/>
      <c r="P2571" s="69"/>
      <c r="Q2571" s="69"/>
      <c r="R2571" s="69"/>
    </row>
    <row r="2572" spans="1:18" ht="62.25" customHeight="1">
      <c r="A2572" s="37" t="s">
        <v>1317</v>
      </c>
      <c r="B2572" s="49">
        <v>793</v>
      </c>
      <c r="C2572" s="15" t="s">
        <v>167</v>
      </c>
      <c r="D2572" s="15" t="s">
        <v>167</v>
      </c>
      <c r="E2572" s="15" t="s">
        <v>582</v>
      </c>
      <c r="F2572" s="15"/>
      <c r="G2572" s="70">
        <f>G2573</f>
        <v>0</v>
      </c>
      <c r="H2572" s="70">
        <f t="shared" ref="H2572:I2573" si="683">H2573</f>
        <v>0</v>
      </c>
      <c r="I2572" s="70">
        <f t="shared" si="683"/>
        <v>0</v>
      </c>
      <c r="J2572" s="332"/>
      <c r="K2572" s="69"/>
      <c r="L2572" s="69"/>
      <c r="M2572" s="69"/>
      <c r="N2572" s="69"/>
      <c r="O2572" s="69"/>
      <c r="P2572" s="69"/>
      <c r="Q2572" s="69"/>
      <c r="R2572" s="69"/>
    </row>
    <row r="2573" spans="1:18" ht="34.5" customHeight="1">
      <c r="A2573" s="16" t="s">
        <v>94</v>
      </c>
      <c r="B2573" s="49">
        <v>793</v>
      </c>
      <c r="C2573" s="15" t="s">
        <v>167</v>
      </c>
      <c r="D2573" s="15" t="s">
        <v>167</v>
      </c>
      <c r="E2573" s="15" t="s">
        <v>582</v>
      </c>
      <c r="F2573" s="15" t="s">
        <v>338</v>
      </c>
      <c r="G2573" s="70">
        <f>G2574</f>
        <v>0</v>
      </c>
      <c r="H2573" s="70">
        <f t="shared" si="683"/>
        <v>0</v>
      </c>
      <c r="I2573" s="70">
        <f t="shared" si="683"/>
        <v>0</v>
      </c>
      <c r="J2573" s="332"/>
      <c r="K2573" s="69"/>
      <c r="L2573" s="69"/>
      <c r="M2573" s="69"/>
      <c r="N2573" s="69"/>
      <c r="O2573" s="69"/>
      <c r="P2573" s="69"/>
      <c r="Q2573" s="69"/>
      <c r="R2573" s="69"/>
    </row>
    <row r="2574" spans="1:18" ht="31.5" customHeight="1">
      <c r="A2574" s="16" t="s">
        <v>339</v>
      </c>
      <c r="B2574" s="49">
        <v>793</v>
      </c>
      <c r="C2574" s="15" t="s">
        <v>167</v>
      </c>
      <c r="D2574" s="15" t="s">
        <v>167</v>
      </c>
      <c r="E2574" s="15" t="s">
        <v>582</v>
      </c>
      <c r="F2574" s="15" t="s">
        <v>340</v>
      </c>
      <c r="G2574" s="70">
        <f>600099-0.1-546090-54008.9</f>
        <v>0</v>
      </c>
      <c r="H2574" s="70">
        <v>0</v>
      </c>
      <c r="I2574" s="70">
        <v>0</v>
      </c>
      <c r="J2574" s="332"/>
      <c r="K2574" s="69"/>
      <c r="L2574" s="69"/>
      <c r="M2574" s="69"/>
      <c r="N2574" s="69"/>
      <c r="O2574" s="69"/>
      <c r="P2574" s="69"/>
      <c r="Q2574" s="69"/>
      <c r="R2574" s="69"/>
    </row>
    <row r="2575" spans="1:18" ht="33" customHeight="1">
      <c r="A2575" s="16" t="s">
        <v>267</v>
      </c>
      <c r="B2575" s="49">
        <v>793</v>
      </c>
      <c r="C2575" s="15" t="s">
        <v>167</v>
      </c>
      <c r="D2575" s="15" t="s">
        <v>167</v>
      </c>
      <c r="E2575" s="15" t="s">
        <v>543</v>
      </c>
      <c r="F2575" s="15"/>
      <c r="G2575" s="70">
        <f>G2602+G2576+G2599+G2596+G2605+G2650+G2647</f>
        <v>3321630.68</v>
      </c>
      <c r="H2575" s="70">
        <f t="shared" ref="H2575:I2575" si="684">H2602+H2576+H2599+H2596+H2605</f>
        <v>0</v>
      </c>
      <c r="I2575" s="70">
        <f t="shared" si="684"/>
        <v>0</v>
      </c>
      <c r="J2575" s="172"/>
      <c r="K2575" s="69"/>
      <c r="L2575" s="69"/>
      <c r="M2575" s="69"/>
      <c r="N2575" s="69"/>
      <c r="O2575" s="69"/>
      <c r="P2575" s="69"/>
      <c r="Q2575" s="69"/>
      <c r="R2575" s="69"/>
    </row>
    <row r="2576" spans="1:18" ht="67.5" hidden="1" customHeight="1">
      <c r="A2576" s="37" t="s">
        <v>680</v>
      </c>
      <c r="B2576" s="49">
        <v>793</v>
      </c>
      <c r="C2576" s="15" t="s">
        <v>167</v>
      </c>
      <c r="D2576" s="15" t="s">
        <v>167</v>
      </c>
      <c r="E2576" s="15" t="s">
        <v>687</v>
      </c>
      <c r="F2576" s="15"/>
      <c r="G2576" s="70">
        <f>G2577</f>
        <v>0</v>
      </c>
      <c r="H2576" s="8">
        <v>0</v>
      </c>
      <c r="I2576" s="8">
        <v>0</v>
      </c>
      <c r="J2576" s="332"/>
      <c r="K2576" s="69"/>
      <c r="L2576" s="69"/>
      <c r="M2576" s="69"/>
      <c r="N2576" s="69"/>
      <c r="O2576" s="69"/>
      <c r="P2576" s="69"/>
      <c r="Q2576" s="69"/>
      <c r="R2576" s="69"/>
    </row>
    <row r="2577" spans="1:18" ht="21" hidden="1" customHeight="1">
      <c r="A2577" s="16" t="s">
        <v>152</v>
      </c>
      <c r="B2577" s="49">
        <v>793</v>
      </c>
      <c r="C2577" s="15" t="s">
        <v>167</v>
      </c>
      <c r="D2577" s="15" t="s">
        <v>167</v>
      </c>
      <c r="E2577" s="15" t="s">
        <v>687</v>
      </c>
      <c r="F2577" s="15" t="s">
        <v>153</v>
      </c>
      <c r="G2577" s="70">
        <f>G2578</f>
        <v>0</v>
      </c>
      <c r="H2577" s="8">
        <v>0</v>
      </c>
      <c r="I2577" s="8">
        <v>0</v>
      </c>
      <c r="J2577" s="332"/>
      <c r="K2577" s="69"/>
      <c r="L2577" s="69"/>
      <c r="M2577" s="69"/>
      <c r="N2577" s="69"/>
      <c r="O2577" s="69"/>
      <c r="P2577" s="69"/>
      <c r="Q2577" s="69"/>
      <c r="R2577" s="69"/>
    </row>
    <row r="2578" spans="1:18" ht="20.25" hidden="1" customHeight="1">
      <c r="A2578" s="16" t="s">
        <v>172</v>
      </c>
      <c r="B2578" s="49">
        <v>793</v>
      </c>
      <c r="C2578" s="15" t="s">
        <v>167</v>
      </c>
      <c r="D2578" s="15" t="s">
        <v>167</v>
      </c>
      <c r="E2578" s="15" t="s">
        <v>687</v>
      </c>
      <c r="F2578" s="15" t="s">
        <v>173</v>
      </c>
      <c r="G2578" s="70"/>
      <c r="H2578" s="8"/>
      <c r="I2578" s="8"/>
      <c r="J2578" s="332"/>
      <c r="K2578" s="69"/>
      <c r="L2578" s="69"/>
      <c r="M2578" s="69"/>
      <c r="N2578" s="69"/>
      <c r="O2578" s="69"/>
      <c r="P2578" s="69"/>
      <c r="Q2578" s="69"/>
      <c r="R2578" s="69"/>
    </row>
    <row r="2579" spans="1:18" ht="25.5" hidden="1" customHeight="1">
      <c r="A2579" s="37" t="s">
        <v>599</v>
      </c>
      <c r="B2579" s="49">
        <v>793</v>
      </c>
      <c r="C2579" s="15" t="s">
        <v>167</v>
      </c>
      <c r="D2579" s="15" t="s">
        <v>167</v>
      </c>
      <c r="E2579" s="15" t="s">
        <v>596</v>
      </c>
      <c r="F2579" s="15"/>
      <c r="G2579" s="70">
        <f>G2580</f>
        <v>0</v>
      </c>
      <c r="H2579" s="8">
        <v>0</v>
      </c>
      <c r="I2579" s="8">
        <v>0</v>
      </c>
      <c r="J2579" s="332"/>
      <c r="K2579" s="69"/>
      <c r="L2579" s="69"/>
      <c r="M2579" s="69"/>
      <c r="N2579" s="69"/>
      <c r="O2579" s="69"/>
      <c r="P2579" s="69"/>
      <c r="Q2579" s="69"/>
      <c r="R2579" s="69"/>
    </row>
    <row r="2580" spans="1:18" ht="39.75" hidden="1" customHeight="1">
      <c r="A2580" s="37" t="s">
        <v>598</v>
      </c>
      <c r="B2580" s="49">
        <v>793</v>
      </c>
      <c r="C2580" s="15" t="s">
        <v>167</v>
      </c>
      <c r="D2580" s="15" t="s">
        <v>167</v>
      </c>
      <c r="E2580" s="15" t="s">
        <v>597</v>
      </c>
      <c r="F2580" s="15"/>
      <c r="G2580" s="70">
        <f>G2581</f>
        <v>0</v>
      </c>
      <c r="H2580" s="8">
        <v>0</v>
      </c>
      <c r="I2580" s="8">
        <v>0</v>
      </c>
      <c r="J2580" s="332"/>
      <c r="K2580" s="69"/>
      <c r="L2580" s="69"/>
      <c r="M2580" s="69"/>
      <c r="N2580" s="69"/>
      <c r="O2580" s="69"/>
      <c r="P2580" s="69"/>
      <c r="Q2580" s="69"/>
      <c r="R2580" s="69"/>
    </row>
    <row r="2581" spans="1:18" ht="30.75" hidden="1" customHeight="1">
      <c r="A2581" s="16" t="s">
        <v>94</v>
      </c>
      <c r="B2581" s="49">
        <v>793</v>
      </c>
      <c r="C2581" s="15" t="s">
        <v>167</v>
      </c>
      <c r="D2581" s="15" t="s">
        <v>167</v>
      </c>
      <c r="E2581" s="15" t="s">
        <v>597</v>
      </c>
      <c r="F2581" s="15" t="s">
        <v>338</v>
      </c>
      <c r="G2581" s="70">
        <f>G2582</f>
        <v>0</v>
      </c>
      <c r="H2581" s="8">
        <v>0</v>
      </c>
      <c r="I2581" s="8">
        <v>0</v>
      </c>
      <c r="J2581" s="332"/>
      <c r="K2581" s="69"/>
      <c r="L2581" s="69"/>
      <c r="M2581" s="69"/>
      <c r="N2581" s="69"/>
      <c r="O2581" s="69"/>
      <c r="P2581" s="69"/>
      <c r="Q2581" s="69"/>
      <c r="R2581" s="69"/>
    </row>
    <row r="2582" spans="1:18" ht="30.75" hidden="1" customHeight="1">
      <c r="A2582" s="16" t="s">
        <v>339</v>
      </c>
      <c r="B2582" s="49">
        <v>793</v>
      </c>
      <c r="C2582" s="15" t="s">
        <v>167</v>
      </c>
      <c r="D2582" s="15" t="s">
        <v>167</v>
      </c>
      <c r="E2582" s="15" t="s">
        <v>597</v>
      </c>
      <c r="F2582" s="15" t="s">
        <v>340</v>
      </c>
      <c r="G2582" s="70"/>
      <c r="H2582" s="8">
        <v>0</v>
      </c>
      <c r="I2582" s="8">
        <v>0</v>
      </c>
      <c r="J2582" s="332"/>
      <c r="K2582" s="69"/>
      <c r="L2582" s="69"/>
      <c r="M2582" s="69"/>
      <c r="N2582" s="69"/>
      <c r="O2582" s="69"/>
      <c r="P2582" s="69"/>
      <c r="Q2582" s="69"/>
      <c r="R2582" s="69"/>
    </row>
    <row r="2583" spans="1:18" ht="55.5" hidden="1" customHeight="1">
      <c r="A2583" s="37" t="s">
        <v>704</v>
      </c>
      <c r="B2583" s="49">
        <v>793</v>
      </c>
      <c r="C2583" s="15" t="s">
        <v>167</v>
      </c>
      <c r="D2583" s="15" t="s">
        <v>167</v>
      </c>
      <c r="E2583" s="15" t="s">
        <v>688</v>
      </c>
      <c r="F2583" s="15"/>
      <c r="G2583" s="70">
        <f>G2584+G2586</f>
        <v>0</v>
      </c>
      <c r="H2583" s="70">
        <f t="shared" ref="H2583:I2583" si="685">H2584+H2586</f>
        <v>0</v>
      </c>
      <c r="I2583" s="70">
        <f t="shared" si="685"/>
        <v>0</v>
      </c>
      <c r="J2583" s="172"/>
      <c r="K2583" s="69"/>
      <c r="L2583" s="69"/>
      <c r="M2583" s="69"/>
      <c r="N2583" s="69"/>
      <c r="O2583" s="69"/>
      <c r="P2583" s="69"/>
      <c r="Q2583" s="69"/>
      <c r="R2583" s="69"/>
    </row>
    <row r="2584" spans="1:18" ht="27" hidden="1" customHeight="1">
      <c r="A2584" s="16" t="s">
        <v>94</v>
      </c>
      <c r="B2584" s="49">
        <v>793</v>
      </c>
      <c r="C2584" s="15" t="s">
        <v>167</v>
      </c>
      <c r="D2584" s="15" t="s">
        <v>167</v>
      </c>
      <c r="E2584" s="15" t="s">
        <v>582</v>
      </c>
      <c r="F2584" s="15" t="s">
        <v>338</v>
      </c>
      <c r="G2584" s="70">
        <f>G2585</f>
        <v>0</v>
      </c>
      <c r="H2584" s="8">
        <f>H2585</f>
        <v>0</v>
      </c>
      <c r="I2584" s="8">
        <v>0</v>
      </c>
      <c r="J2584" s="332"/>
      <c r="K2584" s="69"/>
      <c r="L2584" s="69"/>
      <c r="M2584" s="69"/>
      <c r="N2584" s="69"/>
      <c r="O2584" s="69"/>
      <c r="P2584" s="69"/>
      <c r="Q2584" s="69"/>
      <c r="R2584" s="69"/>
    </row>
    <row r="2585" spans="1:18" ht="18.75" hidden="1" customHeight="1">
      <c r="A2585" s="16" t="s">
        <v>339</v>
      </c>
      <c r="B2585" s="49">
        <v>793</v>
      </c>
      <c r="C2585" s="15" t="s">
        <v>167</v>
      </c>
      <c r="D2585" s="15" t="s">
        <v>167</v>
      </c>
      <c r="E2585" s="15" t="s">
        <v>582</v>
      </c>
      <c r="F2585" s="15" t="s">
        <v>340</v>
      </c>
      <c r="G2585" s="70"/>
      <c r="H2585" s="8"/>
      <c r="I2585" s="8">
        <v>0</v>
      </c>
      <c r="J2585" s="332"/>
      <c r="K2585" s="69"/>
      <c r="L2585" s="69"/>
      <c r="M2585" s="69"/>
      <c r="N2585" s="69"/>
      <c r="O2585" s="69"/>
      <c r="P2585" s="69"/>
      <c r="Q2585" s="69"/>
      <c r="R2585" s="69"/>
    </row>
    <row r="2586" spans="1:18" ht="39.75" hidden="1" customHeight="1">
      <c r="A2586" s="16" t="s">
        <v>35</v>
      </c>
      <c r="B2586" s="49">
        <v>793</v>
      </c>
      <c r="C2586" s="15" t="s">
        <v>167</v>
      </c>
      <c r="D2586" s="15" t="s">
        <v>167</v>
      </c>
      <c r="E2586" s="15" t="s">
        <v>689</v>
      </c>
      <c r="F2586" s="15" t="s">
        <v>338</v>
      </c>
      <c r="G2586" s="70">
        <f>G2587</f>
        <v>0</v>
      </c>
      <c r="H2586" s="8"/>
      <c r="I2586" s="8"/>
      <c r="J2586" s="332"/>
      <c r="K2586" s="69"/>
      <c r="L2586" s="69"/>
      <c r="M2586" s="69"/>
      <c r="N2586" s="69"/>
      <c r="O2586" s="69"/>
      <c r="P2586" s="69"/>
      <c r="Q2586" s="69"/>
      <c r="R2586" s="69"/>
    </row>
    <row r="2587" spans="1:18" ht="39" hidden="1" customHeight="1">
      <c r="A2587" s="16" t="s">
        <v>37</v>
      </c>
      <c r="B2587" s="49">
        <v>793</v>
      </c>
      <c r="C2587" s="15" t="s">
        <v>167</v>
      </c>
      <c r="D2587" s="15" t="s">
        <v>167</v>
      </c>
      <c r="E2587" s="15" t="s">
        <v>688</v>
      </c>
      <c r="F2587" s="15" t="s">
        <v>340</v>
      </c>
      <c r="G2587" s="70">
        <f>358104.72+400000-758104.72</f>
        <v>0</v>
      </c>
      <c r="H2587" s="8"/>
      <c r="I2587" s="8"/>
      <c r="J2587" s="332"/>
      <c r="K2587" s="69"/>
      <c r="L2587" s="69"/>
      <c r="M2587" s="69"/>
      <c r="N2587" s="69"/>
      <c r="O2587" s="69"/>
      <c r="P2587" s="69"/>
      <c r="Q2587" s="69"/>
      <c r="R2587" s="69"/>
    </row>
    <row r="2588" spans="1:18" ht="57" hidden="1" customHeight="1">
      <c r="A2588" s="37" t="s">
        <v>704</v>
      </c>
      <c r="B2588" s="49">
        <v>793</v>
      </c>
      <c r="C2588" s="15" t="s">
        <v>167</v>
      </c>
      <c r="D2588" s="15" t="s">
        <v>167</v>
      </c>
      <c r="E2588" s="15" t="s">
        <v>582</v>
      </c>
      <c r="F2588" s="15"/>
      <c r="G2588" s="70">
        <f>G2589+G2591</f>
        <v>0</v>
      </c>
      <c r="H2588" s="70">
        <f t="shared" ref="H2588:I2588" si="686">H2589+H2591</f>
        <v>0</v>
      </c>
      <c r="I2588" s="70">
        <f t="shared" si="686"/>
        <v>0</v>
      </c>
      <c r="J2588" s="172"/>
      <c r="K2588" s="69"/>
      <c r="L2588" s="69"/>
      <c r="M2588" s="69"/>
      <c r="N2588" s="69"/>
      <c r="O2588" s="69"/>
      <c r="P2588" s="69"/>
      <c r="Q2588" s="69"/>
      <c r="R2588" s="69"/>
    </row>
    <row r="2589" spans="1:18" ht="27" hidden="1" customHeight="1">
      <c r="A2589" s="16" t="s">
        <v>94</v>
      </c>
      <c r="B2589" s="49">
        <v>793</v>
      </c>
      <c r="C2589" s="15" t="s">
        <v>167</v>
      </c>
      <c r="D2589" s="15" t="s">
        <v>167</v>
      </c>
      <c r="E2589" s="15" t="s">
        <v>582</v>
      </c>
      <c r="F2589" s="15" t="s">
        <v>338</v>
      </c>
      <c r="G2589" s="70">
        <f>G2590</f>
        <v>0</v>
      </c>
      <c r="H2589" s="8">
        <f>H2590</f>
        <v>0</v>
      </c>
      <c r="I2589" s="8">
        <v>0</v>
      </c>
      <c r="J2589" s="332"/>
      <c r="K2589" s="69"/>
      <c r="L2589" s="69"/>
      <c r="M2589" s="69"/>
      <c r="N2589" s="69"/>
      <c r="O2589" s="69"/>
      <c r="P2589" s="69"/>
      <c r="Q2589" s="69"/>
      <c r="R2589" s="69"/>
    </row>
    <row r="2590" spans="1:18" ht="18.75" hidden="1" customHeight="1">
      <c r="A2590" s="16" t="s">
        <v>339</v>
      </c>
      <c r="B2590" s="49">
        <v>793</v>
      </c>
      <c r="C2590" s="15" t="s">
        <v>167</v>
      </c>
      <c r="D2590" s="15" t="s">
        <v>167</v>
      </c>
      <c r="E2590" s="15" t="s">
        <v>582</v>
      </c>
      <c r="F2590" s="15" t="s">
        <v>340</v>
      </c>
      <c r="G2590" s="70"/>
      <c r="H2590" s="8"/>
      <c r="I2590" s="8">
        <v>0</v>
      </c>
      <c r="J2590" s="332"/>
      <c r="K2590" s="69"/>
      <c r="L2590" s="69"/>
      <c r="M2590" s="69"/>
      <c r="N2590" s="69"/>
      <c r="O2590" s="69"/>
      <c r="P2590" s="69"/>
      <c r="Q2590" s="69"/>
      <c r="R2590" s="69"/>
    </row>
    <row r="2591" spans="1:18" ht="30" hidden="1" customHeight="1">
      <c r="A2591" s="16" t="s">
        <v>35</v>
      </c>
      <c r="B2591" s="49">
        <v>793</v>
      </c>
      <c r="C2591" s="15" t="s">
        <v>167</v>
      </c>
      <c r="D2591" s="15" t="s">
        <v>167</v>
      </c>
      <c r="E2591" s="15" t="s">
        <v>582</v>
      </c>
      <c r="F2591" s="15" t="s">
        <v>338</v>
      </c>
      <c r="G2591" s="70">
        <f>G2592</f>
        <v>0</v>
      </c>
      <c r="H2591" s="8">
        <v>0</v>
      </c>
      <c r="I2591" s="8">
        <v>0</v>
      </c>
      <c r="J2591" s="332"/>
      <c r="K2591" s="69"/>
      <c r="L2591" s="69"/>
      <c r="M2591" s="69"/>
      <c r="N2591" s="69"/>
      <c r="O2591" s="69"/>
      <c r="P2591" s="69"/>
      <c r="Q2591" s="69"/>
      <c r="R2591" s="69"/>
    </row>
    <row r="2592" spans="1:18" ht="30.75" hidden="1" customHeight="1">
      <c r="A2592" s="16" t="s">
        <v>37</v>
      </c>
      <c r="B2592" s="49">
        <v>793</v>
      </c>
      <c r="C2592" s="15" t="s">
        <v>167</v>
      </c>
      <c r="D2592" s="15" t="s">
        <v>167</v>
      </c>
      <c r="E2592" s="15" t="s">
        <v>582</v>
      </c>
      <c r="F2592" s="15" t="s">
        <v>340</v>
      </c>
      <c r="G2592" s="70"/>
      <c r="H2592" s="8"/>
      <c r="I2592" s="8"/>
      <c r="J2592" s="332"/>
      <c r="K2592" s="69"/>
      <c r="L2592" s="69"/>
      <c r="M2592" s="69"/>
      <c r="N2592" s="69"/>
      <c r="O2592" s="69"/>
      <c r="P2592" s="69"/>
      <c r="Q2592" s="69"/>
      <c r="R2592" s="69"/>
    </row>
    <row r="2593" spans="1:18" s="3" customFormat="1" ht="33.75" hidden="1" customHeight="1">
      <c r="A2593" s="16" t="s">
        <v>482</v>
      </c>
      <c r="B2593" s="49">
        <v>793</v>
      </c>
      <c r="C2593" s="15" t="s">
        <v>167</v>
      </c>
      <c r="D2593" s="15" t="s">
        <v>167</v>
      </c>
      <c r="E2593" s="15" t="s">
        <v>483</v>
      </c>
      <c r="F2593" s="15"/>
      <c r="G2593" s="70">
        <f>G2594</f>
        <v>0</v>
      </c>
      <c r="H2593" s="8">
        <v>0</v>
      </c>
      <c r="I2593" s="8">
        <v>0</v>
      </c>
      <c r="J2593" s="332"/>
      <c r="K2593" s="62"/>
      <c r="L2593" s="62"/>
      <c r="M2593" s="62"/>
      <c r="N2593" s="62"/>
      <c r="O2593" s="62"/>
      <c r="P2593" s="62"/>
      <c r="Q2593" s="62"/>
      <c r="R2593" s="62"/>
    </row>
    <row r="2594" spans="1:18" s="3" customFormat="1" ht="38.25" hidden="1" customHeight="1">
      <c r="A2594" s="16" t="s">
        <v>35</v>
      </c>
      <c r="B2594" s="49">
        <v>793</v>
      </c>
      <c r="C2594" s="15" t="s">
        <v>167</v>
      </c>
      <c r="D2594" s="15" t="s">
        <v>167</v>
      </c>
      <c r="E2594" s="15" t="s">
        <v>483</v>
      </c>
      <c r="F2594" s="15" t="s">
        <v>36</v>
      </c>
      <c r="G2594" s="70">
        <f>G2595</f>
        <v>0</v>
      </c>
      <c r="H2594" s="8">
        <v>0</v>
      </c>
      <c r="I2594" s="8">
        <v>0</v>
      </c>
      <c r="J2594" s="332"/>
      <c r="K2594" s="62"/>
      <c r="L2594" s="62"/>
      <c r="M2594" s="62"/>
      <c r="N2594" s="62"/>
      <c r="O2594" s="62"/>
      <c r="P2594" s="62"/>
      <c r="Q2594" s="62"/>
      <c r="R2594" s="62"/>
    </row>
    <row r="2595" spans="1:18" s="3" customFormat="1" ht="38.25" hidden="1" customHeight="1">
      <c r="A2595" s="16" t="s">
        <v>37</v>
      </c>
      <c r="B2595" s="49">
        <v>793</v>
      </c>
      <c r="C2595" s="15" t="s">
        <v>167</v>
      </c>
      <c r="D2595" s="15" t="s">
        <v>167</v>
      </c>
      <c r="E2595" s="15" t="s">
        <v>483</v>
      </c>
      <c r="F2595" s="15" t="s">
        <v>38</v>
      </c>
      <c r="G2595" s="70"/>
      <c r="H2595" s="8">
        <v>0</v>
      </c>
      <c r="I2595" s="8">
        <v>0</v>
      </c>
      <c r="J2595" s="332"/>
      <c r="K2595" s="62"/>
      <c r="L2595" s="62"/>
      <c r="M2595" s="62"/>
      <c r="N2595" s="62"/>
      <c r="O2595" s="62"/>
      <c r="P2595" s="62"/>
      <c r="Q2595" s="62"/>
      <c r="R2595" s="62"/>
    </row>
    <row r="2596" spans="1:18" ht="67.5" hidden="1" customHeight="1">
      <c r="A2596" s="37" t="s">
        <v>949</v>
      </c>
      <c r="B2596" s="49">
        <v>793</v>
      </c>
      <c r="C2596" s="15" t="s">
        <v>167</v>
      </c>
      <c r="D2596" s="15" t="s">
        <v>167</v>
      </c>
      <c r="E2596" s="15" t="s">
        <v>582</v>
      </c>
      <c r="F2596" s="15"/>
      <c r="G2596" s="70">
        <f>G2597</f>
        <v>0</v>
      </c>
      <c r="H2596" s="8">
        <v>0</v>
      </c>
      <c r="I2596" s="8">
        <v>0</v>
      </c>
      <c r="J2596" s="332"/>
      <c r="K2596" s="69"/>
      <c r="L2596" s="69"/>
      <c r="M2596" s="69"/>
      <c r="N2596" s="69"/>
      <c r="O2596" s="69"/>
      <c r="P2596" s="69"/>
      <c r="Q2596" s="69"/>
      <c r="R2596" s="69"/>
    </row>
    <row r="2597" spans="1:18" ht="44.25" hidden="1" customHeight="1">
      <c r="A2597" s="16" t="s">
        <v>94</v>
      </c>
      <c r="B2597" s="49">
        <v>793</v>
      </c>
      <c r="C2597" s="15" t="s">
        <v>167</v>
      </c>
      <c r="D2597" s="15" t="s">
        <v>167</v>
      </c>
      <c r="E2597" s="15" t="s">
        <v>582</v>
      </c>
      <c r="F2597" s="15" t="s">
        <v>338</v>
      </c>
      <c r="G2597" s="70">
        <f>G2598</f>
        <v>0</v>
      </c>
      <c r="H2597" s="8">
        <v>0</v>
      </c>
      <c r="I2597" s="8">
        <v>0</v>
      </c>
      <c r="J2597" s="332"/>
      <c r="K2597" s="69"/>
      <c r="L2597" s="69"/>
      <c r="M2597" s="69"/>
      <c r="N2597" s="69"/>
      <c r="O2597" s="69"/>
      <c r="P2597" s="69"/>
      <c r="Q2597" s="69"/>
      <c r="R2597" s="69"/>
    </row>
    <row r="2598" spans="1:18" ht="20.25" hidden="1" customHeight="1">
      <c r="A2598" s="16" t="s">
        <v>339</v>
      </c>
      <c r="B2598" s="49">
        <v>793</v>
      </c>
      <c r="C2598" s="15" t="s">
        <v>167</v>
      </c>
      <c r="D2598" s="15" t="s">
        <v>167</v>
      </c>
      <c r="E2598" s="15" t="s">
        <v>582</v>
      </c>
      <c r="F2598" s="15" t="s">
        <v>340</v>
      </c>
      <c r="G2598" s="335"/>
      <c r="H2598" s="8"/>
      <c r="I2598" s="8"/>
      <c r="J2598" s="332"/>
      <c r="K2598" s="69"/>
      <c r="L2598" s="69"/>
      <c r="M2598" s="69"/>
      <c r="N2598" s="69"/>
      <c r="O2598" s="69"/>
      <c r="P2598" s="69"/>
      <c r="Q2598" s="69"/>
      <c r="R2598" s="69"/>
    </row>
    <row r="2599" spans="1:18" ht="70.5" hidden="1" customHeight="1">
      <c r="A2599" s="37" t="s">
        <v>786</v>
      </c>
      <c r="B2599" s="49">
        <v>793</v>
      </c>
      <c r="C2599" s="15" t="s">
        <v>167</v>
      </c>
      <c r="D2599" s="15" t="s">
        <v>167</v>
      </c>
      <c r="E2599" s="15" t="s">
        <v>686</v>
      </c>
      <c r="F2599" s="15"/>
      <c r="G2599" s="70">
        <f>G2600</f>
        <v>0</v>
      </c>
      <c r="H2599" s="8">
        <v>0</v>
      </c>
      <c r="I2599" s="8">
        <v>0</v>
      </c>
      <c r="J2599" s="332"/>
      <c r="K2599" s="69"/>
      <c r="L2599" s="69"/>
      <c r="M2599" s="69"/>
      <c r="N2599" s="69"/>
      <c r="O2599" s="69"/>
      <c r="P2599" s="69"/>
      <c r="Q2599" s="69"/>
      <c r="R2599" s="69"/>
    </row>
    <row r="2600" spans="1:18" ht="21" hidden="1" customHeight="1">
      <c r="A2600" s="16" t="s">
        <v>152</v>
      </c>
      <c r="B2600" s="49">
        <v>793</v>
      </c>
      <c r="C2600" s="15" t="s">
        <v>167</v>
      </c>
      <c r="D2600" s="15" t="s">
        <v>167</v>
      </c>
      <c r="E2600" s="15" t="s">
        <v>686</v>
      </c>
      <c r="F2600" s="15" t="s">
        <v>153</v>
      </c>
      <c r="G2600" s="70">
        <f>G2601</f>
        <v>0</v>
      </c>
      <c r="H2600" s="8">
        <v>0</v>
      </c>
      <c r="I2600" s="8">
        <v>0</v>
      </c>
      <c r="J2600" s="332"/>
      <c r="K2600" s="69"/>
      <c r="L2600" s="69"/>
      <c r="M2600" s="69"/>
      <c r="N2600" s="69"/>
      <c r="O2600" s="69"/>
      <c r="P2600" s="69"/>
      <c r="Q2600" s="69"/>
      <c r="R2600" s="69"/>
    </row>
    <row r="2601" spans="1:18" ht="20.25" hidden="1" customHeight="1">
      <c r="A2601" s="16" t="s">
        <v>172</v>
      </c>
      <c r="B2601" s="49">
        <v>793</v>
      </c>
      <c r="C2601" s="15" t="s">
        <v>167</v>
      </c>
      <c r="D2601" s="15" t="s">
        <v>167</v>
      </c>
      <c r="E2601" s="15" t="s">
        <v>686</v>
      </c>
      <c r="F2601" s="15" t="s">
        <v>173</v>
      </c>
      <c r="G2601" s="70"/>
      <c r="H2601" s="8"/>
      <c r="I2601" s="8"/>
      <c r="J2601" s="332"/>
      <c r="K2601" s="69"/>
      <c r="L2601" s="69"/>
      <c r="M2601" s="69"/>
      <c r="N2601" s="69"/>
      <c r="O2601" s="69"/>
      <c r="P2601" s="69"/>
      <c r="Q2601" s="69"/>
      <c r="R2601" s="69"/>
    </row>
    <row r="2602" spans="1:18" ht="57" hidden="1" customHeight="1">
      <c r="A2602" s="37" t="s">
        <v>833</v>
      </c>
      <c r="B2602" s="49">
        <v>793</v>
      </c>
      <c r="C2602" s="15" t="s">
        <v>167</v>
      </c>
      <c r="D2602" s="15" t="s">
        <v>167</v>
      </c>
      <c r="E2602" s="15" t="s">
        <v>832</v>
      </c>
      <c r="F2602" s="15"/>
      <c r="G2602" s="70">
        <f>G2603</f>
        <v>0</v>
      </c>
      <c r="H2602" s="70">
        <f t="shared" ref="H2602:I2602" si="687">H2603</f>
        <v>0</v>
      </c>
      <c r="I2602" s="70">
        <f t="shared" si="687"/>
        <v>0</v>
      </c>
      <c r="J2602" s="172"/>
      <c r="K2602" s="69"/>
      <c r="L2602" s="69"/>
      <c r="M2602" s="69"/>
      <c r="N2602" s="69"/>
      <c r="O2602" s="69"/>
      <c r="P2602" s="69"/>
      <c r="Q2602" s="69"/>
      <c r="R2602" s="69"/>
    </row>
    <row r="2603" spans="1:18" ht="27" hidden="1" customHeight="1">
      <c r="A2603" s="16" t="s">
        <v>62</v>
      </c>
      <c r="B2603" s="49">
        <v>793</v>
      </c>
      <c r="C2603" s="15" t="s">
        <v>167</v>
      </c>
      <c r="D2603" s="15" t="s">
        <v>167</v>
      </c>
      <c r="E2603" s="15" t="s">
        <v>832</v>
      </c>
      <c r="F2603" s="15" t="s">
        <v>63</v>
      </c>
      <c r="G2603" s="70">
        <f>G2604</f>
        <v>0</v>
      </c>
      <c r="H2603" s="8">
        <f>H2604</f>
        <v>0</v>
      </c>
      <c r="I2603" s="8">
        <f>I2604</f>
        <v>0</v>
      </c>
      <c r="J2603" s="332"/>
      <c r="K2603" s="69"/>
      <c r="L2603" s="69"/>
      <c r="M2603" s="69"/>
      <c r="N2603" s="69"/>
      <c r="O2603" s="69"/>
      <c r="P2603" s="69"/>
      <c r="Q2603" s="69"/>
      <c r="R2603" s="69"/>
    </row>
    <row r="2604" spans="1:18" ht="18.75" hidden="1" customHeight="1">
      <c r="A2604" s="16" t="s">
        <v>174</v>
      </c>
      <c r="B2604" s="49">
        <v>793</v>
      </c>
      <c r="C2604" s="15" t="s">
        <v>167</v>
      </c>
      <c r="D2604" s="15" t="s">
        <v>167</v>
      </c>
      <c r="E2604" s="15" t="s">
        <v>832</v>
      </c>
      <c r="F2604" s="15" t="s">
        <v>175</v>
      </c>
      <c r="G2604" s="70">
        <f>450000-450000</f>
        <v>0</v>
      </c>
      <c r="H2604" s="70">
        <v>0</v>
      </c>
      <c r="I2604" s="70">
        <v>0</v>
      </c>
      <c r="J2604" s="172"/>
      <c r="K2604" s="69"/>
      <c r="L2604" s="69"/>
      <c r="M2604" s="69"/>
      <c r="N2604" s="69"/>
      <c r="O2604" s="69"/>
      <c r="P2604" s="69"/>
      <c r="Q2604" s="69"/>
      <c r="R2604" s="69"/>
    </row>
    <row r="2605" spans="1:18" ht="28.5" customHeight="1">
      <c r="A2605" s="37" t="s">
        <v>267</v>
      </c>
      <c r="B2605" s="49">
        <v>793</v>
      </c>
      <c r="C2605" s="15" t="s">
        <v>167</v>
      </c>
      <c r="D2605" s="15" t="s">
        <v>167</v>
      </c>
      <c r="E2605" s="15" t="s">
        <v>544</v>
      </c>
      <c r="F2605" s="15"/>
      <c r="G2605" s="70">
        <f>G2606</f>
        <v>3321630.68</v>
      </c>
      <c r="H2605" s="70">
        <f t="shared" ref="H2605:I2606" si="688">H2606</f>
        <v>0</v>
      </c>
      <c r="I2605" s="70">
        <f t="shared" si="688"/>
        <v>0</v>
      </c>
      <c r="J2605" s="332"/>
      <c r="K2605" s="69"/>
      <c r="L2605" s="69"/>
      <c r="M2605" s="69"/>
      <c r="N2605" s="69"/>
      <c r="O2605" s="69"/>
      <c r="P2605" s="69"/>
      <c r="Q2605" s="69"/>
      <c r="R2605" s="69"/>
    </row>
    <row r="2606" spans="1:18" ht="27.75" customHeight="1">
      <c r="A2606" s="16" t="s">
        <v>94</v>
      </c>
      <c r="B2606" s="49">
        <v>793</v>
      </c>
      <c r="C2606" s="15" t="s">
        <v>167</v>
      </c>
      <c r="D2606" s="15" t="s">
        <v>167</v>
      </c>
      <c r="E2606" s="15" t="s">
        <v>544</v>
      </c>
      <c r="F2606" s="15" t="s">
        <v>338</v>
      </c>
      <c r="G2606" s="70">
        <f>G2607</f>
        <v>3321630.68</v>
      </c>
      <c r="H2606" s="70">
        <f t="shared" si="688"/>
        <v>0</v>
      </c>
      <c r="I2606" s="70">
        <f t="shared" si="688"/>
        <v>0</v>
      </c>
      <c r="J2606" s="332"/>
      <c r="K2606" s="69"/>
      <c r="L2606" s="69"/>
      <c r="M2606" s="69"/>
      <c r="N2606" s="69"/>
      <c r="O2606" s="69"/>
      <c r="P2606" s="69"/>
      <c r="Q2606" s="69"/>
      <c r="R2606" s="69"/>
    </row>
    <row r="2607" spans="1:18" ht="31.5" customHeight="1">
      <c r="A2607" s="16" t="s">
        <v>339</v>
      </c>
      <c r="B2607" s="49">
        <v>793</v>
      </c>
      <c r="C2607" s="15" t="s">
        <v>167</v>
      </c>
      <c r="D2607" s="15" t="s">
        <v>167</v>
      </c>
      <c r="E2607" s="15" t="s">
        <v>544</v>
      </c>
      <c r="F2607" s="84" t="s">
        <v>340</v>
      </c>
      <c r="G2607" s="70">
        <v>3321630.68</v>
      </c>
      <c r="H2607" s="70">
        <v>0</v>
      </c>
      <c r="I2607" s="70">
        <v>0</v>
      </c>
      <c r="J2607" s="332"/>
      <c r="K2607" s="69"/>
      <c r="L2607" s="69"/>
      <c r="M2607" s="69"/>
      <c r="N2607" s="69"/>
      <c r="O2607" s="69"/>
      <c r="P2607" s="69"/>
      <c r="Q2607" s="69"/>
      <c r="R2607" s="69"/>
    </row>
    <row r="2608" spans="1:18" s="22" customFormat="1" ht="22.5" customHeight="1">
      <c r="A2608" s="34" t="s">
        <v>2</v>
      </c>
      <c r="B2608" s="19">
        <v>793</v>
      </c>
      <c r="C2608" s="36" t="s">
        <v>157</v>
      </c>
      <c r="D2608" s="36"/>
      <c r="E2608" s="36"/>
      <c r="F2608" s="36"/>
      <c r="G2608" s="71">
        <f>G2609</f>
        <v>5207859.6000000006</v>
      </c>
      <c r="H2608" s="71">
        <f t="shared" ref="H2608:I2608" si="689">H2609</f>
        <v>321582.24</v>
      </c>
      <c r="I2608" s="71">
        <f t="shared" si="689"/>
        <v>25000</v>
      </c>
      <c r="J2608" s="323">
        <f>G2629+G2631+G2638+G2641+G2648</f>
        <v>2641569.7400000002</v>
      </c>
      <c r="K2608" s="61"/>
      <c r="L2608" s="61"/>
      <c r="M2608" s="61"/>
      <c r="N2608" s="61"/>
      <c r="O2608" s="61"/>
      <c r="P2608" s="61"/>
      <c r="Q2608" s="243"/>
      <c r="R2608" s="61"/>
    </row>
    <row r="2609" spans="1:18" s="3" customFormat="1" ht="24.75" customHeight="1">
      <c r="A2609" s="16" t="s">
        <v>342</v>
      </c>
      <c r="B2609" s="49">
        <v>793</v>
      </c>
      <c r="C2609" s="15" t="s">
        <v>157</v>
      </c>
      <c r="D2609" s="15" t="s">
        <v>167</v>
      </c>
      <c r="E2609" s="15"/>
      <c r="F2609" s="15"/>
      <c r="G2609" s="70">
        <f>G2620+G2610+G2679</f>
        <v>5207859.6000000006</v>
      </c>
      <c r="H2609" s="70">
        <f t="shared" ref="H2609:I2609" si="690">H2620+H2610</f>
        <v>321582.24</v>
      </c>
      <c r="I2609" s="70">
        <f t="shared" si="690"/>
        <v>25000</v>
      </c>
      <c r="J2609" s="172"/>
      <c r="K2609" s="62"/>
      <c r="L2609" s="62"/>
      <c r="M2609" s="62"/>
      <c r="N2609" s="62"/>
      <c r="O2609" s="62"/>
      <c r="P2609" s="62"/>
      <c r="Q2609" s="62"/>
      <c r="R2609" s="62"/>
    </row>
    <row r="2610" spans="1:18" ht="41.25" customHeight="1">
      <c r="A2610" s="16" t="s">
        <v>1129</v>
      </c>
      <c r="B2610" s="14">
        <v>793</v>
      </c>
      <c r="C2610" s="15" t="s">
        <v>157</v>
      </c>
      <c r="D2610" s="15" t="s">
        <v>167</v>
      </c>
      <c r="E2610" s="15" t="s">
        <v>257</v>
      </c>
      <c r="F2610" s="15"/>
      <c r="G2610" s="70">
        <f>G2611+G2614</f>
        <v>890443.7</v>
      </c>
      <c r="H2610" s="70">
        <f t="shared" ref="H2610:I2610" si="691">H2611</f>
        <v>0</v>
      </c>
      <c r="I2610" s="70">
        <f t="shared" si="691"/>
        <v>0</v>
      </c>
      <c r="J2610" s="172"/>
      <c r="K2610" s="69"/>
      <c r="L2610" s="69"/>
      <c r="M2610" s="69"/>
      <c r="N2610" s="69"/>
      <c r="O2610" s="69"/>
      <c r="P2610" s="69"/>
      <c r="Q2610" s="69"/>
      <c r="R2610" s="69"/>
    </row>
    <row r="2611" spans="1:18" ht="44.25" hidden="1" customHeight="1">
      <c r="A2611" s="50" t="s">
        <v>529</v>
      </c>
      <c r="B2611" s="14">
        <v>793</v>
      </c>
      <c r="C2611" s="15" t="s">
        <v>157</v>
      </c>
      <c r="D2611" s="15" t="s">
        <v>167</v>
      </c>
      <c r="E2611" s="15" t="s">
        <v>1152</v>
      </c>
      <c r="F2611" s="15"/>
      <c r="G2611" s="70">
        <f>G2612</f>
        <v>0</v>
      </c>
      <c r="H2611" s="70">
        <f t="shared" ref="H2611:I2612" si="692">H2612</f>
        <v>0</v>
      </c>
      <c r="I2611" s="70">
        <f t="shared" si="692"/>
        <v>0</v>
      </c>
      <c r="J2611" s="172"/>
      <c r="K2611" s="69"/>
      <c r="L2611" s="69"/>
      <c r="M2611" s="69"/>
      <c r="N2611" s="69"/>
      <c r="O2611" s="69"/>
      <c r="P2611" s="69"/>
      <c r="Q2611" s="69"/>
      <c r="R2611" s="69"/>
    </row>
    <row r="2612" spans="1:18" ht="29.25" hidden="1" customHeight="1">
      <c r="A2612" s="16" t="s">
        <v>35</v>
      </c>
      <c r="B2612" s="14">
        <v>793</v>
      </c>
      <c r="C2612" s="15" t="s">
        <v>157</v>
      </c>
      <c r="D2612" s="15" t="s">
        <v>167</v>
      </c>
      <c r="E2612" s="15" t="s">
        <v>1152</v>
      </c>
      <c r="F2612" s="15" t="s">
        <v>36</v>
      </c>
      <c r="G2612" s="70">
        <f>G2613</f>
        <v>0</v>
      </c>
      <c r="H2612" s="70">
        <f t="shared" si="692"/>
        <v>0</v>
      </c>
      <c r="I2612" s="70">
        <f t="shared" si="692"/>
        <v>0</v>
      </c>
      <c r="J2612" s="172"/>
      <c r="K2612" s="69"/>
      <c r="L2612" s="69"/>
      <c r="M2612" s="69"/>
      <c r="N2612" s="69"/>
      <c r="O2612" s="69"/>
      <c r="P2612" s="69"/>
      <c r="Q2612" s="69"/>
      <c r="R2612" s="69"/>
    </row>
    <row r="2613" spans="1:18" ht="30.75" hidden="1" customHeight="1">
      <c r="A2613" s="16" t="s">
        <v>37</v>
      </c>
      <c r="B2613" s="14">
        <v>793</v>
      </c>
      <c r="C2613" s="15" t="s">
        <v>157</v>
      </c>
      <c r="D2613" s="15" t="s">
        <v>167</v>
      </c>
      <c r="E2613" s="15" t="s">
        <v>1152</v>
      </c>
      <c r="F2613" s="15" t="s">
        <v>38</v>
      </c>
      <c r="G2613" s="70">
        <f>273684-273684</f>
        <v>0</v>
      </c>
      <c r="H2613" s="70">
        <v>0</v>
      </c>
      <c r="I2613" s="70">
        <v>0</v>
      </c>
      <c r="J2613" s="172"/>
      <c r="K2613" s="69"/>
      <c r="L2613" s="69"/>
      <c r="M2613" s="69"/>
      <c r="N2613" s="69"/>
      <c r="O2613" s="69"/>
      <c r="P2613" s="69"/>
      <c r="Q2613" s="69"/>
      <c r="R2613" s="69"/>
    </row>
    <row r="2614" spans="1:18" ht="44.25" customHeight="1">
      <c r="A2614" s="50" t="s">
        <v>1293</v>
      </c>
      <c r="B2614" s="14">
        <v>793</v>
      </c>
      <c r="C2614" s="15" t="s">
        <v>157</v>
      </c>
      <c r="D2614" s="15" t="s">
        <v>167</v>
      </c>
      <c r="E2614" s="15" t="s">
        <v>1292</v>
      </c>
      <c r="F2614" s="15"/>
      <c r="G2614" s="70">
        <f>G2615</f>
        <v>890443.7</v>
      </c>
      <c r="H2614" s="70">
        <f>H2615</f>
        <v>0</v>
      </c>
      <c r="I2614" s="70">
        <f>I2615</f>
        <v>0</v>
      </c>
      <c r="J2614" s="172"/>
      <c r="K2614" s="69"/>
      <c r="L2614" s="69"/>
      <c r="M2614" s="69"/>
      <c r="N2614" s="69"/>
      <c r="O2614" s="69"/>
      <c r="P2614" s="69"/>
      <c r="Q2614" s="69"/>
      <c r="R2614" s="69"/>
    </row>
    <row r="2615" spans="1:18" ht="32.25" customHeight="1">
      <c r="A2615" s="16" t="s">
        <v>35</v>
      </c>
      <c r="B2615" s="14">
        <v>793</v>
      </c>
      <c r="C2615" s="15" t="s">
        <v>157</v>
      </c>
      <c r="D2615" s="15" t="s">
        <v>167</v>
      </c>
      <c r="E2615" s="15" t="s">
        <v>1292</v>
      </c>
      <c r="F2615" s="15" t="s">
        <v>36</v>
      </c>
      <c r="G2615" s="70">
        <f>G2616</f>
        <v>890443.7</v>
      </c>
      <c r="H2615" s="70">
        <f t="shared" ref="H2615:I2615" si="693">H2616</f>
        <v>0</v>
      </c>
      <c r="I2615" s="70">
        <f t="shared" si="693"/>
        <v>0</v>
      </c>
      <c r="J2615" s="172"/>
      <c r="K2615" s="69"/>
      <c r="L2615" s="69"/>
      <c r="M2615" s="69"/>
      <c r="N2615" s="69"/>
      <c r="O2615" s="69"/>
      <c r="P2615" s="69"/>
      <c r="Q2615" s="69"/>
      <c r="R2615" s="69"/>
    </row>
    <row r="2616" spans="1:18" ht="30.75" customHeight="1">
      <c r="A2616" s="16" t="s">
        <v>37</v>
      </c>
      <c r="B2616" s="14">
        <v>793</v>
      </c>
      <c r="C2616" s="15" t="s">
        <v>157</v>
      </c>
      <c r="D2616" s="15" t="s">
        <v>167</v>
      </c>
      <c r="E2616" s="15" t="s">
        <v>1292</v>
      </c>
      <c r="F2616" s="15" t="s">
        <v>38</v>
      </c>
      <c r="G2616" s="70">
        <f>621754.4+273683.34-4994.04</f>
        <v>890443.7</v>
      </c>
      <c r="H2616" s="70">
        <v>0</v>
      </c>
      <c r="I2616" s="70">
        <v>0</v>
      </c>
      <c r="J2616" s="172"/>
      <c r="K2616" s="69"/>
      <c r="L2616" s="69"/>
      <c r="M2616" s="69"/>
      <c r="N2616" s="69"/>
      <c r="O2616" s="69"/>
      <c r="P2616" s="69"/>
      <c r="Q2616" s="69"/>
      <c r="R2616" s="69"/>
    </row>
    <row r="2617" spans="1:18" ht="44.25" hidden="1" customHeight="1">
      <c r="A2617" s="50"/>
      <c r="B2617" s="14"/>
      <c r="C2617" s="15"/>
      <c r="D2617" s="15"/>
      <c r="E2617" s="15"/>
      <c r="F2617" s="15"/>
      <c r="G2617" s="70"/>
      <c r="H2617" s="70"/>
      <c r="I2617" s="70"/>
      <c r="J2617" s="172"/>
      <c r="K2617" s="69"/>
      <c r="L2617" s="69"/>
      <c r="M2617" s="69"/>
      <c r="N2617" s="69"/>
      <c r="O2617" s="69"/>
      <c r="P2617" s="69"/>
      <c r="Q2617" s="69"/>
      <c r="R2617" s="69"/>
    </row>
    <row r="2618" spans="1:18" ht="29.25" hidden="1" customHeight="1">
      <c r="A2618" s="16"/>
      <c r="B2618" s="14"/>
      <c r="C2618" s="15"/>
      <c r="D2618" s="15"/>
      <c r="E2618" s="15"/>
      <c r="F2618" s="15"/>
      <c r="G2618" s="70"/>
      <c r="H2618" s="70"/>
      <c r="I2618" s="70"/>
      <c r="J2618" s="172"/>
      <c r="K2618" s="69"/>
      <c r="L2618" s="69"/>
      <c r="M2618" s="69"/>
      <c r="N2618" s="69"/>
      <c r="O2618" s="69"/>
      <c r="P2618" s="69"/>
      <c r="Q2618" s="69"/>
      <c r="R2618" s="69"/>
    </row>
    <row r="2619" spans="1:18" ht="30.75" hidden="1" customHeight="1">
      <c r="A2619" s="16"/>
      <c r="B2619" s="14"/>
      <c r="C2619" s="15"/>
      <c r="D2619" s="15"/>
      <c r="E2619" s="15"/>
      <c r="F2619" s="15"/>
      <c r="G2619" s="350"/>
      <c r="H2619" s="70"/>
      <c r="I2619" s="70"/>
      <c r="J2619" s="172"/>
      <c r="K2619" s="69"/>
      <c r="L2619" s="69"/>
      <c r="M2619" s="69"/>
      <c r="N2619" s="69"/>
      <c r="O2619" s="69"/>
      <c r="P2619" s="69"/>
      <c r="Q2619" s="69"/>
      <c r="R2619" s="69"/>
    </row>
    <row r="2620" spans="1:18" s="3" customFormat="1" ht="48" customHeight="1">
      <c r="A2620" s="16" t="s">
        <v>1135</v>
      </c>
      <c r="B2620" s="49">
        <v>793</v>
      </c>
      <c r="C2620" s="15" t="s">
        <v>157</v>
      </c>
      <c r="D2620" s="15" t="s">
        <v>167</v>
      </c>
      <c r="E2620" s="15" t="s">
        <v>256</v>
      </c>
      <c r="F2620" s="15"/>
      <c r="G2620" s="70">
        <f>G2623+G2629+G2632+G2640+G2644+G2636+G2624+G2645+G2635+G2676</f>
        <v>4107515.9000000004</v>
      </c>
      <c r="H2620" s="70">
        <f t="shared" ref="H2620:I2620" si="694">H2623+H2629+H2632+H2640</f>
        <v>321582.24</v>
      </c>
      <c r="I2620" s="70">
        <f t="shared" si="694"/>
        <v>25000</v>
      </c>
      <c r="J2620" s="172"/>
      <c r="K2620" s="62"/>
      <c r="L2620" s="62"/>
      <c r="M2620" s="62"/>
      <c r="N2620" s="62"/>
      <c r="O2620" s="62"/>
      <c r="P2620" s="62"/>
      <c r="Q2620" s="62"/>
      <c r="R2620" s="62"/>
    </row>
    <row r="2621" spans="1:18" s="3" customFormat="1" ht="38.25" hidden="1" customHeight="1">
      <c r="A2621" s="16" t="s">
        <v>505</v>
      </c>
      <c r="B2621" s="49">
        <v>793</v>
      </c>
      <c r="C2621" s="15" t="s">
        <v>157</v>
      </c>
      <c r="D2621" s="15" t="s">
        <v>167</v>
      </c>
      <c r="E2621" s="15" t="s">
        <v>506</v>
      </c>
      <c r="F2621" s="15"/>
      <c r="G2621" s="70">
        <f>G2622</f>
        <v>0</v>
      </c>
      <c r="H2621" s="70">
        <f t="shared" ref="H2621:I2621" si="695">H2622</f>
        <v>0</v>
      </c>
      <c r="I2621" s="70">
        <f t="shared" si="695"/>
        <v>0</v>
      </c>
      <c r="J2621" s="332"/>
      <c r="K2621" s="62"/>
      <c r="L2621" s="62"/>
      <c r="M2621" s="62"/>
      <c r="N2621" s="62"/>
      <c r="O2621" s="62"/>
      <c r="P2621" s="62"/>
      <c r="Q2621" s="62"/>
      <c r="R2621" s="62"/>
    </row>
    <row r="2622" spans="1:18" s="3" customFormat="1" ht="38.25" hidden="1" customHeight="1">
      <c r="A2622" s="16" t="s">
        <v>35</v>
      </c>
      <c r="B2622" s="49">
        <v>793</v>
      </c>
      <c r="C2622" s="15" t="s">
        <v>157</v>
      </c>
      <c r="D2622" s="15" t="s">
        <v>167</v>
      </c>
      <c r="E2622" s="15" t="s">
        <v>506</v>
      </c>
      <c r="F2622" s="15" t="s">
        <v>36</v>
      </c>
      <c r="G2622" s="70">
        <f>G2623</f>
        <v>0</v>
      </c>
      <c r="H2622" s="70">
        <f t="shared" ref="H2622:I2622" si="696">H2623</f>
        <v>0</v>
      </c>
      <c r="I2622" s="70">
        <f t="shared" si="696"/>
        <v>0</v>
      </c>
      <c r="J2622" s="332"/>
      <c r="K2622" s="62"/>
      <c r="L2622" s="62"/>
      <c r="M2622" s="62"/>
      <c r="N2622" s="62"/>
      <c r="O2622" s="62"/>
      <c r="P2622" s="62"/>
      <c r="Q2622" s="62"/>
      <c r="R2622" s="62"/>
    </row>
    <row r="2623" spans="1:18" s="3" customFormat="1" ht="38.25" hidden="1" customHeight="1">
      <c r="A2623" s="16" t="s">
        <v>37</v>
      </c>
      <c r="B2623" s="49">
        <v>793</v>
      </c>
      <c r="C2623" s="15" t="s">
        <v>157</v>
      </c>
      <c r="D2623" s="15" t="s">
        <v>167</v>
      </c>
      <c r="E2623" s="15" t="s">
        <v>506</v>
      </c>
      <c r="F2623" s="15" t="s">
        <v>38</v>
      </c>
      <c r="G2623" s="70"/>
      <c r="H2623" s="70"/>
      <c r="I2623" s="70"/>
      <c r="J2623" s="172"/>
      <c r="K2623" s="62"/>
      <c r="L2623" s="62"/>
      <c r="M2623" s="62"/>
      <c r="N2623" s="62"/>
      <c r="O2623" s="62"/>
      <c r="P2623" s="62"/>
      <c r="Q2623" s="62"/>
      <c r="R2623" s="62"/>
    </row>
    <row r="2624" spans="1:18" s="3" customFormat="1" ht="46.5" hidden="1" customHeight="1">
      <c r="A2624" s="16" t="s">
        <v>1020</v>
      </c>
      <c r="B2624" s="49">
        <v>793</v>
      </c>
      <c r="C2624" s="15" t="s">
        <v>157</v>
      </c>
      <c r="D2624" s="15" t="s">
        <v>167</v>
      </c>
      <c r="E2624" s="15" t="s">
        <v>1019</v>
      </c>
      <c r="F2624" s="15"/>
      <c r="G2624" s="70">
        <f t="shared" ref="G2624:I2625" si="697">G2625</f>
        <v>0</v>
      </c>
      <c r="H2624" s="70">
        <f t="shared" si="697"/>
        <v>0</v>
      </c>
      <c r="I2624" s="70">
        <f t="shared" si="697"/>
        <v>0</v>
      </c>
      <c r="J2624" s="172"/>
      <c r="K2624" s="62"/>
      <c r="L2624" s="62"/>
      <c r="M2624" s="62"/>
      <c r="N2624" s="62"/>
      <c r="O2624" s="62"/>
      <c r="P2624" s="62"/>
      <c r="Q2624" s="62"/>
      <c r="R2624" s="62"/>
    </row>
    <row r="2625" spans="1:18" s="3" customFormat="1" ht="38.25" hidden="1" customHeight="1">
      <c r="A2625" s="16" t="s">
        <v>35</v>
      </c>
      <c r="B2625" s="49">
        <v>793</v>
      </c>
      <c r="C2625" s="15" t="s">
        <v>157</v>
      </c>
      <c r="D2625" s="15" t="s">
        <v>167</v>
      </c>
      <c r="E2625" s="15" t="s">
        <v>1019</v>
      </c>
      <c r="F2625" s="15" t="s">
        <v>36</v>
      </c>
      <c r="G2625" s="70">
        <f t="shared" si="697"/>
        <v>0</v>
      </c>
      <c r="H2625" s="70">
        <f t="shared" si="697"/>
        <v>0</v>
      </c>
      <c r="I2625" s="70">
        <f t="shared" si="697"/>
        <v>0</v>
      </c>
      <c r="J2625" s="172"/>
      <c r="K2625" s="62"/>
      <c r="L2625" s="62"/>
      <c r="M2625" s="62"/>
      <c r="N2625" s="62"/>
      <c r="O2625" s="62"/>
      <c r="P2625" s="62"/>
      <c r="Q2625" s="62"/>
      <c r="R2625" s="62"/>
    </row>
    <row r="2626" spans="1:18" s="3" customFormat="1" ht="38.25" hidden="1" customHeight="1">
      <c r="A2626" s="16" t="s">
        <v>37</v>
      </c>
      <c r="B2626" s="49">
        <v>793</v>
      </c>
      <c r="C2626" s="15" t="s">
        <v>157</v>
      </c>
      <c r="D2626" s="15" t="s">
        <v>167</v>
      </c>
      <c r="E2626" s="15" t="s">
        <v>1019</v>
      </c>
      <c r="F2626" s="15" t="s">
        <v>38</v>
      </c>
      <c r="G2626" s="70"/>
      <c r="H2626" s="70"/>
      <c r="I2626" s="70"/>
      <c r="J2626" s="172"/>
      <c r="K2626" s="62"/>
      <c r="L2626" s="62"/>
      <c r="M2626" s="62"/>
      <c r="N2626" s="62"/>
      <c r="O2626" s="62"/>
      <c r="P2626" s="62"/>
      <c r="Q2626" s="62"/>
      <c r="R2626" s="62"/>
    </row>
    <row r="2627" spans="1:18" s="3" customFormat="1" ht="38.25" customHeight="1">
      <c r="A2627" s="16" t="s">
        <v>461</v>
      </c>
      <c r="B2627" s="49">
        <v>793</v>
      </c>
      <c r="C2627" s="15" t="s">
        <v>157</v>
      </c>
      <c r="D2627" s="15" t="s">
        <v>167</v>
      </c>
      <c r="E2627" s="15" t="s">
        <v>363</v>
      </c>
      <c r="F2627" s="15"/>
      <c r="G2627" s="70">
        <f t="shared" ref="G2627:I2628" si="698">G2628</f>
        <v>625361</v>
      </c>
      <c r="H2627" s="70">
        <f t="shared" si="698"/>
        <v>0</v>
      </c>
      <c r="I2627" s="70">
        <f t="shared" si="698"/>
        <v>0</v>
      </c>
      <c r="J2627" s="172"/>
      <c r="K2627" s="62"/>
      <c r="L2627" s="62"/>
      <c r="M2627" s="62"/>
      <c r="N2627" s="62"/>
      <c r="O2627" s="62"/>
      <c r="P2627" s="62"/>
      <c r="Q2627" s="62"/>
      <c r="R2627" s="62"/>
    </row>
    <row r="2628" spans="1:18" s="3" customFormat="1" ht="38.25" customHeight="1">
      <c r="A2628" s="16" t="s">
        <v>35</v>
      </c>
      <c r="B2628" s="49">
        <v>793</v>
      </c>
      <c r="C2628" s="15" t="s">
        <v>157</v>
      </c>
      <c r="D2628" s="15" t="s">
        <v>167</v>
      </c>
      <c r="E2628" s="15" t="s">
        <v>363</v>
      </c>
      <c r="F2628" s="15" t="s">
        <v>36</v>
      </c>
      <c r="G2628" s="70">
        <f t="shared" si="698"/>
        <v>625361</v>
      </c>
      <c r="H2628" s="70">
        <f t="shared" si="698"/>
        <v>0</v>
      </c>
      <c r="I2628" s="70">
        <f t="shared" si="698"/>
        <v>0</v>
      </c>
      <c r="J2628" s="172"/>
      <c r="K2628" s="62"/>
      <c r="L2628" s="62"/>
      <c r="M2628" s="62"/>
      <c r="N2628" s="62"/>
      <c r="O2628" s="62"/>
      <c r="P2628" s="62"/>
      <c r="Q2628" s="62"/>
      <c r="R2628" s="62"/>
    </row>
    <row r="2629" spans="1:18" s="3" customFormat="1" ht="38.25" customHeight="1">
      <c r="A2629" s="16" t="s">
        <v>37</v>
      </c>
      <c r="B2629" s="49">
        <v>793</v>
      </c>
      <c r="C2629" s="15" t="s">
        <v>157</v>
      </c>
      <c r="D2629" s="15" t="s">
        <v>167</v>
      </c>
      <c r="E2629" s="15" t="s">
        <v>363</v>
      </c>
      <c r="F2629" s="15" t="s">
        <v>38</v>
      </c>
      <c r="G2629" s="70">
        <f>500000+125361</f>
        <v>625361</v>
      </c>
      <c r="H2629" s="70">
        <v>0</v>
      </c>
      <c r="I2629" s="70">
        <v>0</v>
      </c>
      <c r="J2629" s="172"/>
      <c r="K2629" s="62"/>
      <c r="L2629" s="62"/>
      <c r="M2629" s="62"/>
      <c r="N2629" s="62"/>
      <c r="O2629" s="62"/>
      <c r="P2629" s="62"/>
      <c r="Q2629" s="62"/>
      <c r="R2629" s="62"/>
    </row>
    <row r="2630" spans="1:18" s="3" customFormat="1" ht="38.25" customHeight="1">
      <c r="A2630" s="50" t="s">
        <v>529</v>
      </c>
      <c r="B2630" s="49">
        <v>793</v>
      </c>
      <c r="C2630" s="15" t="s">
        <v>157</v>
      </c>
      <c r="D2630" s="15" t="s">
        <v>167</v>
      </c>
      <c r="E2630" s="15" t="s">
        <v>1206</v>
      </c>
      <c r="F2630" s="15"/>
      <c r="G2630" s="70">
        <f t="shared" ref="G2630:I2637" si="699">G2631</f>
        <v>16208.739999999991</v>
      </c>
      <c r="H2630" s="70">
        <f t="shared" si="699"/>
        <v>296582.24</v>
      </c>
      <c r="I2630" s="70">
        <f t="shared" si="699"/>
        <v>0</v>
      </c>
      <c r="J2630" s="172"/>
      <c r="K2630" s="62"/>
      <c r="L2630" s="62"/>
      <c r="M2630" s="62"/>
      <c r="N2630" s="62"/>
      <c r="O2630" s="62"/>
      <c r="P2630" s="62"/>
      <c r="Q2630" s="62"/>
      <c r="R2630" s="62"/>
    </row>
    <row r="2631" spans="1:18" s="3" customFormat="1" ht="38.25" customHeight="1">
      <c r="A2631" s="16" t="s">
        <v>35</v>
      </c>
      <c r="B2631" s="49">
        <v>793</v>
      </c>
      <c r="C2631" s="15" t="s">
        <v>157</v>
      </c>
      <c r="D2631" s="15" t="s">
        <v>167</v>
      </c>
      <c r="E2631" s="15" t="s">
        <v>1206</v>
      </c>
      <c r="F2631" s="15" t="s">
        <v>36</v>
      </c>
      <c r="G2631" s="70">
        <f t="shared" si="699"/>
        <v>16208.739999999991</v>
      </c>
      <c r="H2631" s="70">
        <f t="shared" si="699"/>
        <v>296582.24</v>
      </c>
      <c r="I2631" s="70">
        <f t="shared" si="699"/>
        <v>0</v>
      </c>
      <c r="J2631" s="172"/>
      <c r="K2631" s="62"/>
      <c r="L2631" s="62"/>
      <c r="M2631" s="62"/>
      <c r="N2631" s="62"/>
      <c r="O2631" s="62"/>
      <c r="P2631" s="62"/>
      <c r="Q2631" s="62"/>
      <c r="R2631" s="62"/>
    </row>
    <row r="2632" spans="1:18" s="3" customFormat="1" ht="39.75" customHeight="1">
      <c r="A2632" s="16" t="s">
        <v>37</v>
      </c>
      <c r="B2632" s="49">
        <v>793</v>
      </c>
      <c r="C2632" s="15" t="s">
        <v>157</v>
      </c>
      <c r="D2632" s="15" t="s">
        <v>167</v>
      </c>
      <c r="E2632" s="15" t="s">
        <v>1206</v>
      </c>
      <c r="F2632" s="15" t="s">
        <v>38</v>
      </c>
      <c r="G2632" s="70">
        <f>380000+556630-600000-320421.26</f>
        <v>16208.739999999991</v>
      </c>
      <c r="H2632" s="70">
        <f>296582.24</f>
        <v>296582.24</v>
      </c>
      <c r="I2632" s="70">
        <v>0</v>
      </c>
      <c r="J2632" s="172"/>
      <c r="K2632" s="62"/>
      <c r="L2632" s="62"/>
      <c r="M2632" s="62"/>
      <c r="N2632" s="62"/>
      <c r="O2632" s="62"/>
      <c r="P2632" s="62"/>
      <c r="Q2632" s="62"/>
      <c r="R2632" s="62"/>
    </row>
    <row r="2633" spans="1:18" s="3" customFormat="1" ht="38.25" customHeight="1">
      <c r="A2633" s="50" t="s">
        <v>1403</v>
      </c>
      <c r="B2633" s="49">
        <v>793</v>
      </c>
      <c r="C2633" s="15" t="s">
        <v>157</v>
      </c>
      <c r="D2633" s="15" t="s">
        <v>167</v>
      </c>
      <c r="E2633" s="15" t="s">
        <v>1402</v>
      </c>
      <c r="F2633" s="15"/>
      <c r="G2633" s="70">
        <f t="shared" si="699"/>
        <v>477338.71</v>
      </c>
      <c r="H2633" s="70">
        <f t="shared" si="699"/>
        <v>0</v>
      </c>
      <c r="I2633" s="70">
        <f t="shared" si="699"/>
        <v>0</v>
      </c>
      <c r="J2633" s="172"/>
      <c r="K2633" s="62"/>
      <c r="L2633" s="62"/>
      <c r="M2633" s="62"/>
      <c r="N2633" s="62"/>
      <c r="O2633" s="62"/>
      <c r="P2633" s="62"/>
      <c r="Q2633" s="62"/>
      <c r="R2633" s="62"/>
    </row>
    <row r="2634" spans="1:18" s="3" customFormat="1" ht="38.25" customHeight="1">
      <c r="A2634" s="16" t="s">
        <v>35</v>
      </c>
      <c r="B2634" s="49">
        <v>793</v>
      </c>
      <c r="C2634" s="15" t="s">
        <v>157</v>
      </c>
      <c r="D2634" s="15" t="s">
        <v>167</v>
      </c>
      <c r="E2634" s="15" t="s">
        <v>1402</v>
      </c>
      <c r="F2634" s="15" t="s">
        <v>36</v>
      </c>
      <c r="G2634" s="70">
        <f t="shared" si="699"/>
        <v>477338.71</v>
      </c>
      <c r="H2634" s="70">
        <f t="shared" si="699"/>
        <v>0</v>
      </c>
      <c r="I2634" s="70">
        <f t="shared" si="699"/>
        <v>0</v>
      </c>
      <c r="J2634" s="172"/>
      <c r="K2634" s="62"/>
      <c r="L2634" s="62"/>
      <c r="M2634" s="62"/>
      <c r="N2634" s="62"/>
      <c r="O2634" s="62"/>
      <c r="P2634" s="62"/>
      <c r="Q2634" s="62"/>
      <c r="R2634" s="62"/>
    </row>
    <row r="2635" spans="1:18" s="3" customFormat="1" ht="39.75" customHeight="1">
      <c r="A2635" s="16" t="s">
        <v>37</v>
      </c>
      <c r="B2635" s="49">
        <v>793</v>
      </c>
      <c r="C2635" s="15" t="s">
        <v>157</v>
      </c>
      <c r="D2635" s="15" t="s">
        <v>167</v>
      </c>
      <c r="E2635" s="15" t="s">
        <v>1402</v>
      </c>
      <c r="F2635" s="15" t="s">
        <v>38</v>
      </c>
      <c r="G2635" s="70">
        <f>231447.26+245891.45</f>
        <v>477338.71</v>
      </c>
      <c r="H2635" s="70">
        <v>0</v>
      </c>
      <c r="I2635" s="70">
        <v>0</v>
      </c>
      <c r="J2635" s="172"/>
      <c r="K2635" s="62"/>
      <c r="L2635" s="62"/>
      <c r="M2635" s="62"/>
      <c r="N2635" s="62"/>
      <c r="O2635" s="62"/>
      <c r="P2635" s="62"/>
      <c r="Q2635" s="62"/>
      <c r="R2635" s="62"/>
    </row>
    <row r="2636" spans="1:18" s="3" customFormat="1" ht="38.25" customHeight="1">
      <c r="A2636" s="16" t="s">
        <v>1003</v>
      </c>
      <c r="B2636" s="49">
        <v>793</v>
      </c>
      <c r="C2636" s="15" t="s">
        <v>157</v>
      </c>
      <c r="D2636" s="15" t="s">
        <v>167</v>
      </c>
      <c r="E2636" s="15" t="s">
        <v>1002</v>
      </c>
      <c r="F2636" s="15"/>
      <c r="G2636" s="70">
        <f t="shared" si="699"/>
        <v>2000000.0000000002</v>
      </c>
      <c r="H2636" s="70">
        <f t="shared" si="699"/>
        <v>0</v>
      </c>
      <c r="I2636" s="70">
        <f t="shared" si="699"/>
        <v>0</v>
      </c>
      <c r="J2636" s="172"/>
      <c r="K2636" s="62"/>
      <c r="L2636" s="62"/>
      <c r="M2636" s="62"/>
      <c r="N2636" s="62"/>
      <c r="O2636" s="62"/>
      <c r="P2636" s="62"/>
      <c r="Q2636" s="62"/>
      <c r="R2636" s="62"/>
    </row>
    <row r="2637" spans="1:18" s="3" customFormat="1" ht="38.25" customHeight="1">
      <c r="A2637" s="16" t="s">
        <v>35</v>
      </c>
      <c r="B2637" s="49">
        <v>793</v>
      </c>
      <c r="C2637" s="15" t="s">
        <v>157</v>
      </c>
      <c r="D2637" s="15" t="s">
        <v>167</v>
      </c>
      <c r="E2637" s="15" t="s">
        <v>1002</v>
      </c>
      <c r="F2637" s="15" t="s">
        <v>36</v>
      </c>
      <c r="G2637" s="70">
        <f t="shared" si="699"/>
        <v>2000000.0000000002</v>
      </c>
      <c r="H2637" s="70">
        <f t="shared" si="699"/>
        <v>0</v>
      </c>
      <c r="I2637" s="70">
        <f t="shared" si="699"/>
        <v>0</v>
      </c>
      <c r="J2637" s="172"/>
      <c r="K2637" s="62"/>
      <c r="L2637" s="62"/>
      <c r="M2637" s="62"/>
      <c r="N2637" s="62"/>
      <c r="O2637" s="62"/>
      <c r="P2637" s="62"/>
      <c r="Q2637" s="62"/>
      <c r="R2637" s="62"/>
    </row>
    <row r="2638" spans="1:18" s="3" customFormat="1" ht="39.75" customHeight="1">
      <c r="A2638" s="16" t="s">
        <v>37</v>
      </c>
      <c r="B2638" s="49">
        <v>793</v>
      </c>
      <c r="C2638" s="15" t="s">
        <v>157</v>
      </c>
      <c r="D2638" s="15" t="s">
        <v>167</v>
      </c>
      <c r="E2638" s="15" t="s">
        <v>1002</v>
      </c>
      <c r="F2638" s="15" t="s">
        <v>38</v>
      </c>
      <c r="G2638" s="70">
        <f>2000000+245891.45-245891.45</f>
        <v>2000000.0000000002</v>
      </c>
      <c r="H2638" s="70">
        <v>0</v>
      </c>
      <c r="I2638" s="70">
        <v>0</v>
      </c>
      <c r="J2638" s="172"/>
      <c r="K2638" s="62"/>
      <c r="L2638" s="62"/>
      <c r="M2638" s="62"/>
      <c r="N2638" s="62"/>
      <c r="O2638" s="62"/>
      <c r="P2638" s="62"/>
      <c r="Q2638" s="62"/>
      <c r="R2638" s="62"/>
    </row>
    <row r="2639" spans="1:18" s="3" customFormat="1" ht="35.25" customHeight="1">
      <c r="A2639" s="16" t="s">
        <v>125</v>
      </c>
      <c r="B2639" s="49">
        <v>793</v>
      </c>
      <c r="C2639" s="15" t="s">
        <v>157</v>
      </c>
      <c r="D2639" s="15" t="s">
        <v>167</v>
      </c>
      <c r="E2639" s="15" t="s">
        <v>279</v>
      </c>
      <c r="F2639" s="15"/>
      <c r="G2639" s="70">
        <f>G2641</f>
        <v>0</v>
      </c>
      <c r="H2639" s="70">
        <f>H2641</f>
        <v>25000</v>
      </c>
      <c r="I2639" s="70">
        <f>I2641</f>
        <v>25000</v>
      </c>
      <c r="J2639" s="172"/>
      <c r="K2639" s="62"/>
      <c r="L2639" s="62"/>
      <c r="M2639" s="62"/>
      <c r="N2639" s="62"/>
      <c r="O2639" s="62"/>
      <c r="P2639" s="62"/>
      <c r="Q2639" s="62"/>
      <c r="R2639" s="62"/>
    </row>
    <row r="2640" spans="1:18" s="3" customFormat="1" ht="38.25" customHeight="1">
      <c r="A2640" s="16" t="s">
        <v>35</v>
      </c>
      <c r="B2640" s="49">
        <v>793</v>
      </c>
      <c r="C2640" s="15" t="s">
        <v>157</v>
      </c>
      <c r="D2640" s="15" t="s">
        <v>167</v>
      </c>
      <c r="E2640" s="15" t="s">
        <v>279</v>
      </c>
      <c r="F2640" s="15" t="s">
        <v>36</v>
      </c>
      <c r="G2640" s="70">
        <f>G2641</f>
        <v>0</v>
      </c>
      <c r="H2640" s="70">
        <f>H2641</f>
        <v>25000</v>
      </c>
      <c r="I2640" s="70">
        <f>I2641</f>
        <v>25000</v>
      </c>
      <c r="J2640" s="172"/>
      <c r="K2640" s="62"/>
      <c r="L2640" s="62"/>
      <c r="M2640" s="62"/>
      <c r="N2640" s="62"/>
      <c r="O2640" s="62"/>
      <c r="P2640" s="62"/>
      <c r="Q2640" s="62"/>
      <c r="R2640" s="62"/>
    </row>
    <row r="2641" spans="1:20" s="3" customFormat="1" ht="46.5" customHeight="1">
      <c r="A2641" s="16" t="s">
        <v>37</v>
      </c>
      <c r="B2641" s="49">
        <v>793</v>
      </c>
      <c r="C2641" s="15" t="s">
        <v>157</v>
      </c>
      <c r="D2641" s="15" t="s">
        <v>167</v>
      </c>
      <c r="E2641" s="15" t="s">
        <v>279</v>
      </c>
      <c r="F2641" s="15" t="s">
        <v>38</v>
      </c>
      <c r="G2641" s="70">
        <f>25000-25000</f>
        <v>0</v>
      </c>
      <c r="H2641" s="70">
        <v>25000</v>
      </c>
      <c r="I2641" s="70">
        <v>25000</v>
      </c>
      <c r="J2641" s="172"/>
      <c r="K2641" s="62"/>
      <c r="L2641" s="62"/>
      <c r="M2641" s="62"/>
      <c r="N2641" s="62"/>
      <c r="O2641" s="62"/>
      <c r="P2641" s="62"/>
      <c r="Q2641" s="62"/>
      <c r="R2641" s="62"/>
      <c r="S2641" s="62"/>
      <c r="T2641" s="62"/>
    </row>
    <row r="2642" spans="1:20" s="3" customFormat="1" ht="129.75" hidden="1" customHeight="1">
      <c r="A2642" s="16" t="s">
        <v>957</v>
      </c>
      <c r="B2642" s="49">
        <v>793</v>
      </c>
      <c r="C2642" s="15" t="s">
        <v>157</v>
      </c>
      <c r="D2642" s="15" t="s">
        <v>167</v>
      </c>
      <c r="E2642" s="15" t="s">
        <v>956</v>
      </c>
      <c r="F2642" s="15"/>
      <c r="G2642" s="70">
        <f>G2643</f>
        <v>0</v>
      </c>
      <c r="H2642" s="70">
        <f t="shared" ref="H2642:I2643" si="700">H2643</f>
        <v>0</v>
      </c>
      <c r="I2642" s="70">
        <f t="shared" si="700"/>
        <v>0</v>
      </c>
      <c r="J2642" s="332"/>
      <c r="K2642" s="62"/>
      <c r="L2642" s="62"/>
      <c r="M2642" s="62"/>
      <c r="N2642" s="62"/>
      <c r="O2642" s="62"/>
      <c r="P2642" s="62"/>
      <c r="Q2642" s="62"/>
      <c r="R2642" s="62"/>
    </row>
    <row r="2643" spans="1:20" s="3" customFormat="1" ht="38.25" hidden="1" customHeight="1">
      <c r="A2643" s="16" t="s">
        <v>62</v>
      </c>
      <c r="B2643" s="49">
        <v>793</v>
      </c>
      <c r="C2643" s="15" t="s">
        <v>157</v>
      </c>
      <c r="D2643" s="15" t="s">
        <v>167</v>
      </c>
      <c r="E2643" s="15" t="s">
        <v>956</v>
      </c>
      <c r="F2643" s="15" t="s">
        <v>63</v>
      </c>
      <c r="G2643" s="70">
        <f>G2644</f>
        <v>0</v>
      </c>
      <c r="H2643" s="70">
        <f t="shared" si="700"/>
        <v>0</v>
      </c>
      <c r="I2643" s="70">
        <f t="shared" si="700"/>
        <v>0</v>
      </c>
      <c r="J2643" s="332"/>
      <c r="K2643" s="62"/>
      <c r="L2643" s="62"/>
      <c r="M2643" s="62"/>
      <c r="N2643" s="62"/>
      <c r="O2643" s="62"/>
      <c r="P2643" s="62"/>
      <c r="Q2643" s="62"/>
      <c r="R2643" s="62"/>
    </row>
    <row r="2644" spans="1:20" s="3" customFormat="1" ht="38.25" hidden="1" customHeight="1">
      <c r="A2644" s="16" t="s">
        <v>174</v>
      </c>
      <c r="B2644" s="49">
        <v>793</v>
      </c>
      <c r="C2644" s="15" t="s">
        <v>157</v>
      </c>
      <c r="D2644" s="15" t="s">
        <v>167</v>
      </c>
      <c r="E2644" s="15" t="s">
        <v>956</v>
      </c>
      <c r="F2644" s="15" t="s">
        <v>175</v>
      </c>
      <c r="G2644" s="70"/>
      <c r="H2644" s="70"/>
      <c r="I2644" s="70"/>
      <c r="J2644" s="172"/>
      <c r="K2644" s="62"/>
      <c r="L2644" s="62"/>
      <c r="M2644" s="62"/>
      <c r="N2644" s="62"/>
      <c r="O2644" s="62"/>
      <c r="P2644" s="62"/>
      <c r="Q2644" s="62"/>
      <c r="R2644" s="62"/>
    </row>
    <row r="2645" spans="1:20" s="18" customFormat="1" ht="39" hidden="1" customHeight="1">
      <c r="A2645" s="16" t="s">
        <v>1105</v>
      </c>
      <c r="B2645" s="49">
        <v>793</v>
      </c>
      <c r="C2645" s="15" t="s">
        <v>157</v>
      </c>
      <c r="D2645" s="15" t="s">
        <v>167</v>
      </c>
      <c r="E2645" s="15" t="s">
        <v>1103</v>
      </c>
      <c r="F2645" s="15"/>
      <c r="G2645" s="70">
        <f>G2647</f>
        <v>0</v>
      </c>
      <c r="H2645" s="70">
        <f>H2647</f>
        <v>0</v>
      </c>
      <c r="I2645" s="70">
        <f>I2647</f>
        <v>0</v>
      </c>
      <c r="J2645" s="172"/>
      <c r="K2645" s="180"/>
      <c r="L2645" s="180"/>
      <c r="M2645" s="180"/>
      <c r="N2645" s="180"/>
      <c r="O2645" s="180"/>
      <c r="P2645" s="180"/>
      <c r="Q2645" s="180"/>
      <c r="R2645" s="180"/>
    </row>
    <row r="2646" spans="1:20" s="18" customFormat="1" ht="39" hidden="1" customHeight="1">
      <c r="A2646" s="16" t="s">
        <v>1066</v>
      </c>
      <c r="B2646" s="49">
        <v>793</v>
      </c>
      <c r="C2646" s="15" t="s">
        <v>157</v>
      </c>
      <c r="D2646" s="15" t="s">
        <v>167</v>
      </c>
      <c r="E2646" s="15" t="s">
        <v>1103</v>
      </c>
      <c r="F2646" s="15"/>
      <c r="G2646" s="70">
        <f>G2647</f>
        <v>0</v>
      </c>
      <c r="H2646" s="70">
        <f t="shared" ref="H2646" si="701">H2647</f>
        <v>0</v>
      </c>
      <c r="I2646" s="70">
        <f t="shared" ref="I2646" si="702">I2647</f>
        <v>0</v>
      </c>
      <c r="J2646" s="172"/>
      <c r="K2646" s="180"/>
      <c r="L2646" s="180"/>
      <c r="M2646" s="180"/>
      <c r="N2646" s="180"/>
      <c r="O2646" s="180"/>
      <c r="P2646" s="180"/>
      <c r="Q2646" s="180"/>
      <c r="R2646" s="180"/>
    </row>
    <row r="2647" spans="1:20" ht="30.75" hidden="1" customHeight="1">
      <c r="A2647" s="16" t="s">
        <v>35</v>
      </c>
      <c r="B2647" s="49">
        <v>793</v>
      </c>
      <c r="C2647" s="15" t="s">
        <v>157</v>
      </c>
      <c r="D2647" s="15" t="s">
        <v>167</v>
      </c>
      <c r="E2647" s="15" t="s">
        <v>1103</v>
      </c>
      <c r="F2647" s="15" t="s">
        <v>36</v>
      </c>
      <c r="G2647" s="70">
        <f t="shared" ref="G2647:I2647" si="703">G2648</f>
        <v>0</v>
      </c>
      <c r="H2647" s="70">
        <f t="shared" si="703"/>
        <v>0</v>
      </c>
      <c r="I2647" s="70">
        <f t="shared" si="703"/>
        <v>0</v>
      </c>
      <c r="J2647" s="172"/>
      <c r="K2647" s="69"/>
      <c r="L2647" s="69"/>
      <c r="M2647" s="69"/>
      <c r="N2647" s="69"/>
      <c r="O2647" s="69"/>
      <c r="P2647" s="69"/>
      <c r="Q2647" s="69"/>
      <c r="R2647" s="69"/>
    </row>
    <row r="2648" spans="1:20" s="18" customFormat="1" ht="34.5" hidden="1" customHeight="1">
      <c r="A2648" s="16" t="s">
        <v>37</v>
      </c>
      <c r="B2648" s="49">
        <v>793</v>
      </c>
      <c r="C2648" s="15" t="s">
        <v>157</v>
      </c>
      <c r="D2648" s="15" t="s">
        <v>167</v>
      </c>
      <c r="E2648" s="15" t="s">
        <v>1103</v>
      </c>
      <c r="F2648" s="15" t="s">
        <v>38</v>
      </c>
      <c r="G2648" s="70"/>
      <c r="H2648" s="70">
        <v>0</v>
      </c>
      <c r="I2648" s="70">
        <v>0</v>
      </c>
      <c r="J2648" s="172"/>
      <c r="K2648" s="180"/>
      <c r="L2648" s="180"/>
      <c r="M2648" s="180"/>
      <c r="N2648" s="180"/>
      <c r="O2648" s="180"/>
      <c r="P2648" s="180"/>
      <c r="Q2648" s="180"/>
      <c r="R2648" s="180"/>
    </row>
    <row r="2649" spans="1:20" ht="16.5" hidden="1" customHeight="1">
      <c r="A2649" s="11" t="s">
        <v>24</v>
      </c>
      <c r="B2649" s="7" t="s">
        <v>804</v>
      </c>
      <c r="C2649" s="7" t="s">
        <v>25</v>
      </c>
      <c r="D2649" s="7"/>
      <c r="E2649" s="7"/>
      <c r="F2649" s="7"/>
      <c r="G2649" s="12">
        <f>G2650</f>
        <v>0</v>
      </c>
      <c r="H2649" s="12">
        <f t="shared" ref="H2649:I2649" si="704">H2650</f>
        <v>0</v>
      </c>
      <c r="I2649" s="12">
        <f t="shared" si="704"/>
        <v>0</v>
      </c>
      <c r="J2649" s="312"/>
      <c r="K2649" s="312"/>
      <c r="L2649" s="312"/>
      <c r="M2649" s="312"/>
      <c r="N2649" s="312"/>
      <c r="O2649" s="312"/>
      <c r="P2649" s="69"/>
      <c r="Q2649" s="69"/>
      <c r="R2649" s="69"/>
      <c r="S2649" s="69"/>
      <c r="T2649" s="69"/>
    </row>
    <row r="2650" spans="1:20" ht="14.25" hidden="1" customHeight="1">
      <c r="A2650" s="16" t="s">
        <v>275</v>
      </c>
      <c r="B2650" s="14">
        <v>793</v>
      </c>
      <c r="C2650" s="15" t="s">
        <v>25</v>
      </c>
      <c r="D2650" s="15" t="s">
        <v>25</v>
      </c>
      <c r="E2650" s="15"/>
      <c r="F2650" s="14"/>
      <c r="G2650" s="70">
        <f>G2659+G2651+G2666</f>
        <v>0</v>
      </c>
      <c r="H2650" s="70">
        <f t="shared" ref="H2650:I2650" si="705">H2659+H2651</f>
        <v>0</v>
      </c>
      <c r="I2650" s="70">
        <f t="shared" si="705"/>
        <v>0</v>
      </c>
      <c r="J2650" s="172"/>
      <c r="K2650" s="69"/>
      <c r="L2650" s="69"/>
      <c r="M2650" s="69"/>
      <c r="N2650" s="69"/>
      <c r="O2650" s="69"/>
      <c r="P2650" s="69"/>
      <c r="Q2650" s="69"/>
      <c r="R2650" s="69"/>
      <c r="S2650" s="69"/>
      <c r="T2650" s="69"/>
    </row>
    <row r="2651" spans="1:20" ht="32.25" hidden="1" customHeight="1">
      <c r="A2651" s="16" t="s">
        <v>456</v>
      </c>
      <c r="B2651" s="14">
        <v>757</v>
      </c>
      <c r="C2651" s="15" t="s">
        <v>25</v>
      </c>
      <c r="D2651" s="15" t="s">
        <v>25</v>
      </c>
      <c r="E2651" s="15" t="s">
        <v>384</v>
      </c>
      <c r="F2651" s="15"/>
      <c r="G2651" s="70">
        <f>G2652</f>
        <v>0</v>
      </c>
      <c r="H2651" s="70">
        <f>H2653</f>
        <v>0</v>
      </c>
      <c r="I2651" s="70">
        <f>I2653</f>
        <v>0</v>
      </c>
      <c r="J2651" s="172"/>
      <c r="K2651" s="69"/>
      <c r="L2651" s="69"/>
      <c r="M2651" s="69"/>
      <c r="N2651" s="69"/>
      <c r="O2651" s="69"/>
      <c r="P2651" s="69"/>
      <c r="Q2651" s="69"/>
      <c r="R2651" s="69"/>
      <c r="S2651" s="69"/>
      <c r="T2651" s="69"/>
    </row>
    <row r="2652" spans="1:20" ht="22.5" hidden="1" customHeight="1">
      <c r="A2652" s="16" t="s">
        <v>116</v>
      </c>
      <c r="B2652" s="14">
        <v>757</v>
      </c>
      <c r="C2652" s="15" t="s">
        <v>25</v>
      </c>
      <c r="D2652" s="15" t="s">
        <v>25</v>
      </c>
      <c r="E2652" s="15" t="s">
        <v>579</v>
      </c>
      <c r="F2652" s="15"/>
      <c r="G2652" s="70">
        <f>G2653+G2656</f>
        <v>0</v>
      </c>
      <c r="H2652" s="70">
        <f t="shared" ref="H2652:I2652" si="706">H2653+H2656</f>
        <v>0</v>
      </c>
      <c r="I2652" s="70">
        <f t="shared" si="706"/>
        <v>0</v>
      </c>
      <c r="J2652" s="172"/>
      <c r="K2652" s="69"/>
      <c r="L2652" s="69"/>
      <c r="M2652" s="69"/>
      <c r="N2652" s="69"/>
      <c r="O2652" s="69"/>
      <c r="P2652" s="69"/>
      <c r="Q2652" s="69"/>
      <c r="R2652" s="69"/>
      <c r="S2652" s="69"/>
      <c r="T2652" s="69"/>
    </row>
    <row r="2653" spans="1:20" ht="52.8" hidden="1">
      <c r="A2653" s="16" t="s">
        <v>124</v>
      </c>
      <c r="B2653" s="14">
        <v>757</v>
      </c>
      <c r="C2653" s="15" t="s">
        <v>25</v>
      </c>
      <c r="D2653" s="15" t="s">
        <v>25</v>
      </c>
      <c r="E2653" s="15" t="s">
        <v>185</v>
      </c>
      <c r="F2653" s="15"/>
      <c r="G2653" s="70">
        <f t="shared" ref="G2653:I2654" si="707">G2654</f>
        <v>0</v>
      </c>
      <c r="H2653" s="70">
        <f t="shared" si="707"/>
        <v>0</v>
      </c>
      <c r="I2653" s="70">
        <f t="shared" si="707"/>
        <v>0</v>
      </c>
      <c r="J2653" s="172"/>
      <c r="K2653" s="69"/>
      <c r="L2653" s="69"/>
      <c r="M2653" s="69"/>
      <c r="N2653" s="69"/>
      <c r="O2653" s="69"/>
      <c r="P2653" s="69"/>
      <c r="Q2653" s="69"/>
      <c r="R2653" s="69"/>
      <c r="S2653" s="69"/>
      <c r="T2653" s="69"/>
    </row>
    <row r="2654" spans="1:20" ht="26.4" hidden="1">
      <c r="A2654" s="16" t="s">
        <v>29</v>
      </c>
      <c r="B2654" s="14">
        <v>757</v>
      </c>
      <c r="C2654" s="15" t="s">
        <v>25</v>
      </c>
      <c r="D2654" s="15" t="s">
        <v>25</v>
      </c>
      <c r="E2654" s="15" t="s">
        <v>185</v>
      </c>
      <c r="F2654" s="15" t="s">
        <v>30</v>
      </c>
      <c r="G2654" s="70">
        <f t="shared" si="707"/>
        <v>0</v>
      </c>
      <c r="H2654" s="70">
        <f t="shared" si="707"/>
        <v>0</v>
      </c>
      <c r="I2654" s="70">
        <f t="shared" si="707"/>
        <v>0</v>
      </c>
      <c r="J2654" s="172"/>
      <c r="K2654" s="69"/>
      <c r="L2654" s="69"/>
      <c r="M2654" s="69"/>
      <c r="N2654" s="69"/>
      <c r="O2654" s="69"/>
      <c r="P2654" s="69"/>
      <c r="Q2654" s="69"/>
      <c r="R2654" s="69"/>
      <c r="S2654" s="69"/>
      <c r="T2654" s="69"/>
    </row>
    <row r="2655" spans="1:20" ht="19.5" hidden="1" customHeight="1">
      <c r="A2655" s="16" t="s">
        <v>31</v>
      </c>
      <c r="B2655" s="14">
        <v>757</v>
      </c>
      <c r="C2655" s="15" t="s">
        <v>25</v>
      </c>
      <c r="D2655" s="15" t="s">
        <v>25</v>
      </c>
      <c r="E2655" s="15" t="s">
        <v>185</v>
      </c>
      <c r="F2655" s="15" t="s">
        <v>32</v>
      </c>
      <c r="G2655" s="70"/>
      <c r="H2655" s="70">
        <v>0</v>
      </c>
      <c r="I2655" s="70">
        <v>0</v>
      </c>
      <c r="J2655" s="172"/>
      <c r="K2655" s="69"/>
      <c r="L2655" s="69"/>
      <c r="M2655" s="69"/>
      <c r="N2655" s="69"/>
      <c r="O2655" s="69"/>
      <c r="P2655" s="69"/>
      <c r="Q2655" s="69"/>
      <c r="R2655" s="69"/>
      <c r="S2655" s="69"/>
      <c r="T2655" s="69"/>
    </row>
    <row r="2656" spans="1:20" s="18" customFormat="1" ht="61.5" hidden="1" customHeight="1">
      <c r="A2656" s="13" t="s">
        <v>341</v>
      </c>
      <c r="B2656" s="15" t="s">
        <v>50</v>
      </c>
      <c r="C2656" s="15" t="s">
        <v>25</v>
      </c>
      <c r="D2656" s="15" t="s">
        <v>25</v>
      </c>
      <c r="E2656" s="15" t="s">
        <v>186</v>
      </c>
      <c r="F2656" s="15"/>
      <c r="G2656" s="70">
        <f>G2657</f>
        <v>0</v>
      </c>
      <c r="H2656" s="70">
        <f t="shared" ref="H2656:I2656" si="708">H2657</f>
        <v>0</v>
      </c>
      <c r="I2656" s="70">
        <f t="shared" si="708"/>
        <v>0</v>
      </c>
      <c r="J2656" s="172"/>
      <c r="K2656" s="180"/>
      <c r="L2656" s="180"/>
      <c r="M2656" s="180"/>
      <c r="N2656" s="180"/>
      <c r="O2656" s="180"/>
      <c r="P2656" s="180"/>
      <c r="Q2656" s="180"/>
      <c r="R2656" s="180"/>
      <c r="S2656" s="180"/>
      <c r="T2656" s="180"/>
    </row>
    <row r="2657" spans="1:20" s="18" customFormat="1" ht="26.4" hidden="1">
      <c r="A2657" s="16" t="s">
        <v>29</v>
      </c>
      <c r="B2657" s="15" t="s">
        <v>50</v>
      </c>
      <c r="C2657" s="15" t="s">
        <v>25</v>
      </c>
      <c r="D2657" s="15" t="s">
        <v>25</v>
      </c>
      <c r="E2657" s="15" t="s">
        <v>186</v>
      </c>
      <c r="F2657" s="15" t="s">
        <v>30</v>
      </c>
      <c r="G2657" s="70">
        <f>G2658</f>
        <v>0</v>
      </c>
      <c r="H2657" s="70">
        <f>H2658</f>
        <v>0</v>
      </c>
      <c r="I2657" s="70">
        <f>I2658</f>
        <v>0</v>
      </c>
      <c r="J2657" s="172"/>
      <c r="K2657" s="180"/>
      <c r="L2657" s="180"/>
      <c r="M2657" s="180"/>
      <c r="N2657" s="180"/>
      <c r="O2657" s="180"/>
      <c r="P2657" s="180"/>
      <c r="Q2657" s="180"/>
      <c r="R2657" s="180"/>
      <c r="S2657" s="180"/>
      <c r="T2657" s="180"/>
    </row>
    <row r="2658" spans="1:20" s="18" customFormat="1" hidden="1">
      <c r="A2658" s="16" t="s">
        <v>31</v>
      </c>
      <c r="B2658" s="15" t="s">
        <v>50</v>
      </c>
      <c r="C2658" s="15" t="s">
        <v>25</v>
      </c>
      <c r="D2658" s="15" t="s">
        <v>25</v>
      </c>
      <c r="E2658" s="15" t="s">
        <v>186</v>
      </c>
      <c r="F2658" s="15" t="s">
        <v>32</v>
      </c>
      <c r="G2658" s="70"/>
      <c r="H2658" s="70"/>
      <c r="I2658" s="70"/>
      <c r="J2658" s="172"/>
      <c r="K2658" s="180"/>
      <c r="L2658" s="180"/>
      <c r="M2658" s="180"/>
      <c r="N2658" s="180"/>
      <c r="O2658" s="180"/>
      <c r="P2658" s="180"/>
      <c r="Q2658" s="180"/>
      <c r="R2658" s="180"/>
      <c r="S2658" s="180"/>
      <c r="T2658" s="180"/>
    </row>
    <row r="2659" spans="1:20" s="18" customFormat="1" ht="26.4" hidden="1">
      <c r="A2659" s="16" t="s">
        <v>458</v>
      </c>
      <c r="B2659" s="14">
        <v>793</v>
      </c>
      <c r="C2659" s="15" t="s">
        <v>25</v>
      </c>
      <c r="D2659" s="15" t="s">
        <v>25</v>
      </c>
      <c r="E2659" s="15" t="s">
        <v>191</v>
      </c>
      <c r="F2659" s="15"/>
      <c r="G2659" s="70">
        <f>G2660+G2663</f>
        <v>0</v>
      </c>
      <c r="H2659" s="70">
        <f t="shared" ref="H2659:I2659" si="709">H2660+H2663</f>
        <v>0</v>
      </c>
      <c r="I2659" s="70">
        <f t="shared" si="709"/>
        <v>0</v>
      </c>
      <c r="J2659" s="172"/>
      <c r="K2659" s="172"/>
      <c r="L2659" s="172"/>
      <c r="M2659" s="172"/>
      <c r="N2659" s="172"/>
      <c r="O2659" s="180"/>
      <c r="P2659" s="180"/>
      <c r="Q2659" s="180"/>
      <c r="R2659" s="180"/>
      <c r="S2659" s="180"/>
      <c r="T2659" s="180"/>
    </row>
    <row r="2660" spans="1:20" s="18" customFormat="1" hidden="1">
      <c r="A2660" s="16" t="s">
        <v>331</v>
      </c>
      <c r="B2660" s="14">
        <v>793</v>
      </c>
      <c r="C2660" s="15" t="s">
        <v>25</v>
      </c>
      <c r="D2660" s="15" t="s">
        <v>25</v>
      </c>
      <c r="E2660" s="15" t="s">
        <v>192</v>
      </c>
      <c r="F2660" s="15"/>
      <c r="G2660" s="70">
        <f>G2661</f>
        <v>0</v>
      </c>
      <c r="H2660" s="70">
        <f>H2661+H2664</f>
        <v>0</v>
      </c>
      <c r="I2660" s="70">
        <f>I2661+I2664</f>
        <v>0</v>
      </c>
      <c r="J2660" s="172"/>
      <c r="K2660" s="180"/>
      <c r="L2660" s="180"/>
      <c r="M2660" s="180"/>
      <c r="N2660" s="180"/>
      <c r="O2660" s="180"/>
      <c r="P2660" s="180"/>
      <c r="Q2660" s="180"/>
      <c r="R2660" s="180"/>
      <c r="S2660" s="180"/>
      <c r="T2660" s="180"/>
    </row>
    <row r="2661" spans="1:20" s="18" customFormat="1" ht="26.4" hidden="1">
      <c r="A2661" s="16" t="s">
        <v>35</v>
      </c>
      <c r="B2661" s="14">
        <v>793</v>
      </c>
      <c r="C2661" s="15" t="s">
        <v>25</v>
      </c>
      <c r="D2661" s="15" t="s">
        <v>25</v>
      </c>
      <c r="E2661" s="15" t="s">
        <v>192</v>
      </c>
      <c r="F2661" s="15" t="s">
        <v>36</v>
      </c>
      <c r="G2661" s="70">
        <f>G2662</f>
        <v>0</v>
      </c>
      <c r="H2661" s="70">
        <f>H2662</f>
        <v>0</v>
      </c>
      <c r="I2661" s="70">
        <f>I2662</f>
        <v>0</v>
      </c>
      <c r="J2661" s="172"/>
      <c r="K2661" s="180"/>
      <c r="L2661" s="180"/>
      <c r="M2661" s="180"/>
      <c r="N2661" s="180"/>
      <c r="O2661" s="180"/>
      <c r="P2661" s="180"/>
      <c r="Q2661" s="180"/>
      <c r="R2661" s="180"/>
      <c r="S2661" s="180"/>
      <c r="T2661" s="180"/>
    </row>
    <row r="2662" spans="1:20" s="18" customFormat="1" ht="26.4" hidden="1">
      <c r="A2662" s="16" t="s">
        <v>37</v>
      </c>
      <c r="B2662" s="14">
        <v>793</v>
      </c>
      <c r="C2662" s="15" t="s">
        <v>25</v>
      </c>
      <c r="D2662" s="15" t="s">
        <v>25</v>
      </c>
      <c r="E2662" s="15" t="s">
        <v>192</v>
      </c>
      <c r="F2662" s="15" t="s">
        <v>38</v>
      </c>
      <c r="G2662" s="70"/>
      <c r="H2662" s="70"/>
      <c r="I2662" s="70"/>
      <c r="J2662" s="172"/>
      <c r="K2662" s="180"/>
      <c r="L2662" s="180"/>
      <c r="M2662" s="180"/>
      <c r="N2662" s="180"/>
      <c r="O2662" s="180"/>
      <c r="P2662" s="180"/>
      <c r="Q2662" s="180"/>
      <c r="R2662" s="180"/>
    </row>
    <row r="2663" spans="1:20" s="18" customFormat="1" ht="26.4" hidden="1">
      <c r="A2663" s="16" t="s">
        <v>292</v>
      </c>
      <c r="B2663" s="14">
        <v>793</v>
      </c>
      <c r="C2663" s="15" t="s">
        <v>25</v>
      </c>
      <c r="D2663" s="15" t="s">
        <v>25</v>
      </c>
      <c r="E2663" s="15" t="s">
        <v>764</v>
      </c>
      <c r="F2663" s="15"/>
      <c r="G2663" s="70">
        <f>G2664</f>
        <v>0</v>
      </c>
      <c r="H2663" s="70"/>
      <c r="I2663" s="70"/>
      <c r="J2663" s="172"/>
      <c r="K2663" s="180"/>
      <c r="L2663" s="180"/>
      <c r="M2663" s="180"/>
      <c r="N2663" s="180"/>
      <c r="O2663" s="180"/>
      <c r="P2663" s="180"/>
      <c r="Q2663" s="180"/>
      <c r="R2663" s="180"/>
    </row>
    <row r="2664" spans="1:20" s="18" customFormat="1" ht="26.4" hidden="1">
      <c r="A2664" s="16" t="s">
        <v>35</v>
      </c>
      <c r="B2664" s="15" t="s">
        <v>804</v>
      </c>
      <c r="C2664" s="15" t="s">
        <v>25</v>
      </c>
      <c r="D2664" s="15" t="s">
        <v>25</v>
      </c>
      <c r="E2664" s="15" t="s">
        <v>764</v>
      </c>
      <c r="F2664" s="15" t="s">
        <v>36</v>
      </c>
      <c r="G2664" s="70">
        <f>G2665</f>
        <v>0</v>
      </c>
      <c r="H2664" s="70">
        <f>H2665</f>
        <v>0</v>
      </c>
      <c r="I2664" s="70">
        <f>I2665</f>
        <v>0</v>
      </c>
      <c r="J2664" s="172"/>
      <c r="K2664" s="180"/>
      <c r="L2664" s="180"/>
      <c r="M2664" s="180"/>
      <c r="N2664" s="180"/>
      <c r="O2664" s="180"/>
      <c r="P2664" s="180"/>
      <c r="Q2664" s="180"/>
      <c r="R2664" s="180"/>
    </row>
    <row r="2665" spans="1:20" s="18" customFormat="1" ht="26.4" hidden="1">
      <c r="A2665" s="16" t="s">
        <v>37</v>
      </c>
      <c r="B2665" s="15" t="s">
        <v>804</v>
      </c>
      <c r="C2665" s="15" t="s">
        <v>25</v>
      </c>
      <c r="D2665" s="15" t="s">
        <v>25</v>
      </c>
      <c r="E2665" s="15" t="s">
        <v>764</v>
      </c>
      <c r="F2665" s="15" t="s">
        <v>38</v>
      </c>
      <c r="G2665" s="70"/>
      <c r="H2665" s="70"/>
      <c r="I2665" s="70"/>
      <c r="J2665" s="172"/>
      <c r="K2665" s="180"/>
      <c r="L2665" s="180"/>
      <c r="M2665" s="180"/>
      <c r="N2665" s="180"/>
      <c r="O2665" s="180"/>
      <c r="P2665" s="180"/>
      <c r="Q2665" s="180"/>
      <c r="R2665" s="180"/>
    </row>
    <row r="2666" spans="1:20" s="18" customFormat="1" ht="30.75" hidden="1" customHeight="1">
      <c r="A2666" s="16" t="s">
        <v>163</v>
      </c>
      <c r="B2666" s="14">
        <v>793</v>
      </c>
      <c r="C2666" s="15" t="s">
        <v>25</v>
      </c>
      <c r="D2666" s="15" t="s">
        <v>25</v>
      </c>
      <c r="E2666" s="15" t="s">
        <v>228</v>
      </c>
      <c r="F2666" s="15"/>
      <c r="G2666" s="70">
        <f>G2667</f>
        <v>0</v>
      </c>
      <c r="H2666" s="70"/>
      <c r="I2666" s="70"/>
      <c r="J2666" s="172"/>
      <c r="K2666" s="180"/>
      <c r="L2666" s="180"/>
      <c r="M2666" s="180"/>
      <c r="N2666" s="180"/>
      <c r="O2666" s="180"/>
      <c r="P2666" s="180"/>
      <c r="Q2666" s="180"/>
      <c r="R2666" s="180"/>
    </row>
    <row r="2667" spans="1:20" s="18" customFormat="1" ht="26.4" hidden="1">
      <c r="A2667" s="16" t="s">
        <v>163</v>
      </c>
      <c r="B2667" s="14">
        <v>793</v>
      </c>
      <c r="C2667" s="15" t="s">
        <v>25</v>
      </c>
      <c r="D2667" s="15" t="s">
        <v>25</v>
      </c>
      <c r="E2667" s="15" t="s">
        <v>270</v>
      </c>
      <c r="F2667" s="15"/>
      <c r="G2667" s="70">
        <f>G2668</f>
        <v>0</v>
      </c>
      <c r="H2667" s="70"/>
      <c r="I2667" s="70"/>
      <c r="J2667" s="172"/>
      <c r="K2667" s="180"/>
      <c r="L2667" s="180"/>
      <c r="M2667" s="180"/>
      <c r="N2667" s="180"/>
      <c r="O2667" s="180"/>
      <c r="P2667" s="180"/>
      <c r="Q2667" s="180"/>
      <c r="R2667" s="180"/>
    </row>
    <row r="2668" spans="1:20" s="18" customFormat="1" ht="26.4" hidden="1">
      <c r="A2668" s="16" t="s">
        <v>35</v>
      </c>
      <c r="B2668" s="15" t="s">
        <v>804</v>
      </c>
      <c r="C2668" s="15" t="s">
        <v>25</v>
      </c>
      <c r="D2668" s="15" t="s">
        <v>25</v>
      </c>
      <c r="E2668" s="15" t="s">
        <v>270</v>
      </c>
      <c r="F2668" s="15" t="s">
        <v>36</v>
      </c>
      <c r="G2668" s="70">
        <f>G2669</f>
        <v>0</v>
      </c>
      <c r="H2668" s="70">
        <f>H2669</f>
        <v>0</v>
      </c>
      <c r="I2668" s="70">
        <f>I2669</f>
        <v>0</v>
      </c>
      <c r="J2668" s="172"/>
      <c r="K2668" s="180"/>
      <c r="L2668" s="180"/>
      <c r="M2668" s="180"/>
      <c r="N2668" s="180"/>
      <c r="O2668" s="180"/>
      <c r="P2668" s="180"/>
      <c r="Q2668" s="180"/>
      <c r="R2668" s="180"/>
    </row>
    <row r="2669" spans="1:20" s="18" customFormat="1" ht="26.4" hidden="1">
      <c r="A2669" s="16" t="s">
        <v>37</v>
      </c>
      <c r="B2669" s="15" t="s">
        <v>804</v>
      </c>
      <c r="C2669" s="15" t="s">
        <v>25</v>
      </c>
      <c r="D2669" s="15" t="s">
        <v>25</v>
      </c>
      <c r="E2669" s="15" t="s">
        <v>270</v>
      </c>
      <c r="F2669" s="15" t="s">
        <v>38</v>
      </c>
      <c r="G2669" s="70"/>
      <c r="H2669" s="70"/>
      <c r="I2669" s="70"/>
      <c r="J2669" s="172"/>
      <c r="K2669" s="180"/>
      <c r="L2669" s="180"/>
      <c r="M2669" s="180"/>
      <c r="N2669" s="180"/>
      <c r="O2669" s="180"/>
      <c r="P2669" s="180"/>
      <c r="Q2669" s="180"/>
      <c r="R2669" s="180"/>
    </row>
    <row r="2670" spans="1:20" s="18" customFormat="1" ht="18.75" hidden="1" customHeight="1">
      <c r="A2670" s="34" t="s">
        <v>42</v>
      </c>
      <c r="B2670" s="15" t="s">
        <v>804</v>
      </c>
      <c r="C2670" s="15" t="s">
        <v>43</v>
      </c>
      <c r="D2670" s="15"/>
      <c r="E2670" s="15"/>
      <c r="F2670" s="15"/>
      <c r="G2670" s="70">
        <f>G2671</f>
        <v>0</v>
      </c>
      <c r="H2670" s="70"/>
      <c r="I2670" s="70"/>
      <c r="J2670" s="172"/>
      <c r="K2670" s="180"/>
      <c r="L2670" s="180"/>
      <c r="M2670" s="180"/>
      <c r="N2670" s="180"/>
      <c r="O2670" s="180"/>
      <c r="P2670" s="180"/>
      <c r="Q2670" s="180"/>
      <c r="R2670" s="180"/>
    </row>
    <row r="2671" spans="1:20" s="18" customFormat="1" ht="19.5" hidden="1" customHeight="1">
      <c r="A2671" s="16" t="s">
        <v>44</v>
      </c>
      <c r="B2671" s="15" t="s">
        <v>804</v>
      </c>
      <c r="C2671" s="15" t="s">
        <v>43</v>
      </c>
      <c r="D2671" s="15" t="s">
        <v>18</v>
      </c>
      <c r="E2671" s="15"/>
      <c r="F2671" s="15"/>
      <c r="G2671" s="70">
        <f>G2672</f>
        <v>0</v>
      </c>
      <c r="H2671" s="70"/>
      <c r="I2671" s="70"/>
      <c r="J2671" s="172"/>
      <c r="K2671" s="180"/>
      <c r="L2671" s="180"/>
      <c r="M2671" s="180"/>
      <c r="N2671" s="180"/>
      <c r="O2671" s="180"/>
      <c r="P2671" s="180"/>
      <c r="Q2671" s="180"/>
      <c r="R2671" s="180"/>
    </row>
    <row r="2672" spans="1:20" s="18" customFormat="1" ht="30.75" hidden="1" customHeight="1">
      <c r="A2672" s="16" t="s">
        <v>163</v>
      </c>
      <c r="B2672" s="14">
        <v>793</v>
      </c>
      <c r="C2672" s="15" t="s">
        <v>43</v>
      </c>
      <c r="D2672" s="15" t="s">
        <v>18</v>
      </c>
      <c r="E2672" s="15" t="s">
        <v>228</v>
      </c>
      <c r="F2672" s="15"/>
      <c r="G2672" s="70">
        <f>G2673</f>
        <v>0</v>
      </c>
      <c r="H2672" s="70"/>
      <c r="I2672" s="70"/>
      <c r="J2672" s="172"/>
      <c r="K2672" s="180"/>
      <c r="L2672" s="180"/>
      <c r="M2672" s="180"/>
      <c r="N2672" s="180"/>
      <c r="O2672" s="180"/>
      <c r="P2672" s="180"/>
      <c r="Q2672" s="180"/>
      <c r="R2672" s="180"/>
    </row>
    <row r="2673" spans="1:20" s="18" customFormat="1" ht="26.4" hidden="1">
      <c r="A2673" s="16" t="s">
        <v>163</v>
      </c>
      <c r="B2673" s="14">
        <v>793</v>
      </c>
      <c r="C2673" s="15" t="s">
        <v>43</v>
      </c>
      <c r="D2673" s="15" t="s">
        <v>18</v>
      </c>
      <c r="E2673" s="15" t="s">
        <v>270</v>
      </c>
      <c r="F2673" s="15"/>
      <c r="G2673" s="70">
        <f>G2674</f>
        <v>0</v>
      </c>
      <c r="H2673" s="70"/>
      <c r="I2673" s="70"/>
      <c r="J2673" s="172"/>
      <c r="K2673" s="180"/>
      <c r="L2673" s="180"/>
      <c r="M2673" s="180"/>
      <c r="N2673" s="180"/>
      <c r="O2673" s="180"/>
      <c r="P2673" s="180"/>
      <c r="Q2673" s="180"/>
      <c r="R2673" s="180"/>
    </row>
    <row r="2674" spans="1:20" s="18" customFormat="1" hidden="1">
      <c r="A2674" s="16" t="s">
        <v>152</v>
      </c>
      <c r="B2674" s="15" t="s">
        <v>804</v>
      </c>
      <c r="C2674" s="15" t="s">
        <v>43</v>
      </c>
      <c r="D2674" s="15" t="s">
        <v>18</v>
      </c>
      <c r="E2674" s="15" t="s">
        <v>270</v>
      </c>
      <c r="F2674" s="15" t="s">
        <v>153</v>
      </c>
      <c r="G2674" s="70">
        <f>G2675</f>
        <v>0</v>
      </c>
      <c r="H2674" s="70">
        <f>H2675</f>
        <v>0</v>
      </c>
      <c r="I2674" s="70">
        <f>I2675</f>
        <v>0</v>
      </c>
      <c r="J2674" s="172"/>
      <c r="K2674" s="180"/>
      <c r="L2674" s="180"/>
      <c r="M2674" s="180"/>
      <c r="N2674" s="180"/>
      <c r="O2674" s="180"/>
      <c r="P2674" s="180"/>
      <c r="Q2674" s="180"/>
      <c r="R2674" s="180"/>
    </row>
    <row r="2675" spans="1:20" s="18" customFormat="1" hidden="1">
      <c r="A2675" s="16" t="s">
        <v>172</v>
      </c>
      <c r="B2675" s="15" t="s">
        <v>804</v>
      </c>
      <c r="C2675" s="15" t="s">
        <v>43</v>
      </c>
      <c r="D2675" s="15" t="s">
        <v>18</v>
      </c>
      <c r="E2675" s="15" t="s">
        <v>270</v>
      </c>
      <c r="F2675" s="15" t="s">
        <v>173</v>
      </c>
      <c r="G2675" s="70"/>
      <c r="H2675" s="70"/>
      <c r="I2675" s="70"/>
      <c r="J2675" s="172"/>
      <c r="K2675" s="180"/>
      <c r="L2675" s="180"/>
      <c r="M2675" s="180"/>
      <c r="N2675" s="180"/>
      <c r="O2675" s="180"/>
      <c r="P2675" s="180"/>
      <c r="Q2675" s="180"/>
      <c r="R2675" s="180"/>
    </row>
    <row r="2676" spans="1:20" s="3" customFormat="1" ht="57.75" customHeight="1">
      <c r="A2676" s="16" t="s">
        <v>1020</v>
      </c>
      <c r="B2676" s="49">
        <v>793</v>
      </c>
      <c r="C2676" s="15" t="s">
        <v>157</v>
      </c>
      <c r="D2676" s="15" t="s">
        <v>167</v>
      </c>
      <c r="E2676" s="15" t="s">
        <v>1019</v>
      </c>
      <c r="F2676" s="15"/>
      <c r="G2676" s="70">
        <f>G2678</f>
        <v>988607.45</v>
      </c>
      <c r="H2676" s="70">
        <f>H2678</f>
        <v>0</v>
      </c>
      <c r="I2676" s="70">
        <f>I2678</f>
        <v>0</v>
      </c>
      <c r="J2676" s="172"/>
      <c r="K2676" s="62"/>
      <c r="L2676" s="62"/>
      <c r="M2676" s="62"/>
      <c r="N2676" s="62"/>
      <c r="O2676" s="62"/>
      <c r="P2676" s="62"/>
      <c r="Q2676" s="62"/>
      <c r="R2676" s="62"/>
    </row>
    <row r="2677" spans="1:20" s="3" customFormat="1" ht="38.25" customHeight="1">
      <c r="A2677" s="16" t="s">
        <v>35</v>
      </c>
      <c r="B2677" s="49">
        <v>793</v>
      </c>
      <c r="C2677" s="15" t="s">
        <v>157</v>
      </c>
      <c r="D2677" s="15" t="s">
        <v>167</v>
      </c>
      <c r="E2677" s="15" t="s">
        <v>1019</v>
      </c>
      <c r="F2677" s="15" t="s">
        <v>36</v>
      </c>
      <c r="G2677" s="70">
        <f>G2678</f>
        <v>988607.45</v>
      </c>
      <c r="H2677" s="70">
        <f>H2678</f>
        <v>0</v>
      </c>
      <c r="I2677" s="70">
        <f>I2678</f>
        <v>0</v>
      </c>
      <c r="J2677" s="172"/>
      <c r="K2677" s="62"/>
      <c r="L2677" s="62"/>
      <c r="M2677" s="62"/>
      <c r="N2677" s="62"/>
      <c r="O2677" s="62"/>
      <c r="P2677" s="62"/>
      <c r="Q2677" s="62"/>
      <c r="R2677" s="62"/>
    </row>
    <row r="2678" spans="1:20" s="3" customFormat="1" ht="46.5" customHeight="1">
      <c r="A2678" s="16" t="s">
        <v>37</v>
      </c>
      <c r="B2678" s="49">
        <v>793</v>
      </c>
      <c r="C2678" s="15" t="s">
        <v>157</v>
      </c>
      <c r="D2678" s="15" t="s">
        <v>167</v>
      </c>
      <c r="E2678" s="15" t="s">
        <v>1019</v>
      </c>
      <c r="F2678" s="15" t="s">
        <v>38</v>
      </c>
      <c r="G2678" s="70">
        <v>988607.45</v>
      </c>
      <c r="H2678" s="70"/>
      <c r="I2678" s="70"/>
      <c r="J2678" s="172"/>
      <c r="K2678" s="62"/>
      <c r="L2678" s="62"/>
      <c r="M2678" s="62"/>
      <c r="N2678" s="62"/>
      <c r="O2678" s="62"/>
      <c r="P2678" s="62"/>
      <c r="Q2678" s="62"/>
      <c r="R2678" s="62"/>
      <c r="S2678" s="62"/>
      <c r="T2678" s="62"/>
    </row>
    <row r="2679" spans="1:20" s="3" customFormat="1" ht="36.75" customHeight="1">
      <c r="A2679" s="16" t="s">
        <v>158</v>
      </c>
      <c r="B2679" s="49">
        <v>793</v>
      </c>
      <c r="C2679" s="15" t="s">
        <v>157</v>
      </c>
      <c r="D2679" s="15" t="s">
        <v>167</v>
      </c>
      <c r="E2679" s="15" t="s">
        <v>204</v>
      </c>
      <c r="F2679" s="15"/>
      <c r="G2679" s="70">
        <f>G2680</f>
        <v>209900</v>
      </c>
      <c r="H2679" s="70"/>
      <c r="I2679" s="70"/>
      <c r="J2679" s="172"/>
      <c r="K2679" s="62"/>
      <c r="L2679" s="62"/>
      <c r="M2679" s="62"/>
      <c r="N2679" s="62"/>
      <c r="O2679" s="62"/>
      <c r="P2679" s="62"/>
      <c r="Q2679" s="62"/>
      <c r="R2679" s="62"/>
      <c r="S2679" s="62"/>
      <c r="T2679" s="62"/>
    </row>
    <row r="2680" spans="1:20" s="3" customFormat="1" ht="27.75" customHeight="1">
      <c r="A2680" s="16" t="s">
        <v>326</v>
      </c>
      <c r="B2680" s="49">
        <v>793</v>
      </c>
      <c r="C2680" s="15" t="s">
        <v>157</v>
      </c>
      <c r="D2680" s="15" t="s">
        <v>167</v>
      </c>
      <c r="E2680" s="15" t="s">
        <v>205</v>
      </c>
      <c r="F2680" s="15"/>
      <c r="G2680" s="70">
        <f>G2682</f>
        <v>209900</v>
      </c>
      <c r="H2680" s="70">
        <f>H2682</f>
        <v>0</v>
      </c>
      <c r="I2680" s="70">
        <f>I2682</f>
        <v>0</v>
      </c>
      <c r="J2680" s="172"/>
      <c r="K2680" s="62"/>
      <c r="L2680" s="62"/>
      <c r="M2680" s="62"/>
      <c r="N2680" s="62"/>
      <c r="O2680" s="62"/>
      <c r="P2680" s="62"/>
      <c r="Q2680" s="62"/>
      <c r="R2680" s="62"/>
    </row>
    <row r="2681" spans="1:20" s="3" customFormat="1" ht="38.25" customHeight="1">
      <c r="A2681" s="16" t="s">
        <v>35</v>
      </c>
      <c r="B2681" s="49">
        <v>793</v>
      </c>
      <c r="C2681" s="15" t="s">
        <v>157</v>
      </c>
      <c r="D2681" s="15" t="s">
        <v>167</v>
      </c>
      <c r="E2681" s="15" t="s">
        <v>205</v>
      </c>
      <c r="F2681" s="15" t="s">
        <v>36</v>
      </c>
      <c r="G2681" s="70">
        <f>G2682</f>
        <v>209900</v>
      </c>
      <c r="H2681" s="70">
        <f>H2682</f>
        <v>0</v>
      </c>
      <c r="I2681" s="70">
        <f>I2682</f>
        <v>0</v>
      </c>
      <c r="J2681" s="172"/>
      <c r="K2681" s="62"/>
      <c r="L2681" s="62"/>
      <c r="M2681" s="62"/>
      <c r="N2681" s="62"/>
      <c r="O2681" s="62"/>
      <c r="P2681" s="62"/>
      <c r="Q2681" s="62"/>
      <c r="R2681" s="62"/>
    </row>
    <row r="2682" spans="1:20" s="3" customFormat="1" ht="46.5" customHeight="1">
      <c r="A2682" s="16" t="s">
        <v>37</v>
      </c>
      <c r="B2682" s="49">
        <v>793</v>
      </c>
      <c r="C2682" s="15" t="s">
        <v>157</v>
      </c>
      <c r="D2682" s="15" t="s">
        <v>167</v>
      </c>
      <c r="E2682" s="15" t="s">
        <v>205</v>
      </c>
      <c r="F2682" s="15" t="s">
        <v>38</v>
      </c>
      <c r="G2682" s="70">
        <v>209900</v>
      </c>
      <c r="H2682" s="70"/>
      <c r="I2682" s="70"/>
      <c r="J2682" s="172"/>
      <c r="K2682" s="62"/>
      <c r="L2682" s="62"/>
      <c r="M2682" s="62"/>
      <c r="N2682" s="62"/>
      <c r="O2682" s="62"/>
      <c r="P2682" s="62"/>
      <c r="Q2682" s="62"/>
      <c r="R2682" s="62"/>
      <c r="S2682" s="62"/>
      <c r="T2682" s="62"/>
    </row>
    <row r="2683" spans="1:20">
      <c r="A2683" s="11" t="s">
        <v>24</v>
      </c>
      <c r="B2683" s="260">
        <v>793</v>
      </c>
      <c r="C2683" s="261" t="s">
        <v>25</v>
      </c>
      <c r="D2683" s="261"/>
      <c r="E2683" s="261"/>
      <c r="F2683" s="261"/>
      <c r="G2683" s="258">
        <f>G2684+G2709+G2701</f>
        <v>3045872.14</v>
      </c>
      <c r="H2683" s="258"/>
      <c r="I2683" s="258"/>
      <c r="J2683" s="186"/>
      <c r="K2683" s="204"/>
    </row>
    <row r="2684" spans="1:20" ht="22.5" customHeight="1">
      <c r="A2684" s="132" t="s">
        <v>26</v>
      </c>
      <c r="B2684" s="49">
        <v>793</v>
      </c>
      <c r="C2684" s="84" t="s">
        <v>25</v>
      </c>
      <c r="D2684" s="84" t="s">
        <v>27</v>
      </c>
      <c r="E2684" s="84"/>
      <c r="F2684" s="84"/>
      <c r="G2684" s="87">
        <f>G2694+G2979+G2987+G2998+G3002+G2983+G3005+G3015+G3032+G3025+G3039+G3046+G2685</f>
        <v>1672939.1400000001</v>
      </c>
      <c r="H2684" s="87">
        <f>H2694+H2979+H2987+H2998+H3002+H2983+H3005+H3015+H3032</f>
        <v>0</v>
      </c>
      <c r="I2684" s="87">
        <f>I2694+I2979+I2987+I2998+I3002+I2983+I3005+I3015+I3032</f>
        <v>0</v>
      </c>
      <c r="J2684" s="173"/>
    </row>
    <row r="2685" spans="1:20" s="33" customFormat="1" ht="64.5" customHeight="1">
      <c r="A2685" s="16" t="s">
        <v>1126</v>
      </c>
      <c r="B2685" s="14">
        <v>793</v>
      </c>
      <c r="C2685" s="15" t="s">
        <v>25</v>
      </c>
      <c r="D2685" s="15" t="s">
        <v>27</v>
      </c>
      <c r="E2685" s="14" t="s">
        <v>242</v>
      </c>
      <c r="F2685" s="15"/>
      <c r="G2685" s="70">
        <f>G2686+G2691</f>
        <v>504772.57</v>
      </c>
      <c r="H2685" s="70">
        <f t="shared" ref="H2685:I2685" si="710">H2691+H2694</f>
        <v>0</v>
      </c>
      <c r="I2685" s="70">
        <f t="shared" si="710"/>
        <v>0</v>
      </c>
      <c r="J2685" s="172"/>
      <c r="K2685" s="329"/>
      <c r="L2685" s="329"/>
      <c r="M2685" s="329"/>
      <c r="N2685" s="329"/>
      <c r="O2685" s="329"/>
      <c r="P2685" s="329"/>
      <c r="Q2685" s="329"/>
      <c r="R2685" s="329"/>
    </row>
    <row r="2686" spans="1:20" ht="42" customHeight="1">
      <c r="A2686" s="80" t="s">
        <v>1470</v>
      </c>
      <c r="B2686" s="14">
        <v>793</v>
      </c>
      <c r="C2686" s="15" t="s">
        <v>25</v>
      </c>
      <c r="D2686" s="15" t="s">
        <v>27</v>
      </c>
      <c r="E2686" s="15" t="s">
        <v>1471</v>
      </c>
      <c r="F2686" s="15"/>
      <c r="G2686" s="70">
        <f>G2687+G2689</f>
        <v>25275.63</v>
      </c>
      <c r="H2686" s="70">
        <f t="shared" ref="H2686:I2686" si="711">H2687+H2689</f>
        <v>0</v>
      </c>
      <c r="I2686" s="70">
        <f t="shared" si="711"/>
        <v>0</v>
      </c>
      <c r="J2686" s="172"/>
      <c r="K2686" s="69"/>
      <c r="L2686" s="69"/>
      <c r="M2686" s="69"/>
      <c r="N2686" s="69"/>
      <c r="O2686" s="69"/>
      <c r="P2686" s="69"/>
      <c r="Q2686" s="69"/>
      <c r="R2686" s="69"/>
    </row>
    <row r="2687" spans="1:20" ht="19.5" hidden="1" customHeight="1">
      <c r="A2687" s="16" t="s">
        <v>152</v>
      </c>
      <c r="B2687" s="14">
        <v>793</v>
      </c>
      <c r="C2687" s="15" t="s">
        <v>18</v>
      </c>
      <c r="D2687" s="15" t="s">
        <v>22</v>
      </c>
      <c r="E2687" s="15" t="s">
        <v>370</v>
      </c>
      <c r="F2687" s="15" t="s">
        <v>153</v>
      </c>
      <c r="G2687" s="70">
        <f>G2688</f>
        <v>0</v>
      </c>
      <c r="H2687" s="70">
        <f t="shared" ref="H2687:I2689" si="712">H2688</f>
        <v>0</v>
      </c>
      <c r="I2687" s="70">
        <f t="shared" si="712"/>
        <v>0</v>
      </c>
      <c r="J2687" s="172"/>
      <c r="K2687" s="69"/>
      <c r="L2687" s="69"/>
      <c r="M2687" s="69"/>
      <c r="N2687" s="69"/>
      <c r="O2687" s="69"/>
      <c r="P2687" s="69"/>
      <c r="Q2687" s="69"/>
      <c r="R2687" s="69"/>
    </row>
    <row r="2688" spans="1:20" ht="12" hidden="1" customHeight="1">
      <c r="A2688" s="16" t="s">
        <v>172</v>
      </c>
      <c r="B2688" s="14">
        <v>793</v>
      </c>
      <c r="C2688" s="15" t="s">
        <v>18</v>
      </c>
      <c r="D2688" s="15" t="s">
        <v>22</v>
      </c>
      <c r="E2688" s="15" t="s">
        <v>370</v>
      </c>
      <c r="F2688" s="15" t="s">
        <v>173</v>
      </c>
      <c r="G2688" s="70"/>
      <c r="H2688" s="70"/>
      <c r="I2688" s="70"/>
      <c r="J2688" s="172"/>
      <c r="K2688" s="69"/>
      <c r="L2688" s="69"/>
      <c r="M2688" s="69"/>
      <c r="N2688" s="69"/>
      <c r="O2688" s="69"/>
      <c r="P2688" s="69"/>
      <c r="Q2688" s="69"/>
      <c r="R2688" s="69"/>
    </row>
    <row r="2689" spans="1:18" ht="22.5" customHeight="1">
      <c r="A2689" s="16" t="s">
        <v>316</v>
      </c>
      <c r="B2689" s="14">
        <v>793</v>
      </c>
      <c r="C2689" s="15" t="s">
        <v>25</v>
      </c>
      <c r="D2689" s="15" t="s">
        <v>27</v>
      </c>
      <c r="E2689" s="15" t="s">
        <v>1471</v>
      </c>
      <c r="F2689" s="15" t="s">
        <v>36</v>
      </c>
      <c r="G2689" s="70">
        <f>G2690</f>
        <v>25275.63</v>
      </c>
      <c r="H2689" s="70">
        <f t="shared" si="712"/>
        <v>0</v>
      </c>
      <c r="I2689" s="70">
        <f t="shared" si="712"/>
        <v>0</v>
      </c>
      <c r="J2689" s="172"/>
      <c r="K2689" s="69"/>
      <c r="L2689" s="69"/>
      <c r="M2689" s="69"/>
      <c r="N2689" s="69"/>
      <c r="O2689" s="69"/>
      <c r="P2689" s="69"/>
      <c r="Q2689" s="69"/>
      <c r="R2689" s="69"/>
    </row>
    <row r="2690" spans="1:18" ht="28.5" customHeight="1">
      <c r="A2690" s="16" t="s">
        <v>37</v>
      </c>
      <c r="B2690" s="14">
        <v>793</v>
      </c>
      <c r="C2690" s="15" t="s">
        <v>25</v>
      </c>
      <c r="D2690" s="15" t="s">
        <v>27</v>
      </c>
      <c r="E2690" s="15" t="s">
        <v>1471</v>
      </c>
      <c r="F2690" s="15" t="s">
        <v>38</v>
      </c>
      <c r="G2690" s="70">
        <v>25275.63</v>
      </c>
      <c r="H2690" s="70">
        <v>0</v>
      </c>
      <c r="I2690" s="70">
        <v>0</v>
      </c>
      <c r="J2690" s="172"/>
      <c r="K2690" s="69"/>
      <c r="L2690" s="69"/>
      <c r="M2690" s="69"/>
      <c r="N2690" s="69"/>
      <c r="O2690" s="69"/>
      <c r="P2690" s="69"/>
      <c r="Q2690" s="69"/>
      <c r="R2690" s="69"/>
    </row>
    <row r="2691" spans="1:18" ht="40.5" customHeight="1">
      <c r="A2691" s="16" t="s">
        <v>1473</v>
      </c>
      <c r="B2691" s="14">
        <v>793</v>
      </c>
      <c r="C2691" s="15" t="s">
        <v>25</v>
      </c>
      <c r="D2691" s="15" t="s">
        <v>27</v>
      </c>
      <c r="E2691" s="15" t="s">
        <v>1472</v>
      </c>
      <c r="F2691" s="15"/>
      <c r="G2691" s="70">
        <f>G2692</f>
        <v>479496.94</v>
      </c>
      <c r="H2691" s="70">
        <f t="shared" ref="H2691:I2691" si="713">H2692</f>
        <v>0</v>
      </c>
      <c r="I2691" s="70">
        <f t="shared" si="713"/>
        <v>0</v>
      </c>
      <c r="J2691" s="172"/>
      <c r="K2691" s="69"/>
      <c r="L2691" s="69"/>
      <c r="M2691" s="69"/>
      <c r="N2691" s="69"/>
      <c r="O2691" s="69"/>
      <c r="P2691" s="69"/>
      <c r="Q2691" s="69"/>
      <c r="R2691" s="69"/>
    </row>
    <row r="2692" spans="1:18" ht="25.5" customHeight="1">
      <c r="A2692" s="16" t="s">
        <v>316</v>
      </c>
      <c r="B2692" s="14">
        <v>793</v>
      </c>
      <c r="C2692" s="15" t="s">
        <v>25</v>
      </c>
      <c r="D2692" s="15" t="s">
        <v>27</v>
      </c>
      <c r="E2692" s="15" t="s">
        <v>1472</v>
      </c>
      <c r="F2692" s="15" t="s">
        <v>36</v>
      </c>
      <c r="G2692" s="70">
        <f>G2693</f>
        <v>479496.94</v>
      </c>
      <c r="H2692" s="70">
        <f>H2693</f>
        <v>0</v>
      </c>
      <c r="I2692" s="70">
        <f>I2693</f>
        <v>0</v>
      </c>
      <c r="J2692" s="172"/>
      <c r="K2692" s="69"/>
      <c r="L2692" s="69"/>
      <c r="M2692" s="69"/>
      <c r="N2692" s="69"/>
      <c r="O2692" s="69"/>
      <c r="P2692" s="69"/>
      <c r="Q2692" s="69"/>
      <c r="R2692" s="69"/>
    </row>
    <row r="2693" spans="1:18" ht="25.5" customHeight="1">
      <c r="A2693" s="16" t="s">
        <v>37</v>
      </c>
      <c r="B2693" s="14">
        <v>793</v>
      </c>
      <c r="C2693" s="15" t="s">
        <v>25</v>
      </c>
      <c r="D2693" s="15" t="s">
        <v>27</v>
      </c>
      <c r="E2693" s="15" t="s">
        <v>1472</v>
      </c>
      <c r="F2693" s="15" t="s">
        <v>38</v>
      </c>
      <c r="G2693" s="70">
        <v>479496.94</v>
      </c>
      <c r="H2693" s="70">
        <v>0</v>
      </c>
      <c r="I2693" s="70">
        <v>0</v>
      </c>
      <c r="J2693" s="172"/>
      <c r="K2693" s="69"/>
      <c r="L2693" s="69"/>
      <c r="M2693" s="69"/>
      <c r="N2693" s="69"/>
      <c r="O2693" s="69"/>
      <c r="P2693" s="69"/>
      <c r="Q2693" s="69"/>
      <c r="R2693" s="69"/>
    </row>
    <row r="2694" spans="1:18" s="18" customFormat="1" ht="52.8">
      <c r="A2694" s="16" t="s">
        <v>1132</v>
      </c>
      <c r="B2694" s="49">
        <v>793</v>
      </c>
      <c r="C2694" s="84" t="s">
        <v>25</v>
      </c>
      <c r="D2694" s="84" t="s">
        <v>27</v>
      </c>
      <c r="E2694" s="84" t="s">
        <v>208</v>
      </c>
      <c r="F2694" s="15"/>
      <c r="G2694" s="70">
        <f>G2698+G2695</f>
        <v>1168166.57</v>
      </c>
      <c r="H2694" s="70">
        <v>0</v>
      </c>
      <c r="I2694" s="70">
        <v>0</v>
      </c>
      <c r="J2694" s="172"/>
      <c r="K2694" s="180"/>
      <c r="L2694" s="180"/>
      <c r="M2694" s="180"/>
      <c r="N2694" s="180"/>
      <c r="O2694" s="180"/>
      <c r="P2694" s="180"/>
      <c r="Q2694" s="180"/>
      <c r="R2694" s="180"/>
    </row>
    <row r="2695" spans="1:18" s="3" customFormat="1" ht="105.6">
      <c r="A2695" s="82" t="s">
        <v>1430</v>
      </c>
      <c r="B2695" s="49">
        <v>793</v>
      </c>
      <c r="C2695" s="84" t="s">
        <v>25</v>
      </c>
      <c r="D2695" s="84" t="s">
        <v>27</v>
      </c>
      <c r="E2695" s="84" t="s">
        <v>1431</v>
      </c>
      <c r="F2695" s="84"/>
      <c r="G2695" s="87">
        <f t="shared" ref="G2695:I2696" si="714">G2696</f>
        <v>1168166.57</v>
      </c>
      <c r="H2695" s="87">
        <f t="shared" si="714"/>
        <v>0</v>
      </c>
      <c r="I2695" s="87">
        <f t="shared" si="714"/>
        <v>0</v>
      </c>
      <c r="J2695" s="173"/>
      <c r="K2695" s="194"/>
      <c r="L2695" s="194"/>
      <c r="M2695" s="194"/>
      <c r="N2695" s="194"/>
      <c r="O2695" s="194"/>
      <c r="P2695" s="194"/>
      <c r="Q2695" s="194"/>
      <c r="R2695" s="194"/>
    </row>
    <row r="2696" spans="1:18" s="3" customFormat="1" ht="26.4">
      <c r="A2696" s="82" t="s">
        <v>94</v>
      </c>
      <c r="B2696" s="49">
        <v>793</v>
      </c>
      <c r="C2696" s="84" t="s">
        <v>25</v>
      </c>
      <c r="D2696" s="84" t="s">
        <v>27</v>
      </c>
      <c r="E2696" s="84" t="s">
        <v>1431</v>
      </c>
      <c r="F2696" s="84" t="s">
        <v>338</v>
      </c>
      <c r="G2696" s="87">
        <f t="shared" si="714"/>
        <v>1168166.57</v>
      </c>
      <c r="H2696" s="87">
        <f t="shared" si="714"/>
        <v>0</v>
      </c>
      <c r="I2696" s="87">
        <f t="shared" si="714"/>
        <v>0</v>
      </c>
      <c r="J2696" s="173"/>
      <c r="K2696" s="194"/>
      <c r="L2696" s="194"/>
      <c r="M2696" s="194"/>
      <c r="N2696" s="194"/>
      <c r="O2696" s="194"/>
      <c r="P2696" s="194"/>
      <c r="Q2696" s="194"/>
      <c r="R2696" s="194"/>
    </row>
    <row r="2697" spans="1:18" s="3" customFormat="1">
      <c r="A2697" s="82" t="s">
        <v>339</v>
      </c>
      <c r="B2697" s="49">
        <v>793</v>
      </c>
      <c r="C2697" s="84" t="s">
        <v>25</v>
      </c>
      <c r="D2697" s="84" t="s">
        <v>27</v>
      </c>
      <c r="E2697" s="84" t="s">
        <v>1431</v>
      </c>
      <c r="F2697" s="84" t="s">
        <v>340</v>
      </c>
      <c r="G2697" s="87">
        <f>1500000-331833.43</f>
        <v>1168166.57</v>
      </c>
      <c r="H2697" s="87">
        <v>0</v>
      </c>
      <c r="I2697" s="87">
        <v>0</v>
      </c>
      <c r="J2697" s="173"/>
      <c r="K2697" s="194"/>
      <c r="L2697" s="194"/>
      <c r="M2697" s="194"/>
      <c r="N2697" s="194"/>
      <c r="O2697" s="194"/>
      <c r="P2697" s="194"/>
      <c r="Q2697" s="194"/>
      <c r="R2697" s="194"/>
    </row>
    <row r="2698" spans="1:18" s="3" customFormat="1" ht="66">
      <c r="A2698" s="82" t="s">
        <v>1233</v>
      </c>
      <c r="B2698" s="49">
        <v>793</v>
      </c>
      <c r="C2698" s="84" t="s">
        <v>25</v>
      </c>
      <c r="D2698" s="84" t="s">
        <v>27</v>
      </c>
      <c r="E2698" s="84" t="s">
        <v>1298</v>
      </c>
      <c r="F2698" s="84"/>
      <c r="G2698" s="87">
        <f t="shared" ref="G2698:I2699" si="715">G2699</f>
        <v>0</v>
      </c>
      <c r="H2698" s="87">
        <f t="shared" si="715"/>
        <v>0</v>
      </c>
      <c r="I2698" s="87">
        <f t="shared" si="715"/>
        <v>0</v>
      </c>
      <c r="J2698" s="173"/>
      <c r="K2698" s="194"/>
      <c r="L2698" s="194"/>
      <c r="M2698" s="194"/>
      <c r="N2698" s="194"/>
      <c r="O2698" s="194"/>
      <c r="P2698" s="194"/>
      <c r="Q2698" s="194"/>
      <c r="R2698" s="194"/>
    </row>
    <row r="2699" spans="1:18" s="3" customFormat="1" ht="26.4">
      <c r="A2699" s="82" t="s">
        <v>94</v>
      </c>
      <c r="B2699" s="49">
        <v>793</v>
      </c>
      <c r="C2699" s="84" t="s">
        <v>25</v>
      </c>
      <c r="D2699" s="84" t="s">
        <v>27</v>
      </c>
      <c r="E2699" s="84" t="s">
        <v>1298</v>
      </c>
      <c r="F2699" s="84" t="s">
        <v>338</v>
      </c>
      <c r="G2699" s="87">
        <f t="shared" si="715"/>
        <v>0</v>
      </c>
      <c r="H2699" s="87">
        <f t="shared" si="715"/>
        <v>0</v>
      </c>
      <c r="I2699" s="87">
        <f t="shared" si="715"/>
        <v>0</v>
      </c>
      <c r="J2699" s="173"/>
      <c r="K2699" s="194"/>
      <c r="L2699" s="194"/>
      <c r="M2699" s="194"/>
      <c r="N2699" s="194"/>
      <c r="O2699" s="194"/>
      <c r="P2699" s="194"/>
      <c r="Q2699" s="194"/>
      <c r="R2699" s="194"/>
    </row>
    <row r="2700" spans="1:18" s="3" customFormat="1">
      <c r="A2700" s="82" t="s">
        <v>339</v>
      </c>
      <c r="B2700" s="49">
        <v>793</v>
      </c>
      <c r="C2700" s="84" t="s">
        <v>25</v>
      </c>
      <c r="D2700" s="84" t="s">
        <v>27</v>
      </c>
      <c r="E2700" s="84" t="s">
        <v>1298</v>
      </c>
      <c r="F2700" s="84" t="s">
        <v>340</v>
      </c>
      <c r="G2700" s="87"/>
      <c r="H2700" s="87">
        <v>0</v>
      </c>
      <c r="I2700" s="87">
        <v>0</v>
      </c>
      <c r="J2700" s="173"/>
      <c r="K2700" s="194"/>
      <c r="L2700" s="194"/>
      <c r="M2700" s="194"/>
      <c r="N2700" s="194"/>
      <c r="O2700" s="194"/>
      <c r="P2700" s="194"/>
      <c r="Q2700" s="194"/>
      <c r="R2700" s="194"/>
    </row>
    <row r="2701" spans="1:18" s="3" customFormat="1">
      <c r="A2701" s="82" t="s">
        <v>93</v>
      </c>
      <c r="B2701" s="49">
        <v>793</v>
      </c>
      <c r="C2701" s="84" t="s">
        <v>25</v>
      </c>
      <c r="D2701" s="84" t="s">
        <v>69</v>
      </c>
      <c r="E2701" s="84"/>
      <c r="F2701" s="84"/>
      <c r="G2701" s="87">
        <f>G2702</f>
        <v>372933</v>
      </c>
      <c r="H2701" s="87"/>
      <c r="I2701" s="87"/>
      <c r="J2701" s="173"/>
      <c r="K2701" s="194"/>
      <c r="L2701" s="194"/>
      <c r="M2701" s="194"/>
      <c r="N2701" s="194"/>
      <c r="O2701" s="194"/>
      <c r="P2701" s="194"/>
      <c r="Q2701" s="194"/>
      <c r="R2701" s="194"/>
    </row>
    <row r="2702" spans="1:18" s="3" customFormat="1" ht="60.75" customHeight="1">
      <c r="A2702" s="82" t="s">
        <v>1126</v>
      </c>
      <c r="B2702" s="49">
        <v>793</v>
      </c>
      <c r="C2702" s="84" t="s">
        <v>25</v>
      </c>
      <c r="D2702" s="84" t="s">
        <v>69</v>
      </c>
      <c r="E2702" s="84" t="s">
        <v>242</v>
      </c>
      <c r="F2702" s="84"/>
      <c r="G2702" s="87">
        <f>G2703+G2706</f>
        <v>372933</v>
      </c>
      <c r="H2702" s="87"/>
      <c r="I2702" s="87"/>
      <c r="J2702" s="173"/>
      <c r="K2702" s="194"/>
      <c r="L2702" s="194"/>
      <c r="M2702" s="194"/>
      <c r="N2702" s="194"/>
      <c r="O2702" s="194"/>
      <c r="P2702" s="194"/>
      <c r="Q2702" s="194"/>
      <c r="R2702" s="194"/>
    </row>
    <row r="2703" spans="1:18" ht="40.5" customHeight="1">
      <c r="A2703" s="16" t="s">
        <v>1380</v>
      </c>
      <c r="B2703" s="14">
        <v>793</v>
      </c>
      <c r="C2703" s="84" t="s">
        <v>25</v>
      </c>
      <c r="D2703" s="84" t="s">
        <v>69</v>
      </c>
      <c r="E2703" s="15" t="s">
        <v>1341</v>
      </c>
      <c r="F2703" s="15"/>
      <c r="G2703" s="70">
        <f>G2704</f>
        <v>354286.35</v>
      </c>
      <c r="H2703" s="70">
        <f t="shared" ref="H2703:I2703" si="716">H2704</f>
        <v>0</v>
      </c>
      <c r="I2703" s="70">
        <f t="shared" si="716"/>
        <v>0</v>
      </c>
      <c r="J2703" s="172"/>
      <c r="K2703" s="69"/>
      <c r="L2703" s="69"/>
      <c r="M2703" s="69"/>
      <c r="N2703" s="69"/>
      <c r="O2703" s="69"/>
      <c r="P2703" s="69"/>
      <c r="Q2703" s="69"/>
      <c r="R2703" s="69"/>
    </row>
    <row r="2704" spans="1:18" ht="25.5" customHeight="1">
      <c r="A2704" s="16" t="s">
        <v>316</v>
      </c>
      <c r="B2704" s="14">
        <v>793</v>
      </c>
      <c r="C2704" s="84" t="s">
        <v>25</v>
      </c>
      <c r="D2704" s="84" t="s">
        <v>69</v>
      </c>
      <c r="E2704" s="15" t="s">
        <v>1341</v>
      </c>
      <c r="F2704" s="15" t="s">
        <v>36</v>
      </c>
      <c r="G2704" s="70">
        <f>G2705</f>
        <v>354286.35</v>
      </c>
      <c r="H2704" s="70">
        <f>H2705</f>
        <v>0</v>
      </c>
      <c r="I2704" s="70">
        <f>I2705</f>
        <v>0</v>
      </c>
      <c r="J2704" s="172"/>
      <c r="K2704" s="69"/>
      <c r="L2704" s="69"/>
      <c r="M2704" s="69"/>
      <c r="N2704" s="69"/>
      <c r="O2704" s="69"/>
      <c r="P2704" s="69"/>
      <c r="Q2704" s="69"/>
      <c r="R2704" s="69"/>
    </row>
    <row r="2705" spans="1:18" ht="25.5" customHeight="1">
      <c r="A2705" s="16" t="s">
        <v>37</v>
      </c>
      <c r="B2705" s="14">
        <v>793</v>
      </c>
      <c r="C2705" s="84" t="s">
        <v>25</v>
      </c>
      <c r="D2705" s="84" t="s">
        <v>69</v>
      </c>
      <c r="E2705" s="15" t="s">
        <v>1341</v>
      </c>
      <c r="F2705" s="15" t="s">
        <v>38</v>
      </c>
      <c r="G2705" s="70">
        <v>354286.35</v>
      </c>
      <c r="H2705" s="70"/>
      <c r="I2705" s="70"/>
      <c r="J2705" s="172"/>
      <c r="K2705" s="69"/>
      <c r="L2705" s="69"/>
      <c r="M2705" s="69"/>
      <c r="N2705" s="69"/>
      <c r="O2705" s="69"/>
      <c r="P2705" s="69"/>
      <c r="Q2705" s="69"/>
      <c r="R2705" s="69"/>
    </row>
    <row r="2706" spans="1:18" ht="40.5" customHeight="1">
      <c r="A2706" s="16" t="s">
        <v>1345</v>
      </c>
      <c r="B2706" s="14">
        <v>793</v>
      </c>
      <c r="C2706" s="84" t="s">
        <v>25</v>
      </c>
      <c r="D2706" s="84" t="s">
        <v>69</v>
      </c>
      <c r="E2706" s="15" t="s">
        <v>1342</v>
      </c>
      <c r="F2706" s="15"/>
      <c r="G2706" s="70">
        <f>G2707</f>
        <v>18646.650000000001</v>
      </c>
      <c r="H2706" s="70">
        <f t="shared" ref="H2706:I2706" si="717">H2707</f>
        <v>0</v>
      </c>
      <c r="I2706" s="70">
        <f t="shared" si="717"/>
        <v>0</v>
      </c>
      <c r="J2706" s="172"/>
      <c r="K2706" s="69"/>
      <c r="L2706" s="69"/>
      <c r="M2706" s="69"/>
      <c r="N2706" s="69"/>
      <c r="O2706" s="69"/>
      <c r="P2706" s="69"/>
      <c r="Q2706" s="69"/>
      <c r="R2706" s="69"/>
    </row>
    <row r="2707" spans="1:18" ht="25.5" customHeight="1">
      <c r="A2707" s="16" t="s">
        <v>1474</v>
      </c>
      <c r="B2707" s="14">
        <v>793</v>
      </c>
      <c r="C2707" s="84" t="s">
        <v>25</v>
      </c>
      <c r="D2707" s="84" t="s">
        <v>69</v>
      </c>
      <c r="E2707" s="15" t="s">
        <v>1342</v>
      </c>
      <c r="F2707" s="15" t="s">
        <v>36</v>
      </c>
      <c r="G2707" s="70">
        <f>G2708</f>
        <v>18646.650000000001</v>
      </c>
      <c r="H2707" s="70">
        <f>H2708</f>
        <v>0</v>
      </c>
      <c r="I2707" s="70">
        <f>I2708</f>
        <v>0</v>
      </c>
      <c r="J2707" s="172"/>
      <c r="K2707" s="69"/>
      <c r="L2707" s="69"/>
      <c r="M2707" s="69"/>
      <c r="N2707" s="69"/>
      <c r="O2707" s="69"/>
      <c r="P2707" s="69"/>
      <c r="Q2707" s="69"/>
      <c r="R2707" s="69"/>
    </row>
    <row r="2708" spans="1:18" ht="25.5" customHeight="1">
      <c r="A2708" s="16" t="s">
        <v>37</v>
      </c>
      <c r="B2708" s="14">
        <v>793</v>
      </c>
      <c r="C2708" s="84" t="s">
        <v>25</v>
      </c>
      <c r="D2708" s="84" t="s">
        <v>69</v>
      </c>
      <c r="E2708" s="15" t="s">
        <v>1342</v>
      </c>
      <c r="F2708" s="15" t="s">
        <v>38</v>
      </c>
      <c r="G2708" s="70">
        <v>18646.650000000001</v>
      </c>
      <c r="H2708" s="70"/>
      <c r="I2708" s="70"/>
      <c r="J2708" s="172"/>
      <c r="K2708" s="69"/>
      <c r="L2708" s="69"/>
      <c r="M2708" s="69"/>
      <c r="N2708" s="69"/>
      <c r="O2708" s="69"/>
      <c r="P2708" s="69"/>
      <c r="Q2708" s="69"/>
      <c r="R2708" s="69"/>
    </row>
    <row r="2709" spans="1:18" s="3" customFormat="1">
      <c r="A2709" s="82" t="s">
        <v>1300</v>
      </c>
      <c r="B2709" s="49">
        <v>793</v>
      </c>
      <c r="C2709" s="84" t="s">
        <v>25</v>
      </c>
      <c r="D2709" s="84" t="s">
        <v>25</v>
      </c>
      <c r="E2709" s="84"/>
      <c r="F2709" s="84"/>
      <c r="G2709" s="87">
        <f>G2710</f>
        <v>1000000</v>
      </c>
      <c r="H2709" s="87">
        <v>0</v>
      </c>
      <c r="I2709" s="87">
        <v>0</v>
      </c>
      <c r="J2709" s="173"/>
      <c r="K2709" s="194"/>
      <c r="L2709" s="194"/>
      <c r="M2709" s="194"/>
      <c r="N2709" s="194"/>
      <c r="O2709" s="194"/>
      <c r="P2709" s="194"/>
      <c r="Q2709" s="194"/>
      <c r="R2709" s="194"/>
    </row>
    <row r="2710" spans="1:18" s="18" customFormat="1" ht="52.8">
      <c r="A2710" s="16" t="s">
        <v>1132</v>
      </c>
      <c r="B2710" s="49">
        <v>793</v>
      </c>
      <c r="C2710" s="84" t="s">
        <v>25</v>
      </c>
      <c r="D2710" s="84" t="s">
        <v>25</v>
      </c>
      <c r="E2710" s="84" t="s">
        <v>208</v>
      </c>
      <c r="F2710" s="15"/>
      <c r="G2710" s="70">
        <f>G2714+G2711</f>
        <v>1000000</v>
      </c>
      <c r="H2710" s="70">
        <v>0</v>
      </c>
      <c r="I2710" s="70">
        <v>0</v>
      </c>
      <c r="J2710" s="172"/>
      <c r="K2710" s="180"/>
      <c r="L2710" s="180"/>
      <c r="M2710" s="180"/>
      <c r="N2710" s="180"/>
      <c r="O2710" s="180"/>
      <c r="P2710" s="180"/>
      <c r="Q2710" s="180"/>
      <c r="R2710" s="180"/>
    </row>
    <row r="2711" spans="1:18" s="3" customFormat="1" ht="132">
      <c r="A2711" s="82" t="s">
        <v>1432</v>
      </c>
      <c r="B2711" s="49">
        <v>793</v>
      </c>
      <c r="C2711" s="84" t="s">
        <v>25</v>
      </c>
      <c r="D2711" s="84" t="s">
        <v>25</v>
      </c>
      <c r="E2711" s="84" t="s">
        <v>1433</v>
      </c>
      <c r="F2711" s="84"/>
      <c r="G2711" s="87">
        <f t="shared" ref="G2711:I2712" si="718">G2712</f>
        <v>600000</v>
      </c>
      <c r="H2711" s="87">
        <f t="shared" si="718"/>
        <v>0</v>
      </c>
      <c r="I2711" s="87">
        <f t="shared" si="718"/>
        <v>0</v>
      </c>
      <c r="J2711" s="173"/>
      <c r="K2711" s="194"/>
      <c r="L2711" s="194"/>
      <c r="M2711" s="194"/>
      <c r="N2711" s="194"/>
      <c r="O2711" s="194"/>
      <c r="P2711" s="194"/>
      <c r="Q2711" s="194"/>
      <c r="R2711" s="194"/>
    </row>
    <row r="2712" spans="1:18" s="3" customFormat="1" ht="26.4">
      <c r="A2712" s="82" t="s">
        <v>94</v>
      </c>
      <c r="B2712" s="49">
        <v>793</v>
      </c>
      <c r="C2712" s="84" t="s">
        <v>25</v>
      </c>
      <c r="D2712" s="84" t="s">
        <v>25</v>
      </c>
      <c r="E2712" s="84" t="s">
        <v>1433</v>
      </c>
      <c r="F2712" s="84" t="s">
        <v>338</v>
      </c>
      <c r="G2712" s="87">
        <f t="shared" si="718"/>
        <v>600000</v>
      </c>
      <c r="H2712" s="87">
        <f t="shared" si="718"/>
        <v>0</v>
      </c>
      <c r="I2712" s="87">
        <f t="shared" si="718"/>
        <v>0</v>
      </c>
      <c r="J2712" s="173"/>
      <c r="K2712" s="194"/>
      <c r="L2712" s="194"/>
      <c r="M2712" s="194"/>
      <c r="N2712" s="194"/>
      <c r="O2712" s="194"/>
      <c r="P2712" s="194"/>
      <c r="Q2712" s="194"/>
      <c r="R2712" s="194"/>
    </row>
    <row r="2713" spans="1:18" s="3" customFormat="1">
      <c r="A2713" s="82" t="s">
        <v>339</v>
      </c>
      <c r="B2713" s="49">
        <v>793</v>
      </c>
      <c r="C2713" s="84" t="s">
        <v>25</v>
      </c>
      <c r="D2713" s="84" t="s">
        <v>25</v>
      </c>
      <c r="E2713" s="84" t="s">
        <v>1433</v>
      </c>
      <c r="F2713" s="84" t="s">
        <v>340</v>
      </c>
      <c r="G2713" s="87">
        <v>600000</v>
      </c>
      <c r="H2713" s="87">
        <v>0</v>
      </c>
      <c r="I2713" s="87">
        <v>0</v>
      </c>
      <c r="J2713" s="173"/>
      <c r="K2713" s="194"/>
      <c r="L2713" s="194"/>
      <c r="M2713" s="194"/>
      <c r="N2713" s="194"/>
      <c r="O2713" s="194"/>
      <c r="P2713" s="194"/>
      <c r="Q2713" s="194"/>
      <c r="R2713" s="194"/>
    </row>
    <row r="2714" spans="1:18" s="3" customFormat="1" ht="115.5" customHeight="1">
      <c r="A2714" s="130" t="s">
        <v>1508</v>
      </c>
      <c r="B2714" s="49">
        <v>793</v>
      </c>
      <c r="C2714" s="84" t="s">
        <v>25</v>
      </c>
      <c r="D2714" s="84" t="s">
        <v>25</v>
      </c>
      <c r="E2714" s="84" t="s">
        <v>1299</v>
      </c>
      <c r="F2714" s="84"/>
      <c r="G2714" s="87">
        <f t="shared" ref="G2714:I2715" si="719">G2715</f>
        <v>400000</v>
      </c>
      <c r="H2714" s="87">
        <f t="shared" si="719"/>
        <v>0</v>
      </c>
      <c r="I2714" s="87">
        <f t="shared" si="719"/>
        <v>0</v>
      </c>
      <c r="J2714" s="173"/>
      <c r="K2714" s="194"/>
      <c r="L2714" s="194"/>
      <c r="M2714" s="194"/>
      <c r="N2714" s="194"/>
      <c r="O2714" s="194"/>
      <c r="P2714" s="194"/>
      <c r="Q2714" s="194"/>
      <c r="R2714" s="194"/>
    </row>
    <row r="2715" spans="1:18" s="3" customFormat="1" ht="26.4">
      <c r="A2715" s="82" t="s">
        <v>94</v>
      </c>
      <c r="B2715" s="49">
        <v>793</v>
      </c>
      <c r="C2715" s="84" t="s">
        <v>25</v>
      </c>
      <c r="D2715" s="84" t="s">
        <v>25</v>
      </c>
      <c r="E2715" s="84" t="s">
        <v>1299</v>
      </c>
      <c r="F2715" s="84" t="s">
        <v>338</v>
      </c>
      <c r="G2715" s="87">
        <f t="shared" si="719"/>
        <v>400000</v>
      </c>
      <c r="H2715" s="87">
        <f t="shared" si="719"/>
        <v>0</v>
      </c>
      <c r="I2715" s="87">
        <f t="shared" si="719"/>
        <v>0</v>
      </c>
      <c r="J2715" s="173"/>
      <c r="K2715" s="194"/>
      <c r="L2715" s="194"/>
      <c r="M2715" s="194"/>
      <c r="N2715" s="194"/>
      <c r="O2715" s="194"/>
      <c r="P2715" s="194"/>
      <c r="Q2715" s="194"/>
      <c r="R2715" s="194"/>
    </row>
    <row r="2716" spans="1:18" s="3" customFormat="1">
      <c r="A2716" s="82" t="s">
        <v>339</v>
      </c>
      <c r="B2716" s="49">
        <v>793</v>
      </c>
      <c r="C2716" s="84" t="s">
        <v>25</v>
      </c>
      <c r="D2716" s="84" t="s">
        <v>25</v>
      </c>
      <c r="E2716" s="84" t="s">
        <v>1299</v>
      </c>
      <c r="F2716" s="84" t="s">
        <v>340</v>
      </c>
      <c r="G2716" s="87">
        <v>400000</v>
      </c>
      <c r="H2716" s="87">
        <v>0</v>
      </c>
      <c r="I2716" s="87">
        <v>0</v>
      </c>
      <c r="J2716" s="173"/>
      <c r="K2716" s="194"/>
      <c r="L2716" s="194"/>
      <c r="M2716" s="194"/>
      <c r="N2716" s="194"/>
      <c r="O2716" s="194"/>
      <c r="P2716" s="194"/>
      <c r="Q2716" s="194"/>
      <c r="R2716" s="194"/>
    </row>
    <row r="2717" spans="1:18" s="22" customFormat="1" hidden="1">
      <c r="A2717" s="348" t="s">
        <v>42</v>
      </c>
      <c r="B2717" s="264">
        <v>793</v>
      </c>
      <c r="C2717" s="158" t="s">
        <v>43</v>
      </c>
      <c r="D2717" s="158"/>
      <c r="E2717" s="20"/>
      <c r="F2717" s="20"/>
      <c r="G2717" s="12">
        <f>G2718+G3021</f>
        <v>0</v>
      </c>
      <c r="H2717" s="96">
        <f>H2718+H3021</f>
        <v>0</v>
      </c>
      <c r="I2717" s="96">
        <f>I2718+I3021</f>
        <v>0</v>
      </c>
      <c r="J2717" s="187"/>
      <c r="K2717" s="202"/>
      <c r="L2717" s="202"/>
      <c r="M2717" s="203"/>
      <c r="N2717" s="202"/>
      <c r="O2717" s="202"/>
      <c r="P2717" s="202"/>
      <c r="Q2717" s="202"/>
      <c r="R2717" s="202"/>
    </row>
    <row r="2718" spans="1:18" hidden="1">
      <c r="A2718" s="16" t="s">
        <v>44</v>
      </c>
      <c r="B2718" s="145">
        <v>793</v>
      </c>
      <c r="C2718" s="84" t="s">
        <v>43</v>
      </c>
      <c r="D2718" s="84" t="s">
        <v>18</v>
      </c>
      <c r="E2718" s="15"/>
      <c r="F2718" s="15"/>
      <c r="G2718" s="70">
        <f>G2719+G2722</f>
        <v>0</v>
      </c>
      <c r="H2718" s="70"/>
      <c r="I2718" s="70"/>
      <c r="J2718" s="173"/>
      <c r="M2718" s="204"/>
    </row>
    <row r="2719" spans="1:18" ht="40.5" hidden="1" customHeight="1">
      <c r="A2719" s="16" t="s">
        <v>1380</v>
      </c>
      <c r="B2719" s="14">
        <v>793</v>
      </c>
      <c r="C2719" s="84" t="s">
        <v>43</v>
      </c>
      <c r="D2719" s="84" t="s">
        <v>18</v>
      </c>
      <c r="E2719" s="15" t="s">
        <v>1341</v>
      </c>
      <c r="F2719" s="15"/>
      <c r="G2719" s="70">
        <f>G2720</f>
        <v>0</v>
      </c>
      <c r="H2719" s="70">
        <f t="shared" ref="H2719:I2719" si="720">H2720</f>
        <v>0</v>
      </c>
      <c r="I2719" s="70">
        <f t="shared" si="720"/>
        <v>0</v>
      </c>
      <c r="J2719" s="172"/>
      <c r="K2719" s="69"/>
      <c r="L2719" s="69"/>
      <c r="M2719" s="69"/>
      <c r="N2719" s="69"/>
      <c r="O2719" s="69"/>
      <c r="P2719" s="69"/>
      <c r="Q2719" s="69"/>
      <c r="R2719" s="69"/>
    </row>
    <row r="2720" spans="1:18" ht="25.5" hidden="1" customHeight="1">
      <c r="A2720" s="16" t="s">
        <v>316</v>
      </c>
      <c r="B2720" s="14">
        <v>793</v>
      </c>
      <c r="C2720" s="84" t="s">
        <v>43</v>
      </c>
      <c r="D2720" s="84" t="s">
        <v>18</v>
      </c>
      <c r="E2720" s="15" t="s">
        <v>1341</v>
      </c>
      <c r="F2720" s="15" t="s">
        <v>36</v>
      </c>
      <c r="G2720" s="70">
        <f>G2721</f>
        <v>0</v>
      </c>
      <c r="H2720" s="70">
        <f>H2721</f>
        <v>0</v>
      </c>
      <c r="I2720" s="70">
        <f>I2721</f>
        <v>0</v>
      </c>
      <c r="J2720" s="172"/>
      <c r="K2720" s="69"/>
      <c r="L2720" s="69"/>
      <c r="M2720" s="69"/>
      <c r="N2720" s="69"/>
      <c r="O2720" s="69"/>
      <c r="P2720" s="69"/>
      <c r="Q2720" s="69"/>
      <c r="R2720" s="69"/>
    </row>
    <row r="2721" spans="1:18" ht="25.5" hidden="1" customHeight="1">
      <c r="A2721" s="16" t="s">
        <v>37</v>
      </c>
      <c r="B2721" s="14">
        <v>793</v>
      </c>
      <c r="C2721" s="84" t="s">
        <v>43</v>
      </c>
      <c r="D2721" s="84" t="s">
        <v>18</v>
      </c>
      <c r="E2721" s="15" t="s">
        <v>1341</v>
      </c>
      <c r="F2721" s="15" t="s">
        <v>38</v>
      </c>
      <c r="G2721" s="70"/>
      <c r="H2721" s="70"/>
      <c r="I2721" s="70"/>
      <c r="J2721" s="172"/>
      <c r="K2721" s="69"/>
      <c r="L2721" s="69"/>
      <c r="M2721" s="69"/>
      <c r="N2721" s="69"/>
      <c r="O2721" s="69"/>
      <c r="P2721" s="69"/>
      <c r="Q2721" s="69"/>
      <c r="R2721" s="69"/>
    </row>
    <row r="2722" spans="1:18" ht="40.5" hidden="1" customHeight="1">
      <c r="A2722" s="16" t="s">
        <v>1345</v>
      </c>
      <c r="B2722" s="14">
        <v>793</v>
      </c>
      <c r="C2722" s="84" t="s">
        <v>43</v>
      </c>
      <c r="D2722" s="84" t="s">
        <v>18</v>
      </c>
      <c r="E2722" s="15" t="s">
        <v>1342</v>
      </c>
      <c r="F2722" s="15"/>
      <c r="G2722" s="70">
        <f>G2723</f>
        <v>0</v>
      </c>
      <c r="H2722" s="70">
        <f t="shared" ref="H2722:I2722" si="721">H2723</f>
        <v>0</v>
      </c>
      <c r="I2722" s="70">
        <f t="shared" si="721"/>
        <v>0</v>
      </c>
      <c r="J2722" s="172"/>
      <c r="K2722" s="69"/>
      <c r="L2722" s="69"/>
      <c r="M2722" s="69"/>
      <c r="N2722" s="69"/>
      <c r="O2722" s="69"/>
      <c r="P2722" s="69"/>
      <c r="Q2722" s="69"/>
      <c r="R2722" s="69"/>
    </row>
    <row r="2723" spans="1:18" ht="25.5" hidden="1" customHeight="1">
      <c r="A2723" s="16" t="s">
        <v>316</v>
      </c>
      <c r="B2723" s="14">
        <v>793</v>
      </c>
      <c r="C2723" s="84" t="s">
        <v>43</v>
      </c>
      <c r="D2723" s="84" t="s">
        <v>18</v>
      </c>
      <c r="E2723" s="15" t="s">
        <v>1342</v>
      </c>
      <c r="F2723" s="15" t="s">
        <v>36</v>
      </c>
      <c r="G2723" s="70">
        <f>G2724</f>
        <v>0</v>
      </c>
      <c r="H2723" s="70">
        <f>H2724</f>
        <v>0</v>
      </c>
      <c r="I2723" s="70">
        <f>I2724</f>
        <v>0</v>
      </c>
      <c r="J2723" s="172"/>
      <c r="K2723" s="69"/>
      <c r="L2723" s="69"/>
      <c r="M2723" s="69"/>
      <c r="N2723" s="69"/>
      <c r="O2723" s="69"/>
      <c r="P2723" s="69"/>
      <c r="Q2723" s="69"/>
      <c r="R2723" s="69"/>
    </row>
    <row r="2724" spans="1:18" ht="25.5" hidden="1" customHeight="1">
      <c r="A2724" s="16" t="s">
        <v>37</v>
      </c>
      <c r="B2724" s="14">
        <v>793</v>
      </c>
      <c r="C2724" s="84" t="s">
        <v>43</v>
      </c>
      <c r="D2724" s="84" t="s">
        <v>18</v>
      </c>
      <c r="E2724" s="15" t="s">
        <v>1342</v>
      </c>
      <c r="F2724" s="15" t="s">
        <v>38</v>
      </c>
      <c r="G2724" s="70"/>
      <c r="H2724" s="70"/>
      <c r="I2724" s="70"/>
      <c r="J2724" s="172"/>
      <c r="K2724" s="69"/>
      <c r="L2724" s="69"/>
      <c r="M2724" s="69"/>
      <c r="N2724" s="69"/>
      <c r="O2724" s="69"/>
      <c r="P2724" s="69"/>
      <c r="Q2724" s="69"/>
      <c r="R2724" s="69"/>
    </row>
    <row r="2725" spans="1:18">
      <c r="A2725" s="11" t="s">
        <v>141</v>
      </c>
      <c r="B2725" s="19">
        <v>793</v>
      </c>
      <c r="C2725" s="7" t="s">
        <v>68</v>
      </c>
      <c r="D2725" s="7"/>
      <c r="E2725" s="15"/>
      <c r="F2725" s="7"/>
      <c r="G2725" s="38">
        <f>G2726+G2731+G2780</f>
        <v>88434502.74000001</v>
      </c>
      <c r="H2725" s="38">
        <f>H2726+H2731+H2780</f>
        <v>28969043.740000002</v>
      </c>
      <c r="I2725" s="38">
        <f>I2726+I2731+I2780</f>
        <v>28969043.730000004</v>
      </c>
      <c r="J2725" s="328"/>
      <c r="K2725" s="69"/>
      <c r="L2725" s="69"/>
      <c r="M2725" s="69"/>
      <c r="N2725" s="69"/>
      <c r="O2725" s="69"/>
      <c r="P2725" s="69"/>
      <c r="Q2725" s="69"/>
      <c r="R2725" s="69"/>
    </row>
    <row r="2726" spans="1:18">
      <c r="A2726" s="16" t="s">
        <v>142</v>
      </c>
      <c r="B2726" s="14">
        <v>793</v>
      </c>
      <c r="C2726" s="15" t="s">
        <v>68</v>
      </c>
      <c r="D2726" s="15" t="s">
        <v>18</v>
      </c>
      <c r="E2726" s="15"/>
      <c r="F2726" s="15"/>
      <c r="G2726" s="70">
        <f t="shared" ref="G2726:I2729" si="722">G2727</f>
        <v>1106612.69</v>
      </c>
      <c r="H2726" s="70">
        <f t="shared" si="722"/>
        <v>517884.48</v>
      </c>
      <c r="I2726" s="70">
        <f t="shared" si="722"/>
        <v>517884.48</v>
      </c>
      <c r="J2726" s="172"/>
      <c r="K2726" s="69"/>
      <c r="L2726" s="69"/>
      <c r="M2726" s="69"/>
      <c r="N2726" s="69"/>
      <c r="O2726" s="69"/>
      <c r="P2726" s="69"/>
      <c r="Q2726" s="69"/>
      <c r="R2726" s="69"/>
    </row>
    <row r="2727" spans="1:18" s="28" customFormat="1" ht="36" customHeight="1">
      <c r="A2727" s="16" t="s">
        <v>1145</v>
      </c>
      <c r="B2727" s="14">
        <v>793</v>
      </c>
      <c r="C2727" s="15" t="s">
        <v>68</v>
      </c>
      <c r="D2727" s="15" t="s">
        <v>18</v>
      </c>
      <c r="E2727" s="15" t="s">
        <v>280</v>
      </c>
      <c r="F2727" s="39"/>
      <c r="G2727" s="70">
        <f t="shared" si="722"/>
        <v>1106612.69</v>
      </c>
      <c r="H2727" s="70">
        <f t="shared" si="722"/>
        <v>517884.48</v>
      </c>
      <c r="I2727" s="70">
        <f t="shared" si="722"/>
        <v>517884.48</v>
      </c>
      <c r="J2727" s="172"/>
      <c r="K2727" s="313"/>
      <c r="L2727" s="313"/>
      <c r="M2727" s="313"/>
      <c r="N2727" s="313"/>
      <c r="O2727" s="313"/>
      <c r="P2727" s="313"/>
      <c r="Q2727" s="313"/>
      <c r="R2727" s="313"/>
    </row>
    <row r="2728" spans="1:18" s="28" customFormat="1" ht="52.8">
      <c r="A2728" s="16" t="s">
        <v>1386</v>
      </c>
      <c r="B2728" s="14">
        <v>793</v>
      </c>
      <c r="C2728" s="15" t="s">
        <v>68</v>
      </c>
      <c r="D2728" s="15" t="s">
        <v>18</v>
      </c>
      <c r="E2728" s="15" t="s">
        <v>284</v>
      </c>
      <c r="F2728" s="39"/>
      <c r="G2728" s="70">
        <f t="shared" si="722"/>
        <v>1106612.69</v>
      </c>
      <c r="H2728" s="70">
        <f t="shared" si="722"/>
        <v>517884.48</v>
      </c>
      <c r="I2728" s="70">
        <f t="shared" si="722"/>
        <v>517884.48</v>
      </c>
      <c r="J2728" s="172"/>
      <c r="K2728" s="313"/>
      <c r="L2728" s="313"/>
      <c r="M2728" s="313"/>
      <c r="N2728" s="313"/>
      <c r="O2728" s="313"/>
      <c r="P2728" s="313"/>
      <c r="Q2728" s="313"/>
      <c r="R2728" s="313"/>
    </row>
    <row r="2729" spans="1:18" s="28" customFormat="1">
      <c r="A2729" s="16" t="s">
        <v>144</v>
      </c>
      <c r="B2729" s="14">
        <v>793</v>
      </c>
      <c r="C2729" s="15" t="s">
        <v>68</v>
      </c>
      <c r="D2729" s="15" t="s">
        <v>18</v>
      </c>
      <c r="E2729" s="15" t="s">
        <v>284</v>
      </c>
      <c r="F2729" s="15" t="s">
        <v>145</v>
      </c>
      <c r="G2729" s="70">
        <f t="shared" si="722"/>
        <v>1106612.69</v>
      </c>
      <c r="H2729" s="70">
        <f>H2730</f>
        <v>517884.48</v>
      </c>
      <c r="I2729" s="70">
        <f t="shared" si="722"/>
        <v>517884.48</v>
      </c>
      <c r="J2729" s="172"/>
      <c r="K2729" s="313"/>
      <c r="L2729" s="313"/>
      <c r="M2729" s="313"/>
      <c r="N2729" s="313"/>
      <c r="O2729" s="313"/>
      <c r="P2729" s="313"/>
      <c r="Q2729" s="313"/>
      <c r="R2729" s="313"/>
    </row>
    <row r="2730" spans="1:18" s="28" customFormat="1" ht="26.4">
      <c r="A2730" s="16" t="s">
        <v>344</v>
      </c>
      <c r="B2730" s="14">
        <v>793</v>
      </c>
      <c r="C2730" s="15" t="s">
        <v>68</v>
      </c>
      <c r="D2730" s="15" t="s">
        <v>18</v>
      </c>
      <c r="E2730" s="15" t="s">
        <v>284</v>
      </c>
      <c r="F2730" s="15" t="s">
        <v>345</v>
      </c>
      <c r="G2730" s="70">
        <f>164076.48+353808+106234.07+28000+153731.48+148824.36+2938.75+148999.55</f>
        <v>1106612.69</v>
      </c>
      <c r="H2730" s="70">
        <f>164076.48+353808</f>
        <v>517884.48</v>
      </c>
      <c r="I2730" s="70">
        <f>164076.48+353808</f>
        <v>517884.48</v>
      </c>
      <c r="J2730" s="172">
        <f>G2730+G2735+G2752+G2755+G2766+G2769+G2789+G2804</f>
        <v>74039188.49000001</v>
      </c>
      <c r="K2730" s="313"/>
      <c r="L2730" s="313"/>
      <c r="M2730" s="313"/>
      <c r="N2730" s="313"/>
      <c r="O2730" s="313"/>
      <c r="P2730" s="313"/>
      <c r="Q2730" s="313"/>
      <c r="R2730" s="313"/>
    </row>
    <row r="2731" spans="1:18">
      <c r="A2731" s="16" t="s">
        <v>67</v>
      </c>
      <c r="B2731" s="14">
        <v>793</v>
      </c>
      <c r="C2731" s="15" t="s">
        <v>68</v>
      </c>
      <c r="D2731" s="15" t="s">
        <v>69</v>
      </c>
      <c r="E2731" s="15"/>
      <c r="F2731" s="15"/>
      <c r="G2731" s="70">
        <f>G2760+G2756+G2770+G2732+G2742+G2779+G2749</f>
        <v>73002776.650000006</v>
      </c>
      <c r="H2731" s="70">
        <f>H2760+H2756+H2770+H2732+H2742</f>
        <v>1912025.76</v>
      </c>
      <c r="I2731" s="70">
        <f>I2760+I2756+I2770+I2732+I2742</f>
        <v>1912025.76</v>
      </c>
      <c r="J2731" s="172"/>
      <c r="K2731" s="69"/>
      <c r="L2731" s="69"/>
      <c r="M2731" s="69"/>
      <c r="N2731" s="69"/>
      <c r="O2731" s="69"/>
      <c r="P2731" s="69"/>
      <c r="Q2731" s="69"/>
      <c r="R2731" s="69"/>
    </row>
    <row r="2732" spans="1:18" ht="41.25" customHeight="1">
      <c r="A2732" s="16" t="s">
        <v>1129</v>
      </c>
      <c r="B2732" s="14">
        <v>793</v>
      </c>
      <c r="C2732" s="15" t="s">
        <v>68</v>
      </c>
      <c r="D2732" s="15" t="s">
        <v>69</v>
      </c>
      <c r="E2732" s="15" t="s">
        <v>257</v>
      </c>
      <c r="F2732" s="15"/>
      <c r="G2732" s="70">
        <f>G2733+G2736+G2739+G2746</f>
        <v>4651320.4399999995</v>
      </c>
      <c r="H2732" s="70">
        <f t="shared" ref="H2732:I2732" si="723">H2733+H2736+H2739</f>
        <v>350000</v>
      </c>
      <c r="I2732" s="70">
        <f t="shared" si="723"/>
        <v>350000</v>
      </c>
      <c r="J2732" s="172"/>
      <c r="K2732" s="69"/>
      <c r="L2732" s="69"/>
      <c r="M2732" s="69"/>
      <c r="N2732" s="69"/>
      <c r="O2732" s="69"/>
      <c r="P2732" s="69"/>
      <c r="Q2732" s="69"/>
      <c r="R2732" s="69"/>
    </row>
    <row r="2733" spans="1:18" ht="47.25" customHeight="1">
      <c r="A2733" s="50" t="s">
        <v>1391</v>
      </c>
      <c r="B2733" s="14">
        <v>793</v>
      </c>
      <c r="C2733" s="15" t="s">
        <v>68</v>
      </c>
      <c r="D2733" s="15" t="s">
        <v>69</v>
      </c>
      <c r="E2733" s="15" t="s">
        <v>900</v>
      </c>
      <c r="F2733" s="15"/>
      <c r="G2733" s="70">
        <f>G2734</f>
        <v>4508119.59</v>
      </c>
      <c r="H2733" s="70">
        <f t="shared" ref="H2733:I2733" si="724">H2734</f>
        <v>350000</v>
      </c>
      <c r="I2733" s="70">
        <f t="shared" si="724"/>
        <v>350000</v>
      </c>
      <c r="J2733" s="172"/>
      <c r="K2733" s="69"/>
      <c r="L2733" s="69"/>
      <c r="M2733" s="69"/>
      <c r="N2733" s="69"/>
      <c r="O2733" s="69"/>
      <c r="P2733" s="69"/>
      <c r="Q2733" s="69"/>
      <c r="R2733" s="69"/>
    </row>
    <row r="2734" spans="1:18" ht="21" customHeight="1">
      <c r="A2734" s="16" t="s">
        <v>144</v>
      </c>
      <c r="B2734" s="14">
        <v>793</v>
      </c>
      <c r="C2734" s="15" t="s">
        <v>68</v>
      </c>
      <c r="D2734" s="15" t="s">
        <v>69</v>
      </c>
      <c r="E2734" s="15" t="s">
        <v>900</v>
      </c>
      <c r="F2734" s="15" t="s">
        <v>145</v>
      </c>
      <c r="G2734" s="70">
        <f>G2735</f>
        <v>4508119.59</v>
      </c>
      <c r="H2734" s="70">
        <f t="shared" ref="H2734:I2734" si="725">H2735</f>
        <v>350000</v>
      </c>
      <c r="I2734" s="70">
        <f t="shared" si="725"/>
        <v>350000</v>
      </c>
      <c r="J2734" s="172"/>
      <c r="K2734" s="69"/>
      <c r="L2734" s="69"/>
      <c r="M2734" s="69"/>
      <c r="N2734" s="69"/>
      <c r="O2734" s="69"/>
      <c r="P2734" s="69"/>
      <c r="Q2734" s="69"/>
      <c r="R2734" s="69"/>
    </row>
    <row r="2735" spans="1:18" ht="30.75" customHeight="1">
      <c r="A2735" s="16" t="s">
        <v>146</v>
      </c>
      <c r="B2735" s="14">
        <v>793</v>
      </c>
      <c r="C2735" s="15" t="s">
        <v>68</v>
      </c>
      <c r="D2735" s="15" t="s">
        <v>69</v>
      </c>
      <c r="E2735" s="15" t="s">
        <v>900</v>
      </c>
      <c r="F2735" s="15" t="s">
        <v>147</v>
      </c>
      <c r="G2735" s="70">
        <f>3300809.67+1207309.92</f>
        <v>4508119.59</v>
      </c>
      <c r="H2735" s="70">
        <v>350000</v>
      </c>
      <c r="I2735" s="70">
        <v>350000</v>
      </c>
      <c r="J2735" s="172"/>
      <c r="K2735" s="69"/>
      <c r="L2735" s="69"/>
      <c r="M2735" s="69"/>
      <c r="N2735" s="69"/>
      <c r="O2735" s="69"/>
      <c r="P2735" s="69"/>
      <c r="Q2735" s="69"/>
      <c r="R2735" s="69"/>
    </row>
    <row r="2736" spans="1:18" ht="39.75" hidden="1" customHeight="1">
      <c r="A2736" s="50" t="s">
        <v>269</v>
      </c>
      <c r="B2736" s="14">
        <v>793</v>
      </c>
      <c r="C2736" s="15" t="s">
        <v>68</v>
      </c>
      <c r="D2736" s="15" t="s">
        <v>69</v>
      </c>
      <c r="E2736" s="15" t="s">
        <v>268</v>
      </c>
      <c r="F2736" s="15"/>
      <c r="G2736" s="70">
        <f>G2737</f>
        <v>0</v>
      </c>
      <c r="H2736" s="70">
        <f t="shared" ref="H2736:I2736" si="726">H2737</f>
        <v>0</v>
      </c>
      <c r="I2736" s="70">
        <f t="shared" si="726"/>
        <v>0</v>
      </c>
      <c r="J2736" s="172"/>
      <c r="K2736" s="69"/>
      <c r="L2736" s="69"/>
      <c r="M2736" s="69"/>
      <c r="N2736" s="69"/>
      <c r="O2736" s="69"/>
      <c r="P2736" s="69"/>
      <c r="Q2736" s="69"/>
      <c r="R2736" s="69"/>
    </row>
    <row r="2737" spans="1:18" ht="21" hidden="1" customHeight="1">
      <c r="A2737" s="16" t="s">
        <v>144</v>
      </c>
      <c r="B2737" s="14">
        <v>793</v>
      </c>
      <c r="C2737" s="15" t="s">
        <v>68</v>
      </c>
      <c r="D2737" s="15" t="s">
        <v>69</v>
      </c>
      <c r="E2737" s="15" t="s">
        <v>268</v>
      </c>
      <c r="F2737" s="15" t="s">
        <v>145</v>
      </c>
      <c r="G2737" s="70">
        <f>G2738</f>
        <v>0</v>
      </c>
      <c r="H2737" s="70">
        <f t="shared" ref="H2737:I2737" si="727">H2738</f>
        <v>0</v>
      </c>
      <c r="I2737" s="70">
        <f t="shared" si="727"/>
        <v>0</v>
      </c>
      <c r="J2737" s="172"/>
      <c r="K2737" s="69"/>
      <c r="L2737" s="69"/>
      <c r="M2737" s="69"/>
      <c r="N2737" s="69"/>
      <c r="O2737" s="69"/>
      <c r="P2737" s="69"/>
      <c r="Q2737" s="69"/>
      <c r="R2737" s="69"/>
    </row>
    <row r="2738" spans="1:18" ht="30.75" hidden="1" customHeight="1">
      <c r="A2738" s="16" t="s">
        <v>146</v>
      </c>
      <c r="B2738" s="14">
        <v>793</v>
      </c>
      <c r="C2738" s="15" t="s">
        <v>68</v>
      </c>
      <c r="D2738" s="15" t="s">
        <v>69</v>
      </c>
      <c r="E2738" s="15" t="s">
        <v>268</v>
      </c>
      <c r="F2738" s="15" t="s">
        <v>147</v>
      </c>
      <c r="G2738" s="70"/>
      <c r="H2738" s="70"/>
      <c r="I2738" s="70"/>
      <c r="J2738" s="172"/>
      <c r="K2738" s="69"/>
      <c r="L2738" s="69"/>
      <c r="M2738" s="69"/>
      <c r="N2738" s="69"/>
      <c r="O2738" s="69"/>
      <c r="P2738" s="69"/>
      <c r="Q2738" s="69"/>
      <c r="R2738" s="69"/>
    </row>
    <row r="2739" spans="1:18" ht="30.75" hidden="1" customHeight="1">
      <c r="A2739" s="16" t="s">
        <v>435</v>
      </c>
      <c r="B2739" s="14">
        <v>793</v>
      </c>
      <c r="C2739" s="15" t="s">
        <v>68</v>
      </c>
      <c r="D2739" s="15" t="s">
        <v>69</v>
      </c>
      <c r="E2739" s="15" t="s">
        <v>434</v>
      </c>
      <c r="F2739" s="15"/>
      <c r="G2739" s="70">
        <f>G2740</f>
        <v>0</v>
      </c>
      <c r="H2739" s="70">
        <f t="shared" ref="H2739:I2739" si="728">H2740</f>
        <v>0</v>
      </c>
      <c r="I2739" s="70">
        <f t="shared" si="728"/>
        <v>0</v>
      </c>
      <c r="J2739" s="172"/>
      <c r="K2739" s="69"/>
      <c r="L2739" s="69"/>
      <c r="M2739" s="69"/>
      <c r="N2739" s="69"/>
      <c r="O2739" s="69"/>
      <c r="P2739" s="69"/>
      <c r="Q2739" s="69"/>
      <c r="R2739" s="69"/>
    </row>
    <row r="2740" spans="1:18" ht="17.25" hidden="1" customHeight="1">
      <c r="A2740" s="16" t="s">
        <v>62</v>
      </c>
      <c r="B2740" s="14">
        <v>793</v>
      </c>
      <c r="C2740" s="15" t="s">
        <v>68</v>
      </c>
      <c r="D2740" s="15" t="s">
        <v>69</v>
      </c>
      <c r="E2740" s="15" t="s">
        <v>434</v>
      </c>
      <c r="F2740" s="15" t="s">
        <v>63</v>
      </c>
      <c r="G2740" s="70">
        <f>G2741</f>
        <v>0</v>
      </c>
      <c r="H2740" s="70">
        <f t="shared" ref="H2740:I2740" si="729">H2741</f>
        <v>0</v>
      </c>
      <c r="I2740" s="70">
        <f t="shared" si="729"/>
        <v>0</v>
      </c>
      <c r="J2740" s="172"/>
      <c r="K2740" s="69"/>
      <c r="L2740" s="69"/>
      <c r="M2740" s="69"/>
      <c r="N2740" s="69"/>
      <c r="O2740" s="69"/>
      <c r="P2740" s="69"/>
      <c r="Q2740" s="69"/>
      <c r="R2740" s="69"/>
    </row>
    <row r="2741" spans="1:18" ht="23.25" hidden="1" customHeight="1">
      <c r="A2741" s="16" t="s">
        <v>174</v>
      </c>
      <c r="B2741" s="14">
        <v>793</v>
      </c>
      <c r="C2741" s="15" t="s">
        <v>68</v>
      </c>
      <c r="D2741" s="15" t="s">
        <v>69</v>
      </c>
      <c r="E2741" s="15" t="s">
        <v>434</v>
      </c>
      <c r="F2741" s="15" t="s">
        <v>175</v>
      </c>
      <c r="G2741" s="70">
        <f>11000+17010+71990-99000-1000</f>
        <v>0</v>
      </c>
      <c r="H2741" s="70"/>
      <c r="I2741" s="70"/>
      <c r="J2741" s="172"/>
      <c r="K2741" s="69"/>
      <c r="L2741" s="69"/>
      <c r="M2741" s="69"/>
      <c r="N2741" s="69"/>
      <c r="O2741" s="69"/>
      <c r="P2741" s="69"/>
      <c r="Q2741" s="69"/>
      <c r="R2741" s="69"/>
    </row>
    <row r="2742" spans="1:18" ht="27.75" hidden="1" customHeight="1">
      <c r="A2742" s="16" t="s">
        <v>647</v>
      </c>
      <c r="B2742" s="14">
        <v>793</v>
      </c>
      <c r="C2742" s="15" t="s">
        <v>68</v>
      </c>
      <c r="D2742" s="15" t="s">
        <v>69</v>
      </c>
      <c r="E2742" s="15" t="s">
        <v>648</v>
      </c>
      <c r="F2742" s="15"/>
      <c r="G2742" s="70">
        <f>G2743</f>
        <v>0</v>
      </c>
      <c r="H2742" s="70">
        <f t="shared" ref="H2742:I2742" si="730">H2743</f>
        <v>0</v>
      </c>
      <c r="I2742" s="70">
        <f t="shared" si="730"/>
        <v>0</v>
      </c>
      <c r="J2742" s="172"/>
      <c r="K2742" s="69"/>
      <c r="L2742" s="69"/>
      <c r="M2742" s="69"/>
      <c r="N2742" s="69"/>
      <c r="O2742" s="69"/>
      <c r="P2742" s="69"/>
      <c r="Q2742" s="69"/>
      <c r="R2742" s="69"/>
    </row>
    <row r="2743" spans="1:18" ht="28.5" hidden="1" customHeight="1">
      <c r="A2743" s="50" t="s">
        <v>649</v>
      </c>
      <c r="B2743" s="14">
        <v>793</v>
      </c>
      <c r="C2743" s="15" t="s">
        <v>68</v>
      </c>
      <c r="D2743" s="15" t="s">
        <v>69</v>
      </c>
      <c r="E2743" s="15" t="s">
        <v>650</v>
      </c>
      <c r="F2743" s="15"/>
      <c r="G2743" s="70">
        <f>G2744</f>
        <v>0</v>
      </c>
      <c r="H2743" s="70">
        <f t="shared" ref="H2743:I2744" si="731">H2744</f>
        <v>0</v>
      </c>
      <c r="I2743" s="70">
        <f t="shared" si="731"/>
        <v>0</v>
      </c>
      <c r="J2743" s="172"/>
      <c r="K2743" s="69"/>
      <c r="L2743" s="69"/>
      <c r="M2743" s="69"/>
      <c r="N2743" s="69"/>
      <c r="O2743" s="69"/>
      <c r="P2743" s="69"/>
      <c r="Q2743" s="69"/>
      <c r="R2743" s="69"/>
    </row>
    <row r="2744" spans="1:18" ht="21" hidden="1" customHeight="1">
      <c r="A2744" s="16" t="s">
        <v>144</v>
      </c>
      <c r="B2744" s="14">
        <v>793</v>
      </c>
      <c r="C2744" s="15" t="s">
        <v>68</v>
      </c>
      <c r="D2744" s="15" t="s">
        <v>69</v>
      </c>
      <c r="E2744" s="15" t="s">
        <v>650</v>
      </c>
      <c r="F2744" s="15" t="s">
        <v>145</v>
      </c>
      <c r="G2744" s="70">
        <f>G2745</f>
        <v>0</v>
      </c>
      <c r="H2744" s="70">
        <f t="shared" si="731"/>
        <v>0</v>
      </c>
      <c r="I2744" s="70">
        <f t="shared" si="731"/>
        <v>0</v>
      </c>
      <c r="J2744" s="172"/>
      <c r="K2744" s="69"/>
      <c r="L2744" s="69"/>
      <c r="M2744" s="69"/>
      <c r="N2744" s="69"/>
      <c r="O2744" s="69"/>
      <c r="P2744" s="69"/>
      <c r="Q2744" s="69"/>
      <c r="R2744" s="69"/>
    </row>
    <row r="2745" spans="1:18" ht="30.75" hidden="1" customHeight="1">
      <c r="A2745" s="16" t="s">
        <v>146</v>
      </c>
      <c r="B2745" s="14">
        <v>793</v>
      </c>
      <c r="C2745" s="15" t="s">
        <v>68</v>
      </c>
      <c r="D2745" s="15" t="s">
        <v>69</v>
      </c>
      <c r="E2745" s="15" t="s">
        <v>650</v>
      </c>
      <c r="F2745" s="15" t="s">
        <v>147</v>
      </c>
      <c r="G2745" s="70"/>
      <c r="H2745" s="70"/>
      <c r="I2745" s="70"/>
      <c r="J2745" s="172"/>
      <c r="K2745" s="69"/>
      <c r="L2745" s="69"/>
      <c r="M2745" s="69"/>
      <c r="N2745" s="69"/>
      <c r="O2745" s="69"/>
      <c r="P2745" s="69"/>
      <c r="Q2745" s="69"/>
      <c r="R2745" s="69"/>
    </row>
    <row r="2746" spans="1:18" ht="47.25" customHeight="1">
      <c r="A2746" s="50" t="s">
        <v>1526</v>
      </c>
      <c r="B2746" s="14">
        <v>793</v>
      </c>
      <c r="C2746" s="15" t="s">
        <v>68</v>
      </c>
      <c r="D2746" s="15" t="s">
        <v>69</v>
      </c>
      <c r="E2746" s="15" t="s">
        <v>1525</v>
      </c>
      <c r="F2746" s="15"/>
      <c r="G2746" s="70">
        <f>G2747</f>
        <v>143200.85</v>
      </c>
      <c r="H2746" s="70">
        <f t="shared" ref="H2746:I2747" si="732">H2747</f>
        <v>0</v>
      </c>
      <c r="I2746" s="70">
        <f t="shared" si="732"/>
        <v>0</v>
      </c>
      <c r="J2746" s="172"/>
      <c r="K2746" s="69"/>
      <c r="L2746" s="69"/>
      <c r="M2746" s="69"/>
      <c r="N2746" s="69"/>
      <c r="O2746" s="69"/>
      <c r="P2746" s="69"/>
      <c r="Q2746" s="69"/>
      <c r="R2746" s="69"/>
    </row>
    <row r="2747" spans="1:18" ht="21" customHeight="1">
      <c r="A2747" s="16" t="s">
        <v>144</v>
      </c>
      <c r="B2747" s="14">
        <v>793</v>
      </c>
      <c r="C2747" s="15" t="s">
        <v>68</v>
      </c>
      <c r="D2747" s="15" t="s">
        <v>69</v>
      </c>
      <c r="E2747" s="15" t="s">
        <v>1525</v>
      </c>
      <c r="F2747" s="15" t="s">
        <v>145</v>
      </c>
      <c r="G2747" s="70">
        <f>G2748</f>
        <v>143200.85</v>
      </c>
      <c r="H2747" s="70">
        <f t="shared" si="732"/>
        <v>0</v>
      </c>
      <c r="I2747" s="70">
        <f t="shared" si="732"/>
        <v>0</v>
      </c>
      <c r="J2747" s="172"/>
      <c r="K2747" s="69"/>
      <c r="L2747" s="69"/>
      <c r="M2747" s="69"/>
      <c r="N2747" s="69"/>
      <c r="O2747" s="69"/>
      <c r="P2747" s="69"/>
      <c r="Q2747" s="69"/>
      <c r="R2747" s="69"/>
    </row>
    <row r="2748" spans="1:18" ht="30.75" customHeight="1">
      <c r="A2748" s="16" t="s">
        <v>146</v>
      </c>
      <c r="B2748" s="14">
        <v>793</v>
      </c>
      <c r="C2748" s="15" t="s">
        <v>68</v>
      </c>
      <c r="D2748" s="15" t="s">
        <v>69</v>
      </c>
      <c r="E2748" s="15" t="s">
        <v>1525</v>
      </c>
      <c r="F2748" s="15" t="s">
        <v>147</v>
      </c>
      <c r="G2748" s="70">
        <v>143200.85</v>
      </c>
      <c r="H2748" s="70">
        <v>0</v>
      </c>
      <c r="I2748" s="70">
        <v>0</v>
      </c>
      <c r="J2748" s="172"/>
      <c r="K2748" s="69"/>
      <c r="L2748" s="69"/>
      <c r="M2748" s="69"/>
      <c r="N2748" s="69"/>
      <c r="O2748" s="69"/>
      <c r="P2748" s="69"/>
      <c r="Q2748" s="69"/>
      <c r="R2748" s="69"/>
    </row>
    <row r="2749" spans="1:18" ht="72.75" customHeight="1">
      <c r="A2749" s="16" t="s">
        <v>1132</v>
      </c>
      <c r="B2749" s="14">
        <v>793</v>
      </c>
      <c r="C2749" s="15" t="s">
        <v>68</v>
      </c>
      <c r="D2749" s="15" t="s">
        <v>69</v>
      </c>
      <c r="E2749" s="15" t="s">
        <v>208</v>
      </c>
      <c r="F2749" s="15"/>
      <c r="G2749" s="70">
        <f>G2750+G2753</f>
        <v>66550640</v>
      </c>
      <c r="H2749" s="70">
        <f t="shared" ref="H2749:I2749" si="733">H2750+H2753</f>
        <v>0</v>
      </c>
      <c r="I2749" s="70">
        <f t="shared" si="733"/>
        <v>0</v>
      </c>
      <c r="J2749" s="172"/>
      <c r="K2749" s="69"/>
      <c r="L2749" s="69"/>
      <c r="M2749" s="69"/>
      <c r="N2749" s="69"/>
      <c r="O2749" s="69"/>
      <c r="P2749" s="69"/>
      <c r="Q2749" s="69"/>
      <c r="R2749" s="69"/>
    </row>
    <row r="2750" spans="1:18" ht="88.2" customHeight="1">
      <c r="A2750" s="326" t="s">
        <v>1050</v>
      </c>
      <c r="B2750" s="14">
        <v>793</v>
      </c>
      <c r="C2750" s="15" t="s">
        <v>68</v>
      </c>
      <c r="D2750" s="15" t="s">
        <v>69</v>
      </c>
      <c r="E2750" s="15" t="s">
        <v>497</v>
      </c>
      <c r="F2750" s="15"/>
      <c r="G2750" s="70">
        <f>G2751</f>
        <v>65219627.200000003</v>
      </c>
      <c r="H2750" s="70">
        <f t="shared" ref="H2750:I2750" si="734">H2751</f>
        <v>0</v>
      </c>
      <c r="I2750" s="70">
        <f t="shared" si="734"/>
        <v>0</v>
      </c>
      <c r="J2750" s="172"/>
      <c r="K2750" s="69"/>
      <c r="L2750" s="69"/>
      <c r="M2750" s="69"/>
      <c r="N2750" s="69"/>
      <c r="O2750" s="69"/>
      <c r="P2750" s="69"/>
      <c r="Q2750" s="69"/>
      <c r="R2750" s="69"/>
    </row>
    <row r="2751" spans="1:18" ht="30.75" customHeight="1">
      <c r="A2751" s="16" t="s">
        <v>144</v>
      </c>
      <c r="B2751" s="14">
        <v>793</v>
      </c>
      <c r="C2751" s="15" t="s">
        <v>68</v>
      </c>
      <c r="D2751" s="15" t="s">
        <v>69</v>
      </c>
      <c r="E2751" s="15" t="s">
        <v>497</v>
      </c>
      <c r="F2751" s="15" t="s">
        <v>145</v>
      </c>
      <c r="G2751" s="70">
        <f>G2752</f>
        <v>65219627.200000003</v>
      </c>
      <c r="H2751" s="70">
        <f t="shared" ref="H2751:I2751" si="735">H2752</f>
        <v>0</v>
      </c>
      <c r="I2751" s="70">
        <f t="shared" si="735"/>
        <v>0</v>
      </c>
      <c r="J2751" s="172"/>
      <c r="K2751" s="69"/>
      <c r="L2751" s="69"/>
      <c r="M2751" s="69"/>
      <c r="N2751" s="69"/>
      <c r="O2751" s="69"/>
      <c r="P2751" s="69"/>
      <c r="Q2751" s="69"/>
      <c r="R2751" s="69"/>
    </row>
    <row r="2752" spans="1:18" ht="30.75" customHeight="1">
      <c r="A2752" s="16" t="s">
        <v>146</v>
      </c>
      <c r="B2752" s="14">
        <v>793</v>
      </c>
      <c r="C2752" s="15" t="s">
        <v>68</v>
      </c>
      <c r="D2752" s="15" t="s">
        <v>69</v>
      </c>
      <c r="E2752" s="15" t="s">
        <v>497</v>
      </c>
      <c r="F2752" s="15" t="s">
        <v>147</v>
      </c>
      <c r="G2752" s="70">
        <v>65219627.200000003</v>
      </c>
      <c r="H2752" s="70">
        <v>0</v>
      </c>
      <c r="I2752" s="70">
        <v>0</v>
      </c>
      <c r="J2752" s="172"/>
      <c r="K2752" s="69"/>
      <c r="L2752" s="69"/>
      <c r="M2752" s="69"/>
      <c r="N2752" s="69"/>
      <c r="O2752" s="69"/>
      <c r="P2752" s="69"/>
      <c r="Q2752" s="69"/>
      <c r="R2752" s="69"/>
    </row>
    <row r="2753" spans="1:18" ht="103.5" customHeight="1">
      <c r="A2753" s="326" t="s">
        <v>1051</v>
      </c>
      <c r="B2753" s="14">
        <v>793</v>
      </c>
      <c r="C2753" s="15" t="s">
        <v>68</v>
      </c>
      <c r="D2753" s="15" t="s">
        <v>69</v>
      </c>
      <c r="E2753" s="15" t="s">
        <v>498</v>
      </c>
      <c r="F2753" s="15"/>
      <c r="G2753" s="70">
        <f>G2754</f>
        <v>1331012.8</v>
      </c>
      <c r="H2753" s="70">
        <f t="shared" ref="H2753:I2753" si="736">H2754</f>
        <v>0</v>
      </c>
      <c r="I2753" s="70">
        <f t="shared" si="736"/>
        <v>0</v>
      </c>
      <c r="J2753" s="172"/>
      <c r="K2753" s="69"/>
      <c r="L2753" s="69"/>
      <c r="M2753" s="69"/>
      <c r="N2753" s="69"/>
      <c r="O2753" s="69"/>
      <c r="P2753" s="69"/>
      <c r="Q2753" s="69"/>
      <c r="R2753" s="69"/>
    </row>
    <row r="2754" spans="1:18" ht="30.75" customHeight="1">
      <c r="A2754" s="16" t="s">
        <v>144</v>
      </c>
      <c r="B2754" s="14">
        <v>793</v>
      </c>
      <c r="C2754" s="15" t="s">
        <v>68</v>
      </c>
      <c r="D2754" s="15" t="s">
        <v>69</v>
      </c>
      <c r="E2754" s="15" t="s">
        <v>498</v>
      </c>
      <c r="F2754" s="15" t="s">
        <v>145</v>
      </c>
      <c r="G2754" s="70">
        <f>G2755</f>
        <v>1331012.8</v>
      </c>
      <c r="H2754" s="70">
        <f t="shared" ref="H2754:I2754" si="737">H2755</f>
        <v>0</v>
      </c>
      <c r="I2754" s="70">
        <f t="shared" si="737"/>
        <v>0</v>
      </c>
      <c r="J2754" s="172"/>
      <c r="K2754" s="69"/>
      <c r="L2754" s="69"/>
      <c r="M2754" s="69"/>
      <c r="N2754" s="69"/>
      <c r="O2754" s="69"/>
      <c r="P2754" s="69"/>
      <c r="Q2754" s="69"/>
      <c r="R2754" s="69"/>
    </row>
    <row r="2755" spans="1:18" ht="30.75" customHeight="1">
      <c r="A2755" s="16" t="s">
        <v>146</v>
      </c>
      <c r="B2755" s="14">
        <v>793</v>
      </c>
      <c r="C2755" s="15" t="s">
        <v>68</v>
      </c>
      <c r="D2755" s="15" t="s">
        <v>69</v>
      </c>
      <c r="E2755" s="15" t="s">
        <v>498</v>
      </c>
      <c r="F2755" s="15" t="s">
        <v>147</v>
      </c>
      <c r="G2755" s="70">
        <v>1331012.8</v>
      </c>
      <c r="H2755" s="70">
        <v>0</v>
      </c>
      <c r="I2755" s="70">
        <v>0</v>
      </c>
      <c r="J2755" s="172"/>
      <c r="K2755" s="69"/>
      <c r="L2755" s="69"/>
      <c r="M2755" s="69"/>
      <c r="N2755" s="69"/>
      <c r="O2755" s="69"/>
      <c r="P2755" s="69"/>
      <c r="Q2755" s="69"/>
      <c r="R2755" s="69"/>
    </row>
    <row r="2756" spans="1:18" s="18" customFormat="1" ht="26.4" hidden="1">
      <c r="A2756" s="13" t="s">
        <v>459</v>
      </c>
      <c r="B2756" s="14">
        <v>793</v>
      </c>
      <c r="C2756" s="15" t="s">
        <v>68</v>
      </c>
      <c r="D2756" s="15" t="s">
        <v>69</v>
      </c>
      <c r="E2756" s="15" t="s">
        <v>214</v>
      </c>
      <c r="F2756" s="15"/>
      <c r="G2756" s="70">
        <f t="shared" ref="G2756:I2758" si="738">G2757</f>
        <v>0</v>
      </c>
      <c r="H2756" s="70">
        <f t="shared" si="738"/>
        <v>0</v>
      </c>
      <c r="I2756" s="70">
        <f t="shared" si="738"/>
        <v>0</v>
      </c>
      <c r="J2756" s="172"/>
      <c r="K2756" s="180"/>
      <c r="L2756" s="180"/>
      <c r="M2756" s="180"/>
      <c r="N2756" s="180"/>
      <c r="O2756" s="180"/>
      <c r="P2756" s="180"/>
      <c r="Q2756" s="180"/>
      <c r="R2756" s="180"/>
    </row>
    <row r="2757" spans="1:18" s="18" customFormat="1" ht="26.4" hidden="1">
      <c r="A2757" s="16" t="s">
        <v>96</v>
      </c>
      <c r="B2757" s="14">
        <v>793</v>
      </c>
      <c r="C2757" s="15" t="s">
        <v>68</v>
      </c>
      <c r="D2757" s="15" t="s">
        <v>69</v>
      </c>
      <c r="E2757" s="15" t="s">
        <v>215</v>
      </c>
      <c r="F2757" s="15"/>
      <c r="G2757" s="70">
        <f t="shared" si="738"/>
        <v>0</v>
      </c>
      <c r="H2757" s="70">
        <f t="shared" si="738"/>
        <v>0</v>
      </c>
      <c r="I2757" s="70">
        <f t="shared" si="738"/>
        <v>0</v>
      </c>
      <c r="J2757" s="172"/>
      <c r="K2757" s="180"/>
      <c r="L2757" s="180"/>
      <c r="M2757" s="180"/>
      <c r="N2757" s="180"/>
      <c r="O2757" s="180"/>
      <c r="P2757" s="180"/>
      <c r="Q2757" s="180"/>
      <c r="R2757" s="180"/>
    </row>
    <row r="2758" spans="1:18" s="18" customFormat="1" ht="10.5" hidden="1" customHeight="1">
      <c r="A2758" s="128" t="s">
        <v>343</v>
      </c>
      <c r="B2758" s="14">
        <v>793</v>
      </c>
      <c r="C2758" s="15" t="s">
        <v>68</v>
      </c>
      <c r="D2758" s="15" t="s">
        <v>69</v>
      </c>
      <c r="E2758" s="15" t="s">
        <v>215</v>
      </c>
      <c r="F2758" s="15" t="s">
        <v>145</v>
      </c>
      <c r="G2758" s="70">
        <f t="shared" si="738"/>
        <v>0</v>
      </c>
      <c r="H2758" s="70">
        <f t="shared" si="738"/>
        <v>0</v>
      </c>
      <c r="I2758" s="70">
        <f t="shared" si="738"/>
        <v>0</v>
      </c>
      <c r="J2758" s="172"/>
      <c r="K2758" s="180"/>
      <c r="L2758" s="180"/>
      <c r="M2758" s="180"/>
      <c r="N2758" s="180"/>
      <c r="O2758" s="180"/>
      <c r="P2758" s="180"/>
      <c r="Q2758" s="180"/>
      <c r="R2758" s="180"/>
    </row>
    <row r="2759" spans="1:18" s="18" customFormat="1" ht="29.25" hidden="1" customHeight="1">
      <c r="A2759" s="16" t="s">
        <v>146</v>
      </c>
      <c r="B2759" s="14">
        <v>793</v>
      </c>
      <c r="C2759" s="15" t="s">
        <v>68</v>
      </c>
      <c r="D2759" s="15" t="s">
        <v>69</v>
      </c>
      <c r="E2759" s="15" t="s">
        <v>215</v>
      </c>
      <c r="F2759" s="15" t="s">
        <v>147</v>
      </c>
      <c r="G2759" s="70">
        <f>1260000+503974.1-1763974.1</f>
        <v>0</v>
      </c>
      <c r="H2759" s="70">
        <f>1260000-1260000</f>
        <v>0</v>
      </c>
      <c r="I2759" s="70">
        <f>1260000-1260000</f>
        <v>0</v>
      </c>
      <c r="J2759" s="172"/>
      <c r="K2759" s="180"/>
      <c r="L2759" s="180"/>
      <c r="M2759" s="180"/>
      <c r="N2759" s="180"/>
      <c r="O2759" s="180"/>
      <c r="P2759" s="180"/>
      <c r="Q2759" s="180"/>
      <c r="R2759" s="180"/>
    </row>
    <row r="2760" spans="1:18" s="28" customFormat="1" ht="27.75" customHeight="1">
      <c r="A2760" s="16" t="s">
        <v>1145</v>
      </c>
      <c r="B2760" s="14">
        <v>793</v>
      </c>
      <c r="C2760" s="15" t="s">
        <v>68</v>
      </c>
      <c r="D2760" s="15" t="s">
        <v>69</v>
      </c>
      <c r="E2760" s="15" t="s">
        <v>280</v>
      </c>
      <c r="F2760" s="39"/>
      <c r="G2760" s="70">
        <f>G2761+G2764+G2767</f>
        <v>1725816.21</v>
      </c>
      <c r="H2760" s="70">
        <f t="shared" ref="H2760:I2760" si="739">H2761+H2764+H2767</f>
        <v>1562025.76</v>
      </c>
      <c r="I2760" s="70">
        <f t="shared" si="739"/>
        <v>1562025.76</v>
      </c>
      <c r="J2760" s="172"/>
      <c r="K2760" s="313"/>
      <c r="L2760" s="313"/>
      <c r="M2760" s="313"/>
      <c r="N2760" s="331"/>
      <c r="O2760" s="313"/>
      <c r="P2760" s="313"/>
      <c r="Q2760" s="313"/>
      <c r="R2760" s="313"/>
    </row>
    <row r="2761" spans="1:18" s="28" customFormat="1" ht="54" hidden="1" customHeight="1">
      <c r="A2761" s="16" t="s">
        <v>346</v>
      </c>
      <c r="B2761" s="14">
        <v>793</v>
      </c>
      <c r="C2761" s="15" t="s">
        <v>68</v>
      </c>
      <c r="D2761" s="15" t="s">
        <v>69</v>
      </c>
      <c r="E2761" s="15" t="s">
        <v>362</v>
      </c>
      <c r="F2761" s="39"/>
      <c r="G2761" s="70">
        <f t="shared" ref="G2761:I2762" si="740">G2762</f>
        <v>0</v>
      </c>
      <c r="H2761" s="70">
        <f t="shared" si="740"/>
        <v>0</v>
      </c>
      <c r="I2761" s="70">
        <f t="shared" si="740"/>
        <v>0</v>
      </c>
      <c r="J2761" s="172"/>
      <c r="K2761" s="313"/>
      <c r="L2761" s="313"/>
      <c r="M2761" s="313"/>
      <c r="N2761" s="313"/>
      <c r="O2761" s="313"/>
      <c r="P2761" s="313"/>
      <c r="Q2761" s="313"/>
      <c r="R2761" s="313"/>
    </row>
    <row r="2762" spans="1:18" s="28" customFormat="1" ht="16.5" hidden="1" customHeight="1">
      <c r="A2762" s="16" t="s">
        <v>62</v>
      </c>
      <c r="B2762" s="14">
        <v>793</v>
      </c>
      <c r="C2762" s="15" t="s">
        <v>68</v>
      </c>
      <c r="D2762" s="15" t="s">
        <v>69</v>
      </c>
      <c r="E2762" s="15" t="s">
        <v>362</v>
      </c>
      <c r="F2762" s="15" t="s">
        <v>63</v>
      </c>
      <c r="G2762" s="70">
        <f t="shared" si="740"/>
        <v>0</v>
      </c>
      <c r="H2762" s="70">
        <f t="shared" si="740"/>
        <v>0</v>
      </c>
      <c r="I2762" s="70">
        <f t="shared" si="740"/>
        <v>0</v>
      </c>
      <c r="J2762" s="172"/>
      <c r="K2762" s="313"/>
      <c r="L2762" s="313"/>
      <c r="M2762" s="313"/>
      <c r="N2762" s="313"/>
      <c r="O2762" s="313"/>
      <c r="P2762" s="313"/>
      <c r="Q2762" s="313"/>
      <c r="R2762" s="313"/>
    </row>
    <row r="2763" spans="1:18" ht="39.6" hidden="1">
      <c r="A2763" s="16" t="s">
        <v>332</v>
      </c>
      <c r="B2763" s="14">
        <v>793</v>
      </c>
      <c r="C2763" s="15" t="s">
        <v>68</v>
      </c>
      <c r="D2763" s="15" t="s">
        <v>69</v>
      </c>
      <c r="E2763" s="15" t="s">
        <v>362</v>
      </c>
      <c r="F2763" s="15" t="s">
        <v>333</v>
      </c>
      <c r="G2763" s="70"/>
      <c r="H2763" s="70"/>
      <c r="I2763" s="70"/>
      <c r="J2763" s="172"/>
      <c r="K2763" s="69"/>
      <c r="L2763" s="69"/>
      <c r="M2763" s="69"/>
      <c r="N2763" s="69"/>
      <c r="O2763" s="69"/>
      <c r="P2763" s="69"/>
      <c r="Q2763" s="69"/>
      <c r="R2763" s="69"/>
    </row>
    <row r="2764" spans="1:18" ht="25.5" customHeight="1">
      <c r="A2764" s="16" t="s">
        <v>634</v>
      </c>
      <c r="B2764" s="14">
        <v>793</v>
      </c>
      <c r="C2764" s="15" t="s">
        <v>68</v>
      </c>
      <c r="D2764" s="15" t="s">
        <v>69</v>
      </c>
      <c r="E2764" s="15" t="s">
        <v>653</v>
      </c>
      <c r="F2764" s="15"/>
      <c r="G2764" s="70">
        <f t="shared" ref="G2764:I2765" si="741">G2765</f>
        <v>286408.03000000003</v>
      </c>
      <c r="H2764" s="70">
        <f t="shared" si="741"/>
        <v>262025.76</v>
      </c>
      <c r="I2764" s="70">
        <f t="shared" si="741"/>
        <v>262025.76</v>
      </c>
      <c r="J2764" s="172"/>
      <c r="K2764" s="69"/>
      <c r="L2764" s="69"/>
      <c r="M2764" s="69"/>
      <c r="N2764" s="69"/>
      <c r="O2764" s="69"/>
      <c r="P2764" s="69"/>
      <c r="Q2764" s="69"/>
      <c r="R2764" s="69"/>
    </row>
    <row r="2765" spans="1:18" ht="15.75" customHeight="1">
      <c r="A2765" s="16" t="s">
        <v>348</v>
      </c>
      <c r="B2765" s="14">
        <v>793</v>
      </c>
      <c r="C2765" s="15" t="s">
        <v>68</v>
      </c>
      <c r="D2765" s="15" t="s">
        <v>69</v>
      </c>
      <c r="E2765" s="15" t="s">
        <v>653</v>
      </c>
      <c r="F2765" s="15" t="s">
        <v>145</v>
      </c>
      <c r="G2765" s="70">
        <f t="shared" si="741"/>
        <v>286408.03000000003</v>
      </c>
      <c r="H2765" s="70">
        <f t="shared" si="741"/>
        <v>262025.76</v>
      </c>
      <c r="I2765" s="70">
        <f t="shared" si="741"/>
        <v>262025.76</v>
      </c>
      <c r="J2765" s="172"/>
      <c r="K2765" s="69"/>
      <c r="L2765" s="69"/>
      <c r="M2765" s="69"/>
      <c r="N2765" s="69"/>
      <c r="O2765" s="69"/>
      <c r="P2765" s="69"/>
      <c r="Q2765" s="69"/>
      <c r="R2765" s="69"/>
    </row>
    <row r="2766" spans="1:18" ht="36" customHeight="1">
      <c r="A2766" s="16" t="s">
        <v>643</v>
      </c>
      <c r="B2766" s="14">
        <v>793</v>
      </c>
      <c r="C2766" s="15" t="s">
        <v>68</v>
      </c>
      <c r="D2766" s="15" t="s">
        <v>69</v>
      </c>
      <c r="E2766" s="15" t="s">
        <v>653</v>
      </c>
      <c r="F2766" s="15" t="s">
        <v>642</v>
      </c>
      <c r="G2766" s="70">
        <f>262025.76+15168.52+9213.75</f>
        <v>286408.03000000003</v>
      </c>
      <c r="H2766" s="70">
        <v>262025.76</v>
      </c>
      <c r="I2766" s="70">
        <v>262025.76</v>
      </c>
      <c r="J2766" s="172"/>
      <c r="K2766" s="69"/>
      <c r="L2766" s="69"/>
      <c r="M2766" s="69"/>
      <c r="N2766" s="69"/>
      <c r="O2766" s="69"/>
      <c r="P2766" s="69"/>
      <c r="Q2766" s="69"/>
      <c r="R2766" s="69"/>
    </row>
    <row r="2767" spans="1:18" s="18" customFormat="1" ht="26.4">
      <c r="A2767" s="16" t="s">
        <v>1272</v>
      </c>
      <c r="B2767" s="14">
        <v>793</v>
      </c>
      <c r="C2767" s="15" t="s">
        <v>68</v>
      </c>
      <c r="D2767" s="15" t="s">
        <v>69</v>
      </c>
      <c r="E2767" s="15" t="s">
        <v>998</v>
      </c>
      <c r="F2767" s="15"/>
      <c r="G2767" s="70">
        <f t="shared" ref="G2767:I2768" si="742">G2768</f>
        <v>1439408.18</v>
      </c>
      <c r="H2767" s="70">
        <f t="shared" si="742"/>
        <v>1300000</v>
      </c>
      <c r="I2767" s="70">
        <f t="shared" si="742"/>
        <v>1300000</v>
      </c>
      <c r="J2767" s="172"/>
      <c r="K2767" s="180"/>
      <c r="L2767" s="180"/>
      <c r="M2767" s="180"/>
      <c r="N2767" s="180"/>
      <c r="O2767" s="180"/>
      <c r="P2767" s="180"/>
      <c r="Q2767" s="180"/>
      <c r="R2767" s="180"/>
    </row>
    <row r="2768" spans="1:18" s="18" customFormat="1" ht="24.75" customHeight="1">
      <c r="A2768" s="128" t="s">
        <v>343</v>
      </c>
      <c r="B2768" s="14">
        <v>793</v>
      </c>
      <c r="C2768" s="15" t="s">
        <v>68</v>
      </c>
      <c r="D2768" s="15" t="s">
        <v>69</v>
      </c>
      <c r="E2768" s="15" t="s">
        <v>998</v>
      </c>
      <c r="F2768" s="15" t="s">
        <v>145</v>
      </c>
      <c r="G2768" s="70">
        <f>G2769</f>
        <v>1439408.18</v>
      </c>
      <c r="H2768" s="70">
        <f t="shared" si="742"/>
        <v>1300000</v>
      </c>
      <c r="I2768" s="70">
        <f t="shared" si="742"/>
        <v>1300000</v>
      </c>
      <c r="J2768" s="172"/>
      <c r="K2768" s="180"/>
      <c r="L2768" s="180"/>
      <c r="M2768" s="180"/>
      <c r="N2768" s="180"/>
      <c r="O2768" s="180"/>
      <c r="P2768" s="180"/>
      <c r="Q2768" s="180"/>
      <c r="R2768" s="180"/>
    </row>
    <row r="2769" spans="1:18" s="18" customFormat="1" ht="29.25" customHeight="1">
      <c r="A2769" s="16" t="s">
        <v>146</v>
      </c>
      <c r="B2769" s="14">
        <v>793</v>
      </c>
      <c r="C2769" s="15" t="s">
        <v>68</v>
      </c>
      <c r="D2769" s="15" t="s">
        <v>69</v>
      </c>
      <c r="E2769" s="15" t="s">
        <v>998</v>
      </c>
      <c r="F2769" s="15" t="s">
        <v>147</v>
      </c>
      <c r="G2769" s="70">
        <f>1300000+50000+89408.18</f>
        <v>1439408.18</v>
      </c>
      <c r="H2769" s="70">
        <v>1300000</v>
      </c>
      <c r="I2769" s="70">
        <v>1300000</v>
      </c>
      <c r="J2769" s="172"/>
      <c r="K2769" s="180"/>
      <c r="L2769" s="180"/>
      <c r="M2769" s="180"/>
      <c r="N2769" s="180"/>
      <c r="O2769" s="180"/>
      <c r="P2769" s="180"/>
      <c r="Q2769" s="180"/>
      <c r="R2769" s="180"/>
    </row>
    <row r="2770" spans="1:18" ht="26.25" customHeight="1">
      <c r="A2770" s="16" t="s">
        <v>1278</v>
      </c>
      <c r="B2770" s="14">
        <v>793</v>
      </c>
      <c r="C2770" s="15" t="s">
        <v>68</v>
      </c>
      <c r="D2770" s="15" t="s">
        <v>69</v>
      </c>
      <c r="E2770" s="15" t="s">
        <v>228</v>
      </c>
      <c r="F2770" s="15"/>
      <c r="G2770" s="70">
        <f>G2771</f>
        <v>75000</v>
      </c>
      <c r="H2770" s="70">
        <f>H2771</f>
        <v>0</v>
      </c>
      <c r="I2770" s="70">
        <f>I2771</f>
        <v>0</v>
      </c>
      <c r="J2770" s="172"/>
      <c r="K2770" s="69"/>
      <c r="L2770" s="69"/>
      <c r="M2770" s="69"/>
      <c r="N2770" s="69"/>
      <c r="O2770" s="69"/>
      <c r="P2770" s="69"/>
      <c r="Q2770" s="69"/>
      <c r="R2770" s="69"/>
    </row>
    <row r="2771" spans="1:18" ht="29.25" customHeight="1">
      <c r="A2771" s="16" t="s">
        <v>1278</v>
      </c>
      <c r="B2771" s="14">
        <v>793</v>
      </c>
      <c r="C2771" s="15" t="s">
        <v>68</v>
      </c>
      <c r="D2771" s="15" t="s">
        <v>69</v>
      </c>
      <c r="E2771" s="15" t="s">
        <v>270</v>
      </c>
      <c r="F2771" s="15"/>
      <c r="G2771" s="70">
        <f>G2773</f>
        <v>75000</v>
      </c>
      <c r="H2771" s="70">
        <f>H2773</f>
        <v>0</v>
      </c>
      <c r="I2771" s="70">
        <f>I2773</f>
        <v>0</v>
      </c>
      <c r="J2771" s="172"/>
      <c r="K2771" s="69"/>
      <c r="L2771" s="69"/>
      <c r="M2771" s="69"/>
      <c r="N2771" s="69"/>
      <c r="O2771" s="69"/>
      <c r="P2771" s="69"/>
      <c r="Q2771" s="69"/>
      <c r="R2771" s="69"/>
    </row>
    <row r="2772" spans="1:18" ht="25.5" customHeight="1">
      <c r="A2772" s="16" t="s">
        <v>348</v>
      </c>
      <c r="B2772" s="14">
        <v>793</v>
      </c>
      <c r="C2772" s="15" t="s">
        <v>68</v>
      </c>
      <c r="D2772" s="15" t="s">
        <v>69</v>
      </c>
      <c r="E2772" s="15" t="s">
        <v>270</v>
      </c>
      <c r="F2772" s="15" t="s">
        <v>145</v>
      </c>
      <c r="G2772" s="70">
        <f>G2773</f>
        <v>75000</v>
      </c>
      <c r="H2772" s="70">
        <f>H2773</f>
        <v>0</v>
      </c>
      <c r="I2772" s="70">
        <f>I2773</f>
        <v>0</v>
      </c>
      <c r="J2772" s="172"/>
      <c r="K2772" s="69"/>
      <c r="L2772" s="69"/>
      <c r="M2772" s="69"/>
      <c r="N2772" s="69"/>
      <c r="O2772" s="69"/>
      <c r="P2772" s="69"/>
      <c r="Q2772" s="69"/>
      <c r="R2772" s="69"/>
    </row>
    <row r="2773" spans="1:18" ht="30.75" customHeight="1">
      <c r="A2773" s="16" t="s">
        <v>148</v>
      </c>
      <c r="B2773" s="14">
        <v>793</v>
      </c>
      <c r="C2773" s="15" t="s">
        <v>68</v>
      </c>
      <c r="D2773" s="15" t="s">
        <v>69</v>
      </c>
      <c r="E2773" s="15" t="s">
        <v>270</v>
      </c>
      <c r="F2773" s="15" t="s">
        <v>147</v>
      </c>
      <c r="G2773" s="70">
        <v>75000</v>
      </c>
      <c r="H2773" s="70">
        <v>0</v>
      </c>
      <c r="I2773" s="70">
        <v>0</v>
      </c>
      <c r="J2773" s="172"/>
      <c r="K2773" s="69"/>
      <c r="L2773" s="69"/>
      <c r="M2773" s="69"/>
      <c r="N2773" s="69"/>
      <c r="O2773" s="69"/>
      <c r="P2773" s="69"/>
      <c r="Q2773" s="69"/>
      <c r="R2773" s="69"/>
    </row>
    <row r="2774" spans="1:18" s="28" customFormat="1" ht="24.75" hidden="1" customHeight="1">
      <c r="A2774" s="37" t="s">
        <v>163</v>
      </c>
      <c r="B2774" s="14">
        <v>793</v>
      </c>
      <c r="C2774" s="15" t="s">
        <v>68</v>
      </c>
      <c r="D2774" s="15" t="s">
        <v>69</v>
      </c>
      <c r="E2774" s="15" t="s">
        <v>228</v>
      </c>
      <c r="F2774" s="39"/>
      <c r="G2774" s="70">
        <f t="shared" ref="G2774:I2774" si="743">G2775</f>
        <v>0</v>
      </c>
      <c r="H2774" s="70">
        <f t="shared" si="743"/>
        <v>0</v>
      </c>
      <c r="I2774" s="70">
        <f t="shared" si="743"/>
        <v>0</v>
      </c>
      <c r="J2774" s="172"/>
      <c r="K2774" s="313"/>
      <c r="L2774" s="313"/>
      <c r="M2774" s="313"/>
      <c r="N2774" s="313"/>
      <c r="O2774" s="313"/>
      <c r="P2774" s="313"/>
      <c r="Q2774" s="313"/>
      <c r="R2774" s="313"/>
    </row>
    <row r="2775" spans="1:18" ht="26.4" hidden="1">
      <c r="A2775" s="37" t="s">
        <v>163</v>
      </c>
      <c r="B2775" s="14">
        <v>793</v>
      </c>
      <c r="C2775" s="15" t="s">
        <v>68</v>
      </c>
      <c r="D2775" s="15" t="s">
        <v>69</v>
      </c>
      <c r="E2775" s="15" t="s">
        <v>270</v>
      </c>
      <c r="F2775" s="15"/>
      <c r="G2775" s="70">
        <f>G2776+G2778</f>
        <v>0</v>
      </c>
      <c r="H2775" s="70">
        <f>H2776+H2778</f>
        <v>0</v>
      </c>
      <c r="I2775" s="70">
        <f>I2776+I2778</f>
        <v>0</v>
      </c>
      <c r="J2775" s="172"/>
      <c r="K2775" s="69"/>
      <c r="L2775" s="69"/>
      <c r="M2775" s="69"/>
      <c r="N2775" s="69"/>
      <c r="O2775" s="69"/>
      <c r="P2775" s="69"/>
      <c r="Q2775" s="69"/>
      <c r="R2775" s="69"/>
    </row>
    <row r="2776" spans="1:18" hidden="1">
      <c r="A2776" s="16"/>
      <c r="B2776" s="14">
        <v>793</v>
      </c>
      <c r="C2776" s="15" t="s">
        <v>68</v>
      </c>
      <c r="D2776" s="15" t="s">
        <v>69</v>
      </c>
      <c r="E2776" s="15" t="s">
        <v>270</v>
      </c>
      <c r="F2776" s="15"/>
      <c r="G2776" s="70"/>
      <c r="H2776" s="70"/>
      <c r="I2776" s="70"/>
      <c r="J2776" s="172"/>
      <c r="K2776" s="69"/>
      <c r="L2776" s="69"/>
      <c r="M2776" s="69"/>
      <c r="N2776" s="69"/>
      <c r="O2776" s="69"/>
      <c r="P2776" s="69"/>
      <c r="Q2776" s="69"/>
      <c r="R2776" s="69"/>
    </row>
    <row r="2777" spans="1:18" ht="30.75" hidden="1" customHeight="1">
      <c r="A2777" s="16"/>
      <c r="B2777" s="14">
        <v>793</v>
      </c>
      <c r="C2777" s="15" t="s">
        <v>68</v>
      </c>
      <c r="D2777" s="15" t="s">
        <v>69</v>
      </c>
      <c r="E2777" s="15" t="s">
        <v>270</v>
      </c>
      <c r="F2777" s="15"/>
      <c r="G2777" s="70"/>
      <c r="H2777" s="70"/>
      <c r="I2777" s="70"/>
      <c r="J2777" s="172"/>
      <c r="K2777" s="69"/>
      <c r="L2777" s="69"/>
      <c r="M2777" s="69"/>
      <c r="N2777" s="69"/>
      <c r="O2777" s="69"/>
      <c r="P2777" s="69"/>
      <c r="Q2777" s="69"/>
      <c r="R2777" s="69"/>
    </row>
    <row r="2778" spans="1:18" ht="24" hidden="1" customHeight="1">
      <c r="A2778" s="128" t="s">
        <v>144</v>
      </c>
      <c r="B2778" s="14">
        <v>793</v>
      </c>
      <c r="C2778" s="15" t="s">
        <v>68</v>
      </c>
      <c r="D2778" s="15" t="s">
        <v>69</v>
      </c>
      <c r="E2778" s="15" t="s">
        <v>270</v>
      </c>
      <c r="F2778" s="15" t="s">
        <v>145</v>
      </c>
      <c r="G2778" s="70">
        <f>G2779</f>
        <v>0</v>
      </c>
      <c r="H2778" s="70">
        <f>H2779</f>
        <v>0</v>
      </c>
      <c r="I2778" s="70">
        <f>I2779</f>
        <v>0</v>
      </c>
      <c r="J2778" s="172"/>
      <c r="K2778" s="69"/>
      <c r="L2778" s="69"/>
      <c r="M2778" s="69"/>
      <c r="N2778" s="69"/>
      <c r="O2778" s="69"/>
      <c r="P2778" s="69"/>
      <c r="Q2778" s="69"/>
      <c r="R2778" s="69"/>
    </row>
    <row r="2779" spans="1:18" ht="18" hidden="1" customHeight="1">
      <c r="A2779" s="16" t="s">
        <v>146</v>
      </c>
      <c r="B2779" s="14">
        <v>793</v>
      </c>
      <c r="C2779" s="15" t="s">
        <v>68</v>
      </c>
      <c r="D2779" s="15" t="s">
        <v>69</v>
      </c>
      <c r="E2779" s="15" t="s">
        <v>270</v>
      </c>
      <c r="F2779" s="15" t="s">
        <v>147</v>
      </c>
      <c r="G2779" s="70"/>
      <c r="H2779" s="70"/>
      <c r="I2779" s="70"/>
      <c r="J2779" s="172"/>
      <c r="K2779" s="69"/>
      <c r="L2779" s="69"/>
      <c r="M2779" s="69"/>
      <c r="N2779" s="69"/>
      <c r="O2779" s="69"/>
      <c r="P2779" s="69"/>
      <c r="Q2779" s="69"/>
      <c r="R2779" s="69"/>
    </row>
    <row r="2780" spans="1:18">
      <c r="A2780" s="13" t="s">
        <v>149</v>
      </c>
      <c r="B2780" s="14">
        <v>793</v>
      </c>
      <c r="C2780" s="15" t="s">
        <v>68</v>
      </c>
      <c r="D2780" s="15" t="s">
        <v>53</v>
      </c>
      <c r="E2780" s="15"/>
      <c r="F2780" s="15"/>
      <c r="G2780" s="70">
        <f>G2786+G2782</f>
        <v>14325113.4</v>
      </c>
      <c r="H2780" s="70">
        <f t="shared" ref="H2780:I2780" si="744">H2786+H2782</f>
        <v>26539133.5</v>
      </c>
      <c r="I2780" s="70">
        <f t="shared" si="744"/>
        <v>26539133.490000002</v>
      </c>
      <c r="J2780" s="172"/>
      <c r="K2780" s="69"/>
      <c r="L2780" s="69"/>
      <c r="M2780" s="69"/>
      <c r="N2780" s="69"/>
      <c r="O2780" s="69"/>
      <c r="P2780" s="69"/>
      <c r="Q2780" s="69"/>
      <c r="R2780" s="69"/>
    </row>
    <row r="2781" spans="1:18" s="32" customFormat="1" ht="12.75" hidden="1" customHeight="1">
      <c r="A2781" s="11"/>
      <c r="B2781" s="14"/>
      <c r="C2781" s="7"/>
      <c r="D2781" s="15"/>
      <c r="E2781" s="15"/>
      <c r="F2781" s="15"/>
      <c r="G2781" s="70"/>
      <c r="H2781" s="70"/>
      <c r="I2781" s="70"/>
      <c r="J2781" s="172"/>
      <c r="K2781" s="336"/>
      <c r="L2781" s="336"/>
      <c r="M2781" s="336"/>
      <c r="N2781" s="336"/>
      <c r="O2781" s="336"/>
      <c r="P2781" s="336"/>
      <c r="Q2781" s="336"/>
      <c r="R2781" s="336"/>
    </row>
    <row r="2782" spans="1:18" s="32" customFormat="1" ht="30.75" hidden="1" customHeight="1">
      <c r="A2782" s="337" t="s">
        <v>452</v>
      </c>
      <c r="B2782" s="14">
        <v>793</v>
      </c>
      <c r="C2782" s="15" t="s">
        <v>68</v>
      </c>
      <c r="D2782" s="15" t="s">
        <v>53</v>
      </c>
      <c r="E2782" s="15" t="s">
        <v>199</v>
      </c>
      <c r="F2782" s="15"/>
      <c r="G2782" s="70">
        <f>G2783+G483+G480</f>
        <v>0</v>
      </c>
      <c r="H2782" s="70">
        <f>H2783+H483</f>
        <v>0</v>
      </c>
      <c r="I2782" s="70">
        <f>I2783+I483</f>
        <v>0</v>
      </c>
      <c r="J2782" s="172"/>
      <c r="K2782" s="336"/>
      <c r="L2782" s="336"/>
      <c r="M2782" s="336"/>
      <c r="N2782" s="336"/>
      <c r="O2782" s="336"/>
      <c r="P2782" s="336"/>
      <c r="Q2782" s="336"/>
      <c r="R2782" s="336"/>
    </row>
    <row r="2783" spans="1:18" ht="33" hidden="1" customHeight="1">
      <c r="A2783" s="16" t="s">
        <v>179</v>
      </c>
      <c r="B2783" s="14">
        <v>793</v>
      </c>
      <c r="C2783" s="15" t="s">
        <v>68</v>
      </c>
      <c r="D2783" s="15" t="s">
        <v>53</v>
      </c>
      <c r="E2783" s="15" t="s">
        <v>397</v>
      </c>
      <c r="F2783" s="15"/>
      <c r="G2783" s="70">
        <f t="shared" ref="G2783:I2784" si="745">G2784</f>
        <v>0</v>
      </c>
      <c r="H2783" s="70">
        <f t="shared" si="745"/>
        <v>0</v>
      </c>
      <c r="I2783" s="70">
        <f t="shared" si="745"/>
        <v>0</v>
      </c>
      <c r="J2783" s="172"/>
      <c r="K2783" s="69"/>
      <c r="L2783" s="69"/>
      <c r="M2783" s="69"/>
      <c r="N2783" s="69"/>
      <c r="O2783" s="69"/>
      <c r="P2783" s="69"/>
      <c r="Q2783" s="69"/>
      <c r="R2783" s="69"/>
    </row>
    <row r="2784" spans="1:18" ht="33" hidden="1" customHeight="1">
      <c r="A2784" s="16" t="s">
        <v>144</v>
      </c>
      <c r="B2784" s="14">
        <v>793</v>
      </c>
      <c r="C2784" s="15" t="s">
        <v>68</v>
      </c>
      <c r="D2784" s="15" t="s">
        <v>53</v>
      </c>
      <c r="E2784" s="15" t="s">
        <v>397</v>
      </c>
      <c r="F2784" s="15" t="s">
        <v>145</v>
      </c>
      <c r="G2784" s="70">
        <f t="shared" si="745"/>
        <v>0</v>
      </c>
      <c r="H2784" s="70">
        <f t="shared" si="745"/>
        <v>0</v>
      </c>
      <c r="I2784" s="70">
        <f t="shared" si="745"/>
        <v>0</v>
      </c>
      <c r="J2784" s="172"/>
      <c r="K2784" s="69"/>
      <c r="L2784" s="69"/>
      <c r="M2784" s="69"/>
      <c r="N2784" s="69"/>
      <c r="O2784" s="69"/>
      <c r="P2784" s="69"/>
      <c r="Q2784" s="69"/>
      <c r="R2784" s="69"/>
    </row>
    <row r="2785" spans="1:18" ht="33" hidden="1" customHeight="1">
      <c r="A2785" s="16" t="s">
        <v>146</v>
      </c>
      <c r="B2785" s="14">
        <v>793</v>
      </c>
      <c r="C2785" s="15" t="s">
        <v>68</v>
      </c>
      <c r="D2785" s="15" t="s">
        <v>53</v>
      </c>
      <c r="E2785" s="15" t="s">
        <v>397</v>
      </c>
      <c r="F2785" s="15" t="s">
        <v>147</v>
      </c>
      <c r="G2785" s="70"/>
      <c r="H2785" s="70"/>
      <c r="I2785" s="70"/>
      <c r="J2785" s="172"/>
      <c r="K2785" s="69"/>
      <c r="L2785" s="69"/>
      <c r="M2785" s="69"/>
      <c r="N2785" s="69"/>
      <c r="O2785" s="69"/>
      <c r="P2785" s="69"/>
      <c r="Q2785" s="69"/>
      <c r="R2785" s="69"/>
    </row>
    <row r="2786" spans="1:18" s="46" customFormat="1" ht="30.75" customHeight="1">
      <c r="A2786" s="16" t="s">
        <v>1145</v>
      </c>
      <c r="B2786" s="14">
        <v>793</v>
      </c>
      <c r="C2786" s="15" t="s">
        <v>68</v>
      </c>
      <c r="D2786" s="15" t="s">
        <v>53</v>
      </c>
      <c r="E2786" s="15" t="s">
        <v>280</v>
      </c>
      <c r="F2786" s="15"/>
      <c r="G2786" s="70">
        <f>G2787+G2802+G2793+G2796+G2790+G2799</f>
        <v>14325113.4</v>
      </c>
      <c r="H2786" s="70">
        <f>H2787+H2802+H2793+H2790</f>
        <v>26539133.5</v>
      </c>
      <c r="I2786" s="70">
        <f>I2787+I2802+I2793+I2790</f>
        <v>26539133.490000002</v>
      </c>
      <c r="J2786" s="172"/>
      <c r="K2786" s="58"/>
      <c r="L2786" s="58"/>
      <c r="M2786" s="58"/>
      <c r="N2786" s="163"/>
      <c r="O2786" s="58"/>
      <c r="P2786" s="58"/>
      <c r="Q2786" s="58"/>
      <c r="R2786" s="58"/>
    </row>
    <row r="2787" spans="1:18" ht="58.5" hidden="1" customHeight="1">
      <c r="A2787" s="326" t="s">
        <v>282</v>
      </c>
      <c r="B2787" s="14">
        <v>793</v>
      </c>
      <c r="C2787" s="15" t="s">
        <v>68</v>
      </c>
      <c r="D2787" s="15" t="s">
        <v>53</v>
      </c>
      <c r="E2787" s="15" t="s">
        <v>281</v>
      </c>
      <c r="F2787" s="15"/>
      <c r="G2787" s="70">
        <f>G2788</f>
        <v>0</v>
      </c>
      <c r="H2787" s="70">
        <f t="shared" ref="H2787:I2787" si="746">H2788</f>
        <v>0</v>
      </c>
      <c r="I2787" s="70">
        <f t="shared" si="746"/>
        <v>0</v>
      </c>
      <c r="J2787" s="172"/>
      <c r="K2787" s="69"/>
      <c r="L2787" s="69"/>
      <c r="M2787" s="69"/>
      <c r="N2787" s="69"/>
      <c r="O2787" s="69"/>
      <c r="P2787" s="69"/>
      <c r="Q2787" s="69"/>
      <c r="R2787" s="69"/>
    </row>
    <row r="2788" spans="1:18" ht="39.6" hidden="1">
      <c r="A2788" s="16" t="s">
        <v>337</v>
      </c>
      <c r="B2788" s="14">
        <v>793</v>
      </c>
      <c r="C2788" s="15" t="s">
        <v>68</v>
      </c>
      <c r="D2788" s="15" t="s">
        <v>53</v>
      </c>
      <c r="E2788" s="15" t="s">
        <v>281</v>
      </c>
      <c r="F2788" s="15" t="s">
        <v>338</v>
      </c>
      <c r="G2788" s="70">
        <f>G2789</f>
        <v>0</v>
      </c>
      <c r="H2788" s="70">
        <f>H2789</f>
        <v>0</v>
      </c>
      <c r="I2788" s="70">
        <f>I2789</f>
        <v>0</v>
      </c>
      <c r="J2788" s="172"/>
      <c r="K2788" s="69"/>
      <c r="L2788" s="69"/>
      <c r="M2788" s="69"/>
      <c r="N2788" s="69"/>
      <c r="O2788" s="69"/>
      <c r="P2788" s="69"/>
      <c r="Q2788" s="69"/>
      <c r="R2788" s="69"/>
    </row>
    <row r="2789" spans="1:18" hidden="1">
      <c r="A2789" s="16" t="s">
        <v>339</v>
      </c>
      <c r="B2789" s="14">
        <v>793</v>
      </c>
      <c r="C2789" s="15" t="s">
        <v>68</v>
      </c>
      <c r="D2789" s="15" t="s">
        <v>53</v>
      </c>
      <c r="E2789" s="15" t="s">
        <v>281</v>
      </c>
      <c r="F2789" s="15" t="s">
        <v>340</v>
      </c>
      <c r="G2789" s="70">
        <v>0</v>
      </c>
      <c r="H2789" s="70">
        <v>0</v>
      </c>
      <c r="I2789" s="70">
        <v>0</v>
      </c>
      <c r="J2789" s="172"/>
      <c r="K2789" s="69"/>
      <c r="L2789" s="69"/>
      <c r="M2789" s="69"/>
      <c r="N2789" s="69"/>
      <c r="O2789" s="69"/>
      <c r="P2789" s="69"/>
      <c r="Q2789" s="69"/>
      <c r="R2789" s="69"/>
    </row>
    <row r="2790" spans="1:18" ht="58.5" customHeight="1">
      <c r="A2790" s="326" t="s">
        <v>1263</v>
      </c>
      <c r="B2790" s="14">
        <v>793</v>
      </c>
      <c r="C2790" s="15" t="s">
        <v>68</v>
      </c>
      <c r="D2790" s="15" t="s">
        <v>53</v>
      </c>
      <c r="E2790" s="15" t="s">
        <v>1262</v>
      </c>
      <c r="F2790" s="15"/>
      <c r="G2790" s="70">
        <f>G2791</f>
        <v>0</v>
      </c>
      <c r="H2790" s="70">
        <f t="shared" ref="H2790:I2790" si="747">H2791</f>
        <v>8665575.3500000015</v>
      </c>
      <c r="I2790" s="70">
        <f t="shared" si="747"/>
        <v>8698508.8600000013</v>
      </c>
      <c r="J2790" s="172"/>
      <c r="K2790" s="69"/>
      <c r="L2790" s="69"/>
      <c r="M2790" s="69"/>
      <c r="N2790" s="69"/>
      <c r="O2790" s="69"/>
      <c r="P2790" s="69"/>
      <c r="Q2790" s="69"/>
      <c r="R2790" s="69"/>
    </row>
    <row r="2791" spans="1:18" ht="39.6">
      <c r="A2791" s="16" t="s">
        <v>337</v>
      </c>
      <c r="B2791" s="14">
        <v>793</v>
      </c>
      <c r="C2791" s="15" t="s">
        <v>68</v>
      </c>
      <c r="D2791" s="15" t="s">
        <v>53</v>
      </c>
      <c r="E2791" s="15" t="s">
        <v>1262</v>
      </c>
      <c r="F2791" s="15" t="s">
        <v>338</v>
      </c>
      <c r="G2791" s="70">
        <f>G2792</f>
        <v>0</v>
      </c>
      <c r="H2791" s="70">
        <f>H2792</f>
        <v>8665575.3500000015</v>
      </c>
      <c r="I2791" s="70">
        <f>I2792</f>
        <v>8698508.8600000013</v>
      </c>
      <c r="J2791" s="172"/>
      <c r="K2791" s="69"/>
      <c r="L2791" s="69"/>
      <c r="M2791" s="69"/>
      <c r="N2791" s="69"/>
      <c r="O2791" s="69"/>
      <c r="P2791" s="69"/>
      <c r="Q2791" s="69"/>
      <c r="R2791" s="69"/>
    </row>
    <row r="2792" spans="1:18">
      <c r="A2792" s="16" t="s">
        <v>339</v>
      </c>
      <c r="B2792" s="14">
        <v>793</v>
      </c>
      <c r="C2792" s="15" t="s">
        <v>68</v>
      </c>
      <c r="D2792" s="15" t="s">
        <v>53</v>
      </c>
      <c r="E2792" s="15" t="s">
        <v>1262</v>
      </c>
      <c r="F2792" s="15" t="s">
        <v>340</v>
      </c>
      <c r="G2792" s="70">
        <f>8514686.33-8514686.33</f>
        <v>0</v>
      </c>
      <c r="H2792" s="70">
        <f>8962827.72-297252.37</f>
        <v>8665575.3500000015</v>
      </c>
      <c r="I2792" s="70">
        <f>8962827.72-264318.86</f>
        <v>8698508.8600000013</v>
      </c>
      <c r="J2792" s="172"/>
      <c r="K2792" s="69"/>
      <c r="L2792" s="69"/>
      <c r="M2792" s="69"/>
      <c r="N2792" s="69"/>
      <c r="O2792" s="69"/>
      <c r="P2792" s="69"/>
      <c r="Q2792" s="69"/>
      <c r="R2792" s="69"/>
    </row>
    <row r="2793" spans="1:18" ht="55.5" customHeight="1">
      <c r="A2793" s="326" t="s">
        <v>283</v>
      </c>
      <c r="B2793" s="14">
        <v>793</v>
      </c>
      <c r="C2793" s="15" t="s">
        <v>68</v>
      </c>
      <c r="D2793" s="15" t="s">
        <v>53</v>
      </c>
      <c r="E2793" s="15" t="s">
        <v>360</v>
      </c>
      <c r="F2793" s="15"/>
      <c r="G2793" s="70">
        <f t="shared" ref="G2793:I2800" si="748">G2794</f>
        <v>9544533.4000000004</v>
      </c>
      <c r="H2793" s="70">
        <f t="shared" si="748"/>
        <v>17697558.149999999</v>
      </c>
      <c r="I2793" s="70">
        <f t="shared" si="748"/>
        <v>17664624.629999999</v>
      </c>
      <c r="J2793" s="172"/>
      <c r="K2793" s="69"/>
      <c r="L2793" s="69"/>
      <c r="M2793" s="69"/>
      <c r="N2793" s="69"/>
      <c r="O2793" s="69"/>
      <c r="P2793" s="69"/>
      <c r="Q2793" s="69"/>
      <c r="R2793" s="69"/>
    </row>
    <row r="2794" spans="1:18" ht="39.6">
      <c r="A2794" s="16" t="s">
        <v>337</v>
      </c>
      <c r="B2794" s="14">
        <v>793</v>
      </c>
      <c r="C2794" s="15" t="s">
        <v>68</v>
      </c>
      <c r="D2794" s="15" t="s">
        <v>53</v>
      </c>
      <c r="E2794" s="15" t="s">
        <v>360</v>
      </c>
      <c r="F2794" s="15" t="s">
        <v>338</v>
      </c>
      <c r="G2794" s="70">
        <f t="shared" si="748"/>
        <v>9544533.4000000004</v>
      </c>
      <c r="H2794" s="70">
        <f t="shared" si="748"/>
        <v>17697558.149999999</v>
      </c>
      <c r="I2794" s="70">
        <f t="shared" si="748"/>
        <v>17664624.629999999</v>
      </c>
      <c r="J2794" s="172"/>
      <c r="K2794" s="69"/>
      <c r="L2794" s="69"/>
      <c r="M2794" s="69"/>
      <c r="N2794" s="69"/>
      <c r="O2794" s="69"/>
      <c r="P2794" s="69"/>
      <c r="Q2794" s="69"/>
      <c r="R2794" s="69"/>
    </row>
    <row r="2795" spans="1:18">
      <c r="A2795" s="16" t="s">
        <v>339</v>
      </c>
      <c r="B2795" s="14">
        <v>793</v>
      </c>
      <c r="C2795" s="15" t="s">
        <v>68</v>
      </c>
      <c r="D2795" s="15" t="s">
        <v>53</v>
      </c>
      <c r="E2795" s="15" t="s">
        <v>360</v>
      </c>
      <c r="F2795" s="15" t="s">
        <v>340</v>
      </c>
      <c r="G2795" s="70">
        <v>9544533.4000000004</v>
      </c>
      <c r="H2795" s="70">
        <f>17725816.99-28258.84</f>
        <v>17697558.149999999</v>
      </c>
      <c r="I2795" s="70">
        <f>17725816.99-61192.36</f>
        <v>17664624.629999999</v>
      </c>
      <c r="J2795" s="172"/>
      <c r="K2795" s="69"/>
      <c r="L2795" s="69"/>
      <c r="M2795" s="69"/>
      <c r="N2795" s="69"/>
      <c r="O2795" s="69"/>
      <c r="P2795" s="69"/>
      <c r="Q2795" s="69"/>
      <c r="R2795" s="69"/>
    </row>
    <row r="2796" spans="1:18" ht="81" hidden="1" customHeight="1">
      <c r="A2796" s="80" t="s">
        <v>991</v>
      </c>
      <c r="B2796" s="14">
        <v>793</v>
      </c>
      <c r="C2796" s="15" t="s">
        <v>68</v>
      </c>
      <c r="D2796" s="15" t="s">
        <v>53</v>
      </c>
      <c r="E2796" s="15" t="s">
        <v>983</v>
      </c>
      <c r="F2796" s="15"/>
      <c r="G2796" s="70">
        <f t="shared" si="748"/>
        <v>0</v>
      </c>
      <c r="H2796" s="70">
        <f t="shared" si="748"/>
        <v>0</v>
      </c>
      <c r="I2796" s="70">
        <f t="shared" si="748"/>
        <v>0</v>
      </c>
      <c r="J2796" s="172"/>
      <c r="K2796" s="69"/>
      <c r="L2796" s="69"/>
      <c r="M2796" s="69"/>
      <c r="N2796" s="69"/>
      <c r="O2796" s="69"/>
      <c r="P2796" s="69"/>
      <c r="Q2796" s="69"/>
      <c r="R2796" s="69"/>
    </row>
    <row r="2797" spans="1:18" ht="39.6" hidden="1">
      <c r="A2797" s="16" t="s">
        <v>337</v>
      </c>
      <c r="B2797" s="14">
        <v>793</v>
      </c>
      <c r="C2797" s="15" t="s">
        <v>68</v>
      </c>
      <c r="D2797" s="15" t="s">
        <v>53</v>
      </c>
      <c r="E2797" s="15" t="s">
        <v>983</v>
      </c>
      <c r="F2797" s="15" t="s">
        <v>338</v>
      </c>
      <c r="G2797" s="70">
        <f t="shared" si="748"/>
        <v>0</v>
      </c>
      <c r="H2797" s="70">
        <f t="shared" si="748"/>
        <v>0</v>
      </c>
      <c r="I2797" s="70">
        <f t="shared" si="748"/>
        <v>0</v>
      </c>
      <c r="J2797" s="172"/>
      <c r="K2797" s="69"/>
      <c r="L2797" s="69"/>
      <c r="M2797" s="69"/>
      <c r="N2797" s="69"/>
      <c r="O2797" s="69"/>
      <c r="P2797" s="69"/>
      <c r="Q2797" s="69"/>
      <c r="R2797" s="69"/>
    </row>
    <row r="2798" spans="1:18" hidden="1">
      <c r="A2798" s="16" t="s">
        <v>339</v>
      </c>
      <c r="B2798" s="14">
        <v>793</v>
      </c>
      <c r="C2798" s="15" t="s">
        <v>68</v>
      </c>
      <c r="D2798" s="15" t="s">
        <v>53</v>
      </c>
      <c r="E2798" s="15" t="s">
        <v>983</v>
      </c>
      <c r="F2798" s="15" t="s">
        <v>340</v>
      </c>
      <c r="G2798" s="70"/>
      <c r="H2798" s="70"/>
      <c r="I2798" s="70"/>
      <c r="J2798" s="172"/>
      <c r="K2798" s="69"/>
      <c r="L2798" s="69"/>
      <c r="M2798" s="69"/>
      <c r="N2798" s="69"/>
      <c r="O2798" s="69"/>
      <c r="P2798" s="69"/>
      <c r="Q2798" s="69"/>
      <c r="R2798" s="69"/>
    </row>
    <row r="2799" spans="1:18" ht="55.5" customHeight="1">
      <c r="A2799" s="326" t="s">
        <v>1287</v>
      </c>
      <c r="B2799" s="14">
        <v>793</v>
      </c>
      <c r="C2799" s="15" t="s">
        <v>68</v>
      </c>
      <c r="D2799" s="15" t="s">
        <v>53</v>
      </c>
      <c r="E2799" s="15" t="s">
        <v>983</v>
      </c>
      <c r="F2799" s="15"/>
      <c r="G2799" s="70">
        <f t="shared" si="748"/>
        <v>4632580</v>
      </c>
      <c r="H2799" s="70">
        <f t="shared" si="748"/>
        <v>0</v>
      </c>
      <c r="I2799" s="70">
        <f t="shared" si="748"/>
        <v>0</v>
      </c>
      <c r="J2799" s="172"/>
      <c r="K2799" s="69"/>
      <c r="L2799" s="69"/>
      <c r="M2799" s="69"/>
      <c r="N2799" s="69"/>
      <c r="O2799" s="69"/>
      <c r="P2799" s="69"/>
      <c r="Q2799" s="69"/>
      <c r="R2799" s="69"/>
    </row>
    <row r="2800" spans="1:18" ht="25.5" customHeight="1">
      <c r="A2800" s="128" t="s">
        <v>343</v>
      </c>
      <c r="B2800" s="14">
        <v>793</v>
      </c>
      <c r="C2800" s="15" t="s">
        <v>68</v>
      </c>
      <c r="D2800" s="15" t="s">
        <v>53</v>
      </c>
      <c r="E2800" s="15" t="s">
        <v>983</v>
      </c>
      <c r="F2800" s="15" t="s">
        <v>145</v>
      </c>
      <c r="G2800" s="70">
        <f t="shared" si="748"/>
        <v>4632580</v>
      </c>
      <c r="H2800" s="70">
        <f t="shared" si="748"/>
        <v>0</v>
      </c>
      <c r="I2800" s="70">
        <f t="shared" si="748"/>
        <v>0</v>
      </c>
      <c r="J2800" s="172"/>
      <c r="K2800" s="69"/>
      <c r="L2800" s="69"/>
      <c r="M2800" s="69"/>
      <c r="N2800" s="69"/>
      <c r="O2800" s="69"/>
      <c r="P2800" s="69"/>
      <c r="Q2800" s="69"/>
      <c r="R2800" s="69"/>
    </row>
    <row r="2801" spans="1:18" ht="26.4">
      <c r="A2801" s="16" t="s">
        <v>146</v>
      </c>
      <c r="B2801" s="14">
        <v>793</v>
      </c>
      <c r="C2801" s="15" t="s">
        <v>68</v>
      </c>
      <c r="D2801" s="15" t="s">
        <v>53</v>
      </c>
      <c r="E2801" s="15" t="s">
        <v>983</v>
      </c>
      <c r="F2801" s="15" t="s">
        <v>147</v>
      </c>
      <c r="G2801" s="70">
        <f>9265160-4632580</f>
        <v>4632580</v>
      </c>
      <c r="H2801" s="70">
        <v>0</v>
      </c>
      <c r="I2801" s="70">
        <v>0</v>
      </c>
      <c r="J2801" s="172"/>
      <c r="K2801" s="69"/>
      <c r="L2801" s="69"/>
      <c r="M2801" s="69"/>
      <c r="N2801" s="69"/>
      <c r="O2801" s="69"/>
      <c r="P2801" s="69"/>
      <c r="Q2801" s="69"/>
      <c r="R2801" s="69"/>
    </row>
    <row r="2802" spans="1:18" s="18" customFormat="1" ht="26.4">
      <c r="A2802" s="16" t="s">
        <v>349</v>
      </c>
      <c r="B2802" s="14">
        <v>793</v>
      </c>
      <c r="C2802" s="15" t="s">
        <v>68</v>
      </c>
      <c r="D2802" s="15" t="s">
        <v>53</v>
      </c>
      <c r="E2802" s="15" t="s">
        <v>285</v>
      </c>
      <c r="F2802" s="15"/>
      <c r="G2802" s="70">
        <f t="shared" ref="G2802:I2803" si="749">G2803</f>
        <v>148000</v>
      </c>
      <c r="H2802" s="70">
        <f t="shared" si="749"/>
        <v>176000</v>
      </c>
      <c r="I2802" s="70">
        <f t="shared" si="749"/>
        <v>176000</v>
      </c>
      <c r="J2802" s="172"/>
      <c r="K2802" s="180"/>
      <c r="L2802" s="180"/>
      <c r="M2802" s="180"/>
      <c r="N2802" s="180"/>
      <c r="O2802" s="180"/>
      <c r="P2802" s="180"/>
      <c r="Q2802" s="180"/>
      <c r="R2802" s="180"/>
    </row>
    <row r="2803" spans="1:18" s="18" customFormat="1" ht="26.4">
      <c r="A2803" s="16" t="s">
        <v>347</v>
      </c>
      <c r="B2803" s="14">
        <v>793</v>
      </c>
      <c r="C2803" s="15" t="s">
        <v>68</v>
      </c>
      <c r="D2803" s="15" t="s">
        <v>53</v>
      </c>
      <c r="E2803" s="15" t="s">
        <v>285</v>
      </c>
      <c r="F2803" s="15" t="s">
        <v>145</v>
      </c>
      <c r="G2803" s="70">
        <f t="shared" si="749"/>
        <v>148000</v>
      </c>
      <c r="H2803" s="70">
        <f t="shared" si="749"/>
        <v>176000</v>
      </c>
      <c r="I2803" s="70">
        <f t="shared" si="749"/>
        <v>176000</v>
      </c>
      <c r="J2803" s="172"/>
      <c r="K2803" s="180"/>
      <c r="L2803" s="180"/>
      <c r="M2803" s="180"/>
      <c r="N2803" s="180"/>
      <c r="O2803" s="180"/>
      <c r="P2803" s="180"/>
      <c r="Q2803" s="180"/>
      <c r="R2803" s="180"/>
    </row>
    <row r="2804" spans="1:18" s="18" customFormat="1" ht="26.4">
      <c r="A2804" s="16" t="s">
        <v>344</v>
      </c>
      <c r="B2804" s="14">
        <v>793</v>
      </c>
      <c r="C2804" s="15" t="s">
        <v>68</v>
      </c>
      <c r="D2804" s="15" t="s">
        <v>53</v>
      </c>
      <c r="E2804" s="15" t="s">
        <v>285</v>
      </c>
      <c r="F2804" s="15" t="s">
        <v>345</v>
      </c>
      <c r="G2804" s="70">
        <f>176000-28000</f>
        <v>148000</v>
      </c>
      <c r="H2804" s="70">
        <v>176000</v>
      </c>
      <c r="I2804" s="70">
        <v>176000</v>
      </c>
      <c r="J2804" s="172"/>
      <c r="K2804" s="180"/>
      <c r="L2804" s="180"/>
      <c r="M2804" s="180"/>
      <c r="N2804" s="180"/>
      <c r="O2804" s="180"/>
      <c r="P2804" s="180"/>
      <c r="Q2804" s="180"/>
      <c r="R2804" s="180"/>
    </row>
    <row r="2805" spans="1:18" s="32" customFormat="1" ht="17.25" customHeight="1">
      <c r="A2805" s="5" t="s">
        <v>350</v>
      </c>
      <c r="B2805" s="35">
        <v>793</v>
      </c>
      <c r="C2805" s="36" t="s">
        <v>71</v>
      </c>
      <c r="D2805" s="36"/>
      <c r="E2805" s="36"/>
      <c r="F2805" s="36"/>
      <c r="G2805" s="71">
        <f>G2821+G2806</f>
        <v>4964464.75</v>
      </c>
      <c r="H2805" s="71">
        <f>H2821+H2806</f>
        <v>0</v>
      </c>
      <c r="I2805" s="71">
        <f>I2821+I2806</f>
        <v>0</v>
      </c>
      <c r="J2805" s="323"/>
      <c r="K2805" s="336"/>
      <c r="L2805" s="336"/>
      <c r="M2805" s="336"/>
      <c r="N2805" s="336"/>
      <c r="O2805" s="336"/>
      <c r="P2805" s="336"/>
      <c r="Q2805" s="336"/>
      <c r="R2805" s="336"/>
    </row>
    <row r="2806" spans="1:18" s="32" customFormat="1" ht="17.25" hidden="1" customHeight="1">
      <c r="A2806" s="115" t="s">
        <v>468</v>
      </c>
      <c r="B2806" s="14">
        <v>757</v>
      </c>
      <c r="C2806" s="15" t="s">
        <v>71</v>
      </c>
      <c r="D2806" s="15" t="s">
        <v>18</v>
      </c>
      <c r="E2806" s="36"/>
      <c r="F2806" s="36"/>
      <c r="G2806" s="71">
        <f>G2807+G2817</f>
        <v>0</v>
      </c>
      <c r="H2806" s="71">
        <f>H2807+H2817</f>
        <v>0</v>
      </c>
      <c r="I2806" s="71">
        <f>I2807+I2817</f>
        <v>0</v>
      </c>
      <c r="J2806" s="323"/>
      <c r="K2806" s="336"/>
      <c r="L2806" s="336"/>
      <c r="M2806" s="336"/>
      <c r="N2806" s="336"/>
      <c r="O2806" s="336"/>
      <c r="P2806" s="336"/>
      <c r="Q2806" s="336"/>
      <c r="R2806" s="336"/>
    </row>
    <row r="2807" spans="1:18" ht="27.75" hidden="1" customHeight="1">
      <c r="A2807" s="37" t="s">
        <v>460</v>
      </c>
      <c r="B2807" s="14">
        <v>757</v>
      </c>
      <c r="C2807" s="15" t="s">
        <v>71</v>
      </c>
      <c r="D2807" s="15" t="s">
        <v>18</v>
      </c>
      <c r="E2807" s="15" t="s">
        <v>189</v>
      </c>
      <c r="F2807" s="15"/>
      <c r="G2807" s="70">
        <f>G2809+G2812+G2814</f>
        <v>0</v>
      </c>
      <c r="H2807" s="70">
        <f>H2809+H2812+H2814</f>
        <v>0</v>
      </c>
      <c r="I2807" s="70">
        <f>I2809+I2812+I2814</f>
        <v>0</v>
      </c>
      <c r="J2807" s="172"/>
      <c r="K2807" s="69"/>
      <c r="L2807" s="69"/>
      <c r="M2807" s="69"/>
      <c r="N2807" s="69"/>
      <c r="O2807" s="69"/>
      <c r="P2807" s="69"/>
      <c r="Q2807" s="69"/>
      <c r="R2807" s="69"/>
    </row>
    <row r="2808" spans="1:18" ht="19.5" hidden="1" customHeight="1">
      <c r="A2808" s="16" t="s">
        <v>31</v>
      </c>
      <c r="B2808" s="14">
        <v>757</v>
      </c>
      <c r="C2808" s="15" t="s">
        <v>71</v>
      </c>
      <c r="D2808" s="15" t="s">
        <v>18</v>
      </c>
      <c r="E2808" s="15" t="s">
        <v>39</v>
      </c>
      <c r="F2808" s="15" t="s">
        <v>32</v>
      </c>
      <c r="G2808" s="70"/>
      <c r="H2808" s="70"/>
      <c r="I2808" s="70"/>
      <c r="J2808" s="172"/>
      <c r="K2808" s="69"/>
      <c r="L2808" s="69"/>
      <c r="M2808" s="69"/>
      <c r="N2808" s="69"/>
      <c r="O2808" s="69"/>
      <c r="P2808" s="69"/>
      <c r="Q2808" s="69"/>
      <c r="R2808" s="69"/>
    </row>
    <row r="2809" spans="1:18" ht="39" hidden="1" customHeight="1">
      <c r="A2809" s="16" t="s">
        <v>109</v>
      </c>
      <c r="B2809" s="14">
        <v>757</v>
      </c>
      <c r="C2809" s="15" t="s">
        <v>71</v>
      </c>
      <c r="D2809" s="15" t="s">
        <v>18</v>
      </c>
      <c r="E2809" s="15" t="s">
        <v>190</v>
      </c>
      <c r="F2809" s="15"/>
      <c r="G2809" s="70">
        <f>G2810</f>
        <v>0</v>
      </c>
      <c r="H2809" s="70">
        <f t="shared" ref="H2809:I2809" si="750">H2810</f>
        <v>0</v>
      </c>
      <c r="I2809" s="70">
        <f t="shared" si="750"/>
        <v>0</v>
      </c>
      <c r="J2809" s="172"/>
      <c r="K2809" s="69"/>
      <c r="L2809" s="69"/>
      <c r="M2809" s="69"/>
      <c r="N2809" s="69"/>
      <c r="O2809" s="69"/>
      <c r="P2809" s="69"/>
      <c r="Q2809" s="69"/>
      <c r="R2809" s="69"/>
    </row>
    <row r="2810" spans="1:18" ht="26.4" hidden="1">
      <c r="A2810" s="16" t="s">
        <v>29</v>
      </c>
      <c r="B2810" s="14">
        <v>757</v>
      </c>
      <c r="C2810" s="15" t="s">
        <v>71</v>
      </c>
      <c r="D2810" s="15" t="s">
        <v>18</v>
      </c>
      <c r="E2810" s="15" t="s">
        <v>190</v>
      </c>
      <c r="F2810" s="15" t="s">
        <v>30</v>
      </c>
      <c r="G2810" s="70">
        <f>G2811</f>
        <v>0</v>
      </c>
      <c r="H2810" s="70">
        <f>H2811</f>
        <v>0</v>
      </c>
      <c r="I2810" s="70">
        <f>I2811</f>
        <v>0</v>
      </c>
      <c r="J2810" s="172"/>
      <c r="K2810" s="69"/>
      <c r="L2810" s="69"/>
      <c r="M2810" s="69"/>
      <c r="N2810" s="69"/>
      <c r="O2810" s="69"/>
      <c r="P2810" s="69"/>
      <c r="Q2810" s="69"/>
      <c r="R2810" s="69"/>
    </row>
    <row r="2811" spans="1:18" ht="19.5" hidden="1" customHeight="1">
      <c r="A2811" s="16" t="s">
        <v>31</v>
      </c>
      <c r="B2811" s="14">
        <v>757</v>
      </c>
      <c r="C2811" s="15" t="s">
        <v>71</v>
      </c>
      <c r="D2811" s="15" t="s">
        <v>18</v>
      </c>
      <c r="E2811" s="15" t="s">
        <v>190</v>
      </c>
      <c r="F2811" s="15" t="s">
        <v>32</v>
      </c>
      <c r="G2811" s="70"/>
      <c r="H2811" s="70"/>
      <c r="I2811" s="70"/>
      <c r="J2811" s="172"/>
      <c r="K2811" s="69"/>
      <c r="L2811" s="69"/>
      <c r="M2811" s="69"/>
      <c r="N2811" s="69"/>
      <c r="O2811" s="69"/>
      <c r="P2811" s="69"/>
      <c r="Q2811" s="69"/>
      <c r="R2811" s="69"/>
    </row>
    <row r="2812" spans="1:18" s="32" customFormat="1" ht="25.5" hidden="1" customHeight="1">
      <c r="A2812" s="16" t="s">
        <v>29</v>
      </c>
      <c r="B2812" s="14">
        <v>757</v>
      </c>
      <c r="C2812" s="15" t="s">
        <v>71</v>
      </c>
      <c r="D2812" s="15" t="s">
        <v>18</v>
      </c>
      <c r="E2812" s="15" t="s">
        <v>519</v>
      </c>
      <c r="F2812" s="15" t="s">
        <v>30</v>
      </c>
      <c r="G2812" s="70">
        <f>G2813</f>
        <v>0</v>
      </c>
      <c r="H2812" s="70">
        <v>0</v>
      </c>
      <c r="I2812" s="70">
        <v>0</v>
      </c>
      <c r="J2812" s="172"/>
      <c r="K2812" s="336"/>
      <c r="L2812" s="336"/>
      <c r="M2812" s="336"/>
      <c r="N2812" s="336"/>
      <c r="O2812" s="336"/>
      <c r="P2812" s="336"/>
      <c r="Q2812" s="336"/>
      <c r="R2812" s="336"/>
    </row>
    <row r="2813" spans="1:18" s="32" customFormat="1" ht="17.25" hidden="1" customHeight="1">
      <c r="A2813" s="16" t="s">
        <v>31</v>
      </c>
      <c r="B2813" s="14">
        <v>757</v>
      </c>
      <c r="C2813" s="15" t="s">
        <v>71</v>
      </c>
      <c r="D2813" s="15" t="s">
        <v>18</v>
      </c>
      <c r="E2813" s="15" t="s">
        <v>519</v>
      </c>
      <c r="F2813" s="15" t="s">
        <v>32</v>
      </c>
      <c r="G2813" s="70"/>
      <c r="H2813" s="70">
        <v>0</v>
      </c>
      <c r="I2813" s="70">
        <v>0</v>
      </c>
      <c r="J2813" s="172"/>
      <c r="K2813" s="336"/>
      <c r="L2813" s="336"/>
      <c r="M2813" s="336"/>
      <c r="N2813" s="336"/>
      <c r="O2813" s="336"/>
      <c r="P2813" s="336"/>
      <c r="Q2813" s="336"/>
      <c r="R2813" s="336"/>
    </row>
    <row r="2814" spans="1:18" s="32" customFormat="1" ht="65.25" hidden="1" customHeight="1">
      <c r="A2814" s="16" t="s">
        <v>587</v>
      </c>
      <c r="B2814" s="14">
        <v>757</v>
      </c>
      <c r="C2814" s="15" t="s">
        <v>71</v>
      </c>
      <c r="D2814" s="15" t="s">
        <v>18</v>
      </c>
      <c r="E2814" s="15" t="s">
        <v>586</v>
      </c>
      <c r="F2814" s="15"/>
      <c r="G2814" s="70">
        <f>G2815</f>
        <v>0</v>
      </c>
      <c r="H2814" s="70">
        <f t="shared" ref="H2814:I2814" si="751">H2815</f>
        <v>0</v>
      </c>
      <c r="I2814" s="70">
        <f t="shared" si="751"/>
        <v>0</v>
      </c>
      <c r="J2814" s="172"/>
      <c r="K2814" s="336"/>
      <c r="L2814" s="336"/>
      <c r="M2814" s="336"/>
      <c r="N2814" s="336"/>
      <c r="O2814" s="336"/>
      <c r="P2814" s="336"/>
      <c r="Q2814" s="336"/>
      <c r="R2814" s="336"/>
    </row>
    <row r="2815" spans="1:18" s="32" customFormat="1" ht="25.5" hidden="1" customHeight="1">
      <c r="A2815" s="16" t="s">
        <v>29</v>
      </c>
      <c r="B2815" s="14">
        <v>757</v>
      </c>
      <c r="C2815" s="15" t="s">
        <v>71</v>
      </c>
      <c r="D2815" s="15" t="s">
        <v>18</v>
      </c>
      <c r="E2815" s="15" t="s">
        <v>586</v>
      </c>
      <c r="F2815" s="15" t="s">
        <v>30</v>
      </c>
      <c r="G2815" s="70">
        <f>G2816</f>
        <v>0</v>
      </c>
      <c r="H2815" s="70">
        <v>0</v>
      </c>
      <c r="I2815" s="70">
        <v>0</v>
      </c>
      <c r="J2815" s="172"/>
      <c r="K2815" s="336"/>
      <c r="L2815" s="336"/>
      <c r="M2815" s="336"/>
      <c r="N2815" s="336"/>
      <c r="O2815" s="336"/>
      <c r="P2815" s="336"/>
      <c r="Q2815" s="336"/>
      <c r="R2815" s="336"/>
    </row>
    <row r="2816" spans="1:18" s="32" customFormat="1" ht="17.25" hidden="1" customHeight="1">
      <c r="A2816" s="16" t="s">
        <v>31</v>
      </c>
      <c r="B2816" s="14">
        <v>757</v>
      </c>
      <c r="C2816" s="15" t="s">
        <v>71</v>
      </c>
      <c r="D2816" s="15" t="s">
        <v>18</v>
      </c>
      <c r="E2816" s="15" t="s">
        <v>586</v>
      </c>
      <c r="F2816" s="15" t="s">
        <v>32</v>
      </c>
      <c r="G2816" s="70"/>
      <c r="H2816" s="70">
        <v>0</v>
      </c>
      <c r="I2816" s="70">
        <v>0</v>
      </c>
      <c r="J2816" s="172"/>
      <c r="K2816" s="336"/>
      <c r="L2816" s="336"/>
      <c r="M2816" s="336"/>
      <c r="N2816" s="336"/>
      <c r="O2816" s="336"/>
      <c r="P2816" s="336"/>
      <c r="Q2816" s="336"/>
      <c r="R2816" s="336"/>
    </row>
    <row r="2817" spans="1:18" s="18" customFormat="1" ht="26.4" hidden="1">
      <c r="A2817" s="16" t="s">
        <v>454</v>
      </c>
      <c r="B2817" s="14">
        <v>757</v>
      </c>
      <c r="C2817" s="15" t="s">
        <v>71</v>
      </c>
      <c r="D2817" s="15" t="s">
        <v>18</v>
      </c>
      <c r="E2817" s="15" t="s">
        <v>257</v>
      </c>
      <c r="F2817" s="15"/>
      <c r="G2817" s="70">
        <f>G2818</f>
        <v>0</v>
      </c>
      <c r="H2817" s="70">
        <f t="shared" ref="H2817:I2819" si="752">H2818</f>
        <v>0</v>
      </c>
      <c r="I2817" s="70">
        <f t="shared" si="752"/>
        <v>0</v>
      </c>
      <c r="J2817" s="172"/>
      <c r="K2817" s="180"/>
      <c r="L2817" s="180"/>
      <c r="M2817" s="180"/>
      <c r="N2817" s="180"/>
      <c r="O2817" s="180"/>
      <c r="P2817" s="180"/>
      <c r="Q2817" s="180"/>
      <c r="R2817" s="180"/>
    </row>
    <row r="2818" spans="1:18" s="18" customFormat="1" ht="26.4" hidden="1">
      <c r="A2818" s="16" t="s">
        <v>453</v>
      </c>
      <c r="B2818" s="14">
        <v>757</v>
      </c>
      <c r="C2818" s="15" t="s">
        <v>71</v>
      </c>
      <c r="D2818" s="15" t="s">
        <v>18</v>
      </c>
      <c r="E2818" s="15" t="s">
        <v>428</v>
      </c>
      <c r="F2818" s="15"/>
      <c r="G2818" s="70">
        <f>G2819</f>
        <v>0</v>
      </c>
      <c r="H2818" s="70">
        <f t="shared" si="752"/>
        <v>0</v>
      </c>
      <c r="I2818" s="70">
        <f t="shared" si="752"/>
        <v>0</v>
      </c>
      <c r="J2818" s="172"/>
      <c r="K2818" s="180"/>
      <c r="L2818" s="180"/>
      <c r="M2818" s="180"/>
      <c r="N2818" s="180"/>
      <c r="O2818" s="180"/>
      <c r="P2818" s="180"/>
      <c r="Q2818" s="180"/>
      <c r="R2818" s="180"/>
    </row>
    <row r="2819" spans="1:18" s="18" customFormat="1" ht="26.4" hidden="1">
      <c r="A2819" s="16" t="s">
        <v>94</v>
      </c>
      <c r="B2819" s="14">
        <v>757</v>
      </c>
      <c r="C2819" s="15" t="s">
        <v>71</v>
      </c>
      <c r="D2819" s="15" t="s">
        <v>18</v>
      </c>
      <c r="E2819" s="15" t="s">
        <v>428</v>
      </c>
      <c r="F2819" s="15" t="s">
        <v>338</v>
      </c>
      <c r="G2819" s="70">
        <f>G2820</f>
        <v>0</v>
      </c>
      <c r="H2819" s="70">
        <f t="shared" si="752"/>
        <v>0</v>
      </c>
      <c r="I2819" s="70">
        <f t="shared" si="752"/>
        <v>0</v>
      </c>
      <c r="J2819" s="172"/>
      <c r="K2819" s="180"/>
      <c r="L2819" s="180"/>
      <c r="M2819" s="180"/>
      <c r="N2819" s="180"/>
      <c r="O2819" s="180"/>
      <c r="P2819" s="180"/>
      <c r="Q2819" s="180"/>
      <c r="R2819" s="180"/>
    </row>
    <row r="2820" spans="1:18" s="18" customFormat="1" ht="92.4" hidden="1">
      <c r="A2820" s="50" t="s">
        <v>407</v>
      </c>
      <c r="B2820" s="14">
        <v>757</v>
      </c>
      <c r="C2820" s="15" t="s">
        <v>71</v>
      </c>
      <c r="D2820" s="15" t="s">
        <v>18</v>
      </c>
      <c r="E2820" s="15" t="s">
        <v>428</v>
      </c>
      <c r="F2820" s="15" t="s">
        <v>406</v>
      </c>
      <c r="G2820" s="70">
        <f>50000-50000</f>
        <v>0</v>
      </c>
      <c r="H2820" s="70"/>
      <c r="I2820" s="70"/>
      <c r="J2820" s="172"/>
      <c r="K2820" s="180"/>
      <c r="L2820" s="180"/>
      <c r="M2820" s="180"/>
      <c r="N2820" s="180"/>
      <c r="O2820" s="180"/>
      <c r="P2820" s="180"/>
      <c r="Q2820" s="180"/>
      <c r="R2820" s="180"/>
    </row>
    <row r="2821" spans="1:18" s="33" customFormat="1" ht="15" customHeight="1">
      <c r="A2821" s="16" t="s">
        <v>70</v>
      </c>
      <c r="B2821" s="14">
        <v>793</v>
      </c>
      <c r="C2821" s="15" t="s">
        <v>71</v>
      </c>
      <c r="D2821" s="15" t="s">
        <v>27</v>
      </c>
      <c r="E2821" s="39"/>
      <c r="F2821" s="39"/>
      <c r="G2821" s="29">
        <f>G2822+G2838</f>
        <v>4964464.75</v>
      </c>
      <c r="H2821" s="29">
        <f>H2822+H1868</f>
        <v>0</v>
      </c>
      <c r="I2821" s="29">
        <f>I2822+I1868</f>
        <v>0</v>
      </c>
      <c r="J2821" s="333"/>
      <c r="K2821" s="329"/>
      <c r="L2821" s="329"/>
      <c r="M2821" s="329"/>
      <c r="N2821" s="329"/>
      <c r="O2821" s="329"/>
      <c r="P2821" s="329"/>
      <c r="Q2821" s="329"/>
      <c r="R2821" s="329"/>
    </row>
    <row r="2822" spans="1:18" s="28" customFormat="1" ht="59.25" customHeight="1">
      <c r="A2822" s="136" t="s">
        <v>1126</v>
      </c>
      <c r="B2822" s="14">
        <v>793</v>
      </c>
      <c r="C2822" s="15" t="s">
        <v>71</v>
      </c>
      <c r="D2822" s="15" t="s">
        <v>27</v>
      </c>
      <c r="E2822" s="15" t="s">
        <v>242</v>
      </c>
      <c r="F2822" s="15"/>
      <c r="G2822" s="70">
        <f>G2823+G2826+G2829+G2832+G2835</f>
        <v>2200000.7999999998</v>
      </c>
      <c r="H2822" s="70">
        <f>H2823+H2826+H2829</f>
        <v>0</v>
      </c>
      <c r="I2822" s="70">
        <f>I2823+I2826+I2829</f>
        <v>0</v>
      </c>
      <c r="J2822" s="172"/>
      <c r="K2822" s="313"/>
      <c r="L2822" s="313"/>
      <c r="M2822" s="313"/>
      <c r="N2822" s="331"/>
      <c r="O2822" s="313"/>
      <c r="P2822" s="313"/>
      <c r="Q2822" s="313"/>
      <c r="R2822" s="313"/>
    </row>
    <row r="2823" spans="1:18" s="28" customFormat="1" ht="45" customHeight="1">
      <c r="A2823" s="37" t="s">
        <v>1348</v>
      </c>
      <c r="B2823" s="14">
        <v>793</v>
      </c>
      <c r="C2823" s="15" t="s">
        <v>71</v>
      </c>
      <c r="D2823" s="15" t="s">
        <v>27</v>
      </c>
      <c r="E2823" s="15" t="s">
        <v>1346</v>
      </c>
      <c r="F2823" s="15"/>
      <c r="G2823" s="70">
        <f>G2824</f>
        <v>1045000.4</v>
      </c>
      <c r="H2823" s="70">
        <f t="shared" ref="H2823:I2823" si="753">H2824</f>
        <v>0</v>
      </c>
      <c r="I2823" s="70">
        <f t="shared" si="753"/>
        <v>0</v>
      </c>
      <c r="J2823" s="172"/>
      <c r="K2823" s="313"/>
      <c r="L2823" s="313"/>
      <c r="M2823" s="313"/>
      <c r="N2823" s="313"/>
      <c r="O2823" s="313"/>
      <c r="P2823" s="313"/>
      <c r="Q2823" s="313"/>
      <c r="R2823" s="313"/>
    </row>
    <row r="2824" spans="1:18" s="32" customFormat="1" ht="28.5" customHeight="1">
      <c r="A2824" s="16" t="s">
        <v>35</v>
      </c>
      <c r="B2824" s="14">
        <v>793</v>
      </c>
      <c r="C2824" s="15" t="s">
        <v>71</v>
      </c>
      <c r="D2824" s="15" t="s">
        <v>27</v>
      </c>
      <c r="E2824" s="15" t="s">
        <v>1346</v>
      </c>
      <c r="F2824" s="15" t="s">
        <v>36</v>
      </c>
      <c r="G2824" s="70">
        <f>G2825</f>
        <v>1045000.4</v>
      </c>
      <c r="H2824" s="70">
        <f>H2825</f>
        <v>0</v>
      </c>
      <c r="I2824" s="70">
        <f>I2825</f>
        <v>0</v>
      </c>
      <c r="J2824" s="172"/>
      <c r="K2824" s="336"/>
      <c r="L2824" s="336"/>
      <c r="M2824" s="336"/>
      <c r="N2824" s="336"/>
      <c r="O2824" s="336"/>
      <c r="P2824" s="336"/>
      <c r="Q2824" s="336"/>
      <c r="R2824" s="336"/>
    </row>
    <row r="2825" spans="1:18" s="32" customFormat="1" ht="26.4">
      <c r="A2825" s="16" t="s">
        <v>37</v>
      </c>
      <c r="B2825" s="14">
        <v>793</v>
      </c>
      <c r="C2825" s="15" t="s">
        <v>71</v>
      </c>
      <c r="D2825" s="15" t="s">
        <v>27</v>
      </c>
      <c r="E2825" s="15" t="s">
        <v>1346</v>
      </c>
      <c r="F2825" s="15" t="s">
        <v>38</v>
      </c>
      <c r="G2825" s="70">
        <v>1045000.4</v>
      </c>
      <c r="H2825" s="70">
        <v>0</v>
      </c>
      <c r="I2825" s="70">
        <v>0</v>
      </c>
      <c r="J2825" s="172"/>
      <c r="K2825" s="338"/>
      <c r="L2825" s="336"/>
      <c r="M2825" s="336"/>
      <c r="N2825" s="336"/>
      <c r="O2825" s="336"/>
      <c r="P2825" s="336"/>
      <c r="Q2825" s="336"/>
      <c r="R2825" s="336"/>
    </row>
    <row r="2826" spans="1:18" s="28" customFormat="1" ht="45" customHeight="1">
      <c r="A2826" s="37" t="s">
        <v>1347</v>
      </c>
      <c r="B2826" s="14">
        <v>793</v>
      </c>
      <c r="C2826" s="15" t="s">
        <v>71</v>
      </c>
      <c r="D2826" s="15" t="s">
        <v>27</v>
      </c>
      <c r="E2826" s="15" t="s">
        <v>1349</v>
      </c>
      <c r="F2826" s="15"/>
      <c r="G2826" s="70">
        <f>G2827</f>
        <v>55000</v>
      </c>
      <c r="H2826" s="70">
        <f t="shared" ref="H2826:I2826" si="754">H2827</f>
        <v>0</v>
      </c>
      <c r="I2826" s="70">
        <f t="shared" si="754"/>
        <v>0</v>
      </c>
      <c r="J2826" s="172"/>
      <c r="K2826" s="313"/>
      <c r="L2826" s="313"/>
      <c r="M2826" s="313"/>
      <c r="N2826" s="313"/>
      <c r="O2826" s="313"/>
      <c r="P2826" s="313"/>
      <c r="Q2826" s="313"/>
      <c r="R2826" s="313"/>
    </row>
    <row r="2827" spans="1:18" s="32" customFormat="1" ht="28.5" customHeight="1">
      <c r="A2827" s="16" t="s">
        <v>35</v>
      </c>
      <c r="B2827" s="14">
        <v>793</v>
      </c>
      <c r="C2827" s="15" t="s">
        <v>71</v>
      </c>
      <c r="D2827" s="15" t="s">
        <v>27</v>
      </c>
      <c r="E2827" s="15" t="s">
        <v>1349</v>
      </c>
      <c r="F2827" s="15" t="s">
        <v>36</v>
      </c>
      <c r="G2827" s="70">
        <f>G2828</f>
        <v>55000</v>
      </c>
      <c r="H2827" s="70">
        <f>H2828</f>
        <v>0</v>
      </c>
      <c r="I2827" s="70">
        <f>I2828</f>
        <v>0</v>
      </c>
      <c r="J2827" s="172"/>
      <c r="K2827" s="336"/>
      <c r="L2827" s="336"/>
      <c r="M2827" s="336"/>
      <c r="N2827" s="336"/>
      <c r="O2827" s="336"/>
      <c r="P2827" s="336"/>
      <c r="Q2827" s="336"/>
      <c r="R2827" s="336"/>
    </row>
    <row r="2828" spans="1:18" s="32" customFormat="1" ht="26.4">
      <c r="A2828" s="16" t="s">
        <v>37</v>
      </c>
      <c r="B2828" s="14">
        <v>793</v>
      </c>
      <c r="C2828" s="15" t="s">
        <v>71</v>
      </c>
      <c r="D2828" s="15" t="s">
        <v>27</v>
      </c>
      <c r="E2828" s="15" t="s">
        <v>1349</v>
      </c>
      <c r="F2828" s="15" t="s">
        <v>38</v>
      </c>
      <c r="G2828" s="70">
        <v>55000</v>
      </c>
      <c r="H2828" s="70"/>
      <c r="I2828" s="70">
        <v>0</v>
      </c>
      <c r="J2828" s="172"/>
      <c r="K2828" s="338"/>
      <c r="L2828" s="336"/>
      <c r="M2828" s="336"/>
      <c r="N2828" s="336"/>
      <c r="O2828" s="336"/>
      <c r="P2828" s="336"/>
      <c r="Q2828" s="336"/>
      <c r="R2828" s="336"/>
    </row>
    <row r="2829" spans="1:18" s="28" customFormat="1" ht="51" hidden="1" customHeight="1">
      <c r="A2829" s="37"/>
      <c r="B2829" s="14"/>
      <c r="C2829" s="15"/>
      <c r="D2829" s="15"/>
      <c r="E2829" s="15"/>
      <c r="F2829" s="15"/>
      <c r="G2829" s="70"/>
      <c r="H2829" s="70"/>
      <c r="I2829" s="70"/>
      <c r="J2829" s="172"/>
      <c r="K2829" s="313"/>
      <c r="L2829" s="313"/>
      <c r="M2829" s="313"/>
      <c r="N2829" s="313"/>
      <c r="O2829" s="313"/>
      <c r="P2829" s="313"/>
      <c r="Q2829" s="313"/>
      <c r="R2829" s="313"/>
    </row>
    <row r="2830" spans="1:18" s="32" customFormat="1" ht="28.5" hidden="1" customHeight="1">
      <c r="A2830" s="16"/>
      <c r="B2830" s="14"/>
      <c r="C2830" s="15"/>
      <c r="D2830" s="15"/>
      <c r="E2830" s="15"/>
      <c r="F2830" s="15"/>
      <c r="G2830" s="70"/>
      <c r="H2830" s="70"/>
      <c r="I2830" s="70"/>
      <c r="J2830" s="172"/>
      <c r="K2830" s="336"/>
      <c r="L2830" s="336"/>
      <c r="M2830" s="336"/>
      <c r="N2830" s="336"/>
      <c r="O2830" s="336"/>
      <c r="P2830" s="336"/>
      <c r="Q2830" s="336"/>
      <c r="R2830" s="336"/>
    </row>
    <row r="2831" spans="1:18" s="32" customFormat="1" hidden="1">
      <c r="A2831" s="16"/>
      <c r="B2831" s="14"/>
      <c r="C2831" s="15"/>
      <c r="D2831" s="15"/>
      <c r="E2831" s="15"/>
      <c r="F2831" s="15"/>
      <c r="G2831" s="70"/>
      <c r="H2831" s="70"/>
      <c r="I2831" s="70"/>
      <c r="J2831" s="172"/>
      <c r="K2831" s="338"/>
      <c r="L2831" s="336"/>
      <c r="M2831" s="336"/>
      <c r="N2831" s="336"/>
      <c r="O2831" s="336"/>
      <c r="P2831" s="336"/>
      <c r="Q2831" s="336"/>
      <c r="R2831" s="336"/>
    </row>
    <row r="2832" spans="1:18" s="28" customFormat="1" ht="45" customHeight="1">
      <c r="A2832" s="37" t="s">
        <v>1352</v>
      </c>
      <c r="B2832" s="14">
        <v>793</v>
      </c>
      <c r="C2832" s="15" t="s">
        <v>71</v>
      </c>
      <c r="D2832" s="15" t="s">
        <v>27</v>
      </c>
      <c r="E2832" s="15" t="s">
        <v>1350</v>
      </c>
      <c r="F2832" s="15"/>
      <c r="G2832" s="70">
        <f>G2833</f>
        <v>1045000.4</v>
      </c>
      <c r="H2832" s="70">
        <f t="shared" ref="H2832:I2832" si="755">H2833</f>
        <v>0</v>
      </c>
      <c r="I2832" s="70">
        <f t="shared" si="755"/>
        <v>0</v>
      </c>
      <c r="J2832" s="172"/>
      <c r="K2832" s="313"/>
      <c r="L2832" s="313"/>
      <c r="M2832" s="313"/>
      <c r="N2832" s="313"/>
      <c r="O2832" s="313"/>
      <c r="P2832" s="313"/>
      <c r="Q2832" s="313"/>
      <c r="R2832" s="313"/>
    </row>
    <row r="2833" spans="1:18" s="32" customFormat="1" ht="28.5" customHeight="1">
      <c r="A2833" s="16" t="s">
        <v>35</v>
      </c>
      <c r="B2833" s="14">
        <v>793</v>
      </c>
      <c r="C2833" s="15" t="s">
        <v>71</v>
      </c>
      <c r="D2833" s="15" t="s">
        <v>27</v>
      </c>
      <c r="E2833" s="15" t="s">
        <v>1350</v>
      </c>
      <c r="F2833" s="15" t="s">
        <v>36</v>
      </c>
      <c r="G2833" s="70">
        <f>G2834</f>
        <v>1045000.4</v>
      </c>
      <c r="H2833" s="70">
        <f>H2834</f>
        <v>0</v>
      </c>
      <c r="I2833" s="70">
        <f>I2834</f>
        <v>0</v>
      </c>
      <c r="J2833" s="172"/>
      <c r="K2833" s="336"/>
      <c r="L2833" s="336"/>
      <c r="M2833" s="336"/>
      <c r="N2833" s="336"/>
      <c r="O2833" s="336"/>
      <c r="P2833" s="336"/>
      <c r="Q2833" s="336"/>
      <c r="R2833" s="336"/>
    </row>
    <row r="2834" spans="1:18" s="32" customFormat="1" ht="26.4">
      <c r="A2834" s="16" t="s">
        <v>37</v>
      </c>
      <c r="B2834" s="14">
        <v>793</v>
      </c>
      <c r="C2834" s="15" t="s">
        <v>71</v>
      </c>
      <c r="D2834" s="15" t="s">
        <v>27</v>
      </c>
      <c r="E2834" s="15" t="s">
        <v>1350</v>
      </c>
      <c r="F2834" s="15" t="s">
        <v>38</v>
      </c>
      <c r="G2834" s="70">
        <v>1045000.4</v>
      </c>
      <c r="H2834" s="70"/>
      <c r="I2834" s="70"/>
      <c r="J2834" s="172"/>
      <c r="K2834" s="338"/>
      <c r="L2834" s="336"/>
      <c r="M2834" s="336"/>
      <c r="N2834" s="336"/>
      <c r="O2834" s="336"/>
      <c r="P2834" s="336"/>
      <c r="Q2834" s="336"/>
      <c r="R2834" s="336"/>
    </row>
    <row r="2835" spans="1:18" s="28" customFormat="1" ht="57" customHeight="1">
      <c r="A2835" s="37" t="s">
        <v>1353</v>
      </c>
      <c r="B2835" s="14">
        <v>793</v>
      </c>
      <c r="C2835" s="15" t="s">
        <v>71</v>
      </c>
      <c r="D2835" s="15" t="s">
        <v>27</v>
      </c>
      <c r="E2835" s="15" t="s">
        <v>1351</v>
      </c>
      <c r="F2835" s="15"/>
      <c r="G2835" s="70">
        <f>G2836</f>
        <v>55000</v>
      </c>
      <c r="H2835" s="70">
        <f t="shared" ref="H2835:I2835" si="756">H2836</f>
        <v>0</v>
      </c>
      <c r="I2835" s="70">
        <f t="shared" si="756"/>
        <v>0</v>
      </c>
      <c r="J2835" s="172"/>
      <c r="K2835" s="313"/>
      <c r="L2835" s="313"/>
      <c r="M2835" s="313"/>
      <c r="N2835" s="313"/>
      <c r="O2835" s="313"/>
      <c r="P2835" s="313"/>
      <c r="Q2835" s="313"/>
      <c r="R2835" s="313"/>
    </row>
    <row r="2836" spans="1:18" s="32" customFormat="1" ht="28.5" customHeight="1">
      <c r="A2836" s="16" t="s">
        <v>35</v>
      </c>
      <c r="B2836" s="14">
        <v>793</v>
      </c>
      <c r="C2836" s="15" t="s">
        <v>71</v>
      </c>
      <c r="D2836" s="15" t="s">
        <v>27</v>
      </c>
      <c r="E2836" s="15" t="s">
        <v>1351</v>
      </c>
      <c r="F2836" s="15" t="s">
        <v>36</v>
      </c>
      <c r="G2836" s="70">
        <f>G2837</f>
        <v>55000</v>
      </c>
      <c r="H2836" s="70">
        <f>H2837</f>
        <v>0</v>
      </c>
      <c r="I2836" s="70">
        <f>I2837</f>
        <v>0</v>
      </c>
      <c r="J2836" s="172"/>
      <c r="K2836" s="336"/>
      <c r="L2836" s="336"/>
      <c r="M2836" s="336"/>
      <c r="N2836" s="336"/>
      <c r="O2836" s="336"/>
      <c r="P2836" s="336"/>
      <c r="Q2836" s="336"/>
      <c r="R2836" s="336"/>
    </row>
    <row r="2837" spans="1:18" s="32" customFormat="1" ht="26.4">
      <c r="A2837" s="16" t="s">
        <v>37</v>
      </c>
      <c r="B2837" s="14">
        <v>793</v>
      </c>
      <c r="C2837" s="15" t="s">
        <v>71</v>
      </c>
      <c r="D2837" s="15" t="s">
        <v>27</v>
      </c>
      <c r="E2837" s="15" t="s">
        <v>1351</v>
      </c>
      <c r="F2837" s="15" t="s">
        <v>38</v>
      </c>
      <c r="G2837" s="70">
        <v>55000</v>
      </c>
      <c r="H2837" s="70">
        <v>0</v>
      </c>
      <c r="I2837" s="70">
        <v>0</v>
      </c>
      <c r="J2837" s="172"/>
      <c r="K2837" s="338"/>
      <c r="L2837" s="336"/>
      <c r="M2837" s="336"/>
      <c r="N2837" s="336"/>
      <c r="O2837" s="336"/>
      <c r="P2837" s="336"/>
      <c r="Q2837" s="336"/>
      <c r="R2837" s="336"/>
    </row>
    <row r="2838" spans="1:18" s="220" customFormat="1" ht="39.6">
      <c r="A2838" s="16" t="s">
        <v>1137</v>
      </c>
      <c r="B2838" s="84" t="s">
        <v>804</v>
      </c>
      <c r="C2838" s="15" t="s">
        <v>71</v>
      </c>
      <c r="D2838" s="15" t="s">
        <v>27</v>
      </c>
      <c r="E2838" s="84" t="s">
        <v>189</v>
      </c>
      <c r="F2838" s="84"/>
      <c r="G2838" s="87">
        <f>G2842+G2839</f>
        <v>2764463.9499999997</v>
      </c>
      <c r="H2838" s="87">
        <f t="shared" ref="H2838:I2838" si="757">H2842</f>
        <v>0</v>
      </c>
      <c r="I2838" s="87">
        <f t="shared" si="757"/>
        <v>0</v>
      </c>
      <c r="J2838" s="173"/>
      <c r="K2838" s="200"/>
      <c r="L2838" s="198"/>
      <c r="M2838" s="198"/>
      <c r="N2838" s="198"/>
      <c r="O2838" s="198"/>
      <c r="P2838" s="198"/>
      <c r="Q2838" s="198"/>
      <c r="R2838" s="198"/>
    </row>
    <row r="2839" spans="1:18" s="165" customFormat="1" ht="30" customHeight="1">
      <c r="A2839" s="37" t="s">
        <v>1421</v>
      </c>
      <c r="B2839" s="84" t="s">
        <v>804</v>
      </c>
      <c r="C2839" s="15" t="s">
        <v>71</v>
      </c>
      <c r="D2839" s="15" t="s">
        <v>27</v>
      </c>
      <c r="E2839" s="84" t="s">
        <v>1420</v>
      </c>
      <c r="F2839" s="84"/>
      <c r="G2839" s="87">
        <f>G2840</f>
        <v>50000</v>
      </c>
      <c r="H2839" s="87">
        <f t="shared" ref="H2839:I2839" si="758">H2840</f>
        <v>0</v>
      </c>
      <c r="I2839" s="87">
        <f t="shared" si="758"/>
        <v>0</v>
      </c>
      <c r="J2839" s="173"/>
      <c r="K2839" s="199"/>
      <c r="L2839" s="199"/>
      <c r="M2839" s="199"/>
      <c r="N2839" s="199"/>
      <c r="O2839" s="199"/>
      <c r="P2839" s="199"/>
      <c r="Q2839" s="199"/>
      <c r="R2839" s="199"/>
    </row>
    <row r="2840" spans="1:18" s="220" customFormat="1" ht="28.5" customHeight="1">
      <c r="A2840" s="16" t="s">
        <v>35</v>
      </c>
      <c r="B2840" s="84" t="s">
        <v>804</v>
      </c>
      <c r="C2840" s="15" t="s">
        <v>71</v>
      </c>
      <c r="D2840" s="15" t="s">
        <v>27</v>
      </c>
      <c r="E2840" s="84" t="s">
        <v>1420</v>
      </c>
      <c r="F2840" s="84" t="s">
        <v>36</v>
      </c>
      <c r="G2840" s="87">
        <f>G2841</f>
        <v>50000</v>
      </c>
      <c r="H2840" s="87">
        <f>H2841</f>
        <v>0</v>
      </c>
      <c r="I2840" s="87">
        <f>I2841</f>
        <v>0</v>
      </c>
      <c r="J2840" s="173"/>
      <c r="K2840" s="198"/>
      <c r="L2840" s="198"/>
      <c r="M2840" s="198"/>
      <c r="N2840" s="198"/>
      <c r="O2840" s="198"/>
      <c r="P2840" s="198"/>
      <c r="Q2840" s="198"/>
      <c r="R2840" s="198"/>
    </row>
    <row r="2841" spans="1:18" s="220" customFormat="1" ht="26.4">
      <c r="A2841" s="16" t="s">
        <v>37</v>
      </c>
      <c r="B2841" s="84" t="s">
        <v>804</v>
      </c>
      <c r="C2841" s="15" t="s">
        <v>71</v>
      </c>
      <c r="D2841" s="15" t="s">
        <v>27</v>
      </c>
      <c r="E2841" s="84" t="s">
        <v>1420</v>
      </c>
      <c r="F2841" s="84" t="s">
        <v>38</v>
      </c>
      <c r="G2841" s="87">
        <v>50000</v>
      </c>
      <c r="H2841" s="87">
        <v>0</v>
      </c>
      <c r="I2841" s="87">
        <v>0</v>
      </c>
      <c r="J2841" s="173"/>
      <c r="K2841" s="200"/>
      <c r="L2841" s="198"/>
      <c r="M2841" s="198"/>
      <c r="N2841" s="198"/>
      <c r="O2841" s="198"/>
      <c r="P2841" s="198"/>
      <c r="Q2841" s="198"/>
      <c r="R2841" s="198"/>
    </row>
    <row r="2842" spans="1:18" s="165" customFormat="1" ht="43.5" customHeight="1">
      <c r="A2842" s="37" t="s">
        <v>1382</v>
      </c>
      <c r="B2842" s="84" t="s">
        <v>804</v>
      </c>
      <c r="C2842" s="15" t="s">
        <v>71</v>
      </c>
      <c r="D2842" s="15" t="s">
        <v>27</v>
      </c>
      <c r="E2842" s="84" t="s">
        <v>1327</v>
      </c>
      <c r="F2842" s="84"/>
      <c r="G2842" s="87">
        <f>G2843</f>
        <v>2714463.9499999997</v>
      </c>
      <c r="H2842" s="87">
        <f t="shared" ref="H2842:I2842" si="759">H2843</f>
        <v>0</v>
      </c>
      <c r="I2842" s="87">
        <f t="shared" si="759"/>
        <v>0</v>
      </c>
      <c r="J2842" s="173"/>
      <c r="K2842" s="199"/>
      <c r="L2842" s="199"/>
      <c r="M2842" s="199"/>
      <c r="N2842" s="199"/>
      <c r="O2842" s="199"/>
      <c r="P2842" s="199"/>
      <c r="Q2842" s="199"/>
      <c r="R2842" s="199"/>
    </row>
    <row r="2843" spans="1:18" s="220" customFormat="1" ht="28.5" customHeight="1">
      <c r="A2843" s="16" t="s">
        <v>35</v>
      </c>
      <c r="B2843" s="84" t="s">
        <v>804</v>
      </c>
      <c r="C2843" s="15" t="s">
        <v>71</v>
      </c>
      <c r="D2843" s="15" t="s">
        <v>27</v>
      </c>
      <c r="E2843" s="84" t="s">
        <v>1327</v>
      </c>
      <c r="F2843" s="84" t="s">
        <v>36</v>
      </c>
      <c r="G2843" s="87">
        <f>G2844</f>
        <v>2714463.9499999997</v>
      </c>
      <c r="H2843" s="87">
        <f>H2844</f>
        <v>0</v>
      </c>
      <c r="I2843" s="87">
        <f>I2844</f>
        <v>0</v>
      </c>
      <c r="J2843" s="173"/>
      <c r="K2843" s="198"/>
      <c r="L2843" s="198"/>
      <c r="M2843" s="198"/>
      <c r="N2843" s="198"/>
      <c r="O2843" s="198"/>
      <c r="P2843" s="198"/>
      <c r="Q2843" s="198"/>
      <c r="R2843" s="198"/>
    </row>
    <row r="2844" spans="1:18" s="220" customFormat="1" ht="26.4">
      <c r="A2844" s="16" t="s">
        <v>37</v>
      </c>
      <c r="B2844" s="84" t="s">
        <v>804</v>
      </c>
      <c r="C2844" s="15" t="s">
        <v>71</v>
      </c>
      <c r="D2844" s="15" t="s">
        <v>27</v>
      </c>
      <c r="E2844" s="84" t="s">
        <v>1327</v>
      </c>
      <c r="F2844" s="84" t="s">
        <v>38</v>
      </c>
      <c r="G2844" s="87">
        <f>2747252.75-29837.81-2950.99</f>
        <v>2714463.9499999997</v>
      </c>
      <c r="H2844" s="87">
        <v>0</v>
      </c>
      <c r="I2844" s="87">
        <v>0</v>
      </c>
      <c r="J2844" s="173"/>
      <c r="K2844" s="200"/>
      <c r="L2844" s="198"/>
      <c r="M2844" s="198"/>
      <c r="N2844" s="198"/>
      <c r="O2844" s="198"/>
      <c r="P2844" s="198"/>
      <c r="Q2844" s="198"/>
      <c r="R2844" s="198"/>
    </row>
    <row r="2845" spans="1:18" ht="26.4" hidden="1">
      <c r="A2845" s="54" t="s">
        <v>294</v>
      </c>
      <c r="B2845" s="19">
        <v>793</v>
      </c>
      <c r="C2845" s="7" t="s">
        <v>22</v>
      </c>
      <c r="D2845" s="7"/>
      <c r="E2845" s="7"/>
      <c r="F2845" s="7"/>
      <c r="G2845" s="38">
        <f t="shared" ref="G2845:G2850" si="760">G2846</f>
        <v>0</v>
      </c>
      <c r="H2845" s="38">
        <f t="shared" ref="H2845:I2850" si="761">H2846</f>
        <v>0</v>
      </c>
      <c r="I2845" s="38">
        <f t="shared" si="761"/>
        <v>0</v>
      </c>
      <c r="J2845" s="328"/>
      <c r="K2845" s="69"/>
      <c r="L2845" s="69"/>
      <c r="M2845" s="69"/>
      <c r="N2845" s="69"/>
      <c r="O2845" s="69"/>
      <c r="P2845" s="69"/>
      <c r="Q2845" s="69"/>
      <c r="R2845" s="69"/>
    </row>
    <row r="2846" spans="1:18" ht="28.5" hidden="1" customHeight="1">
      <c r="A2846" s="13" t="s">
        <v>295</v>
      </c>
      <c r="B2846" s="14">
        <v>793</v>
      </c>
      <c r="C2846" s="15" t="s">
        <v>22</v>
      </c>
      <c r="D2846" s="15" t="s">
        <v>18</v>
      </c>
      <c r="E2846" s="36"/>
      <c r="F2846" s="36"/>
      <c r="G2846" s="70">
        <f t="shared" si="760"/>
        <v>0</v>
      </c>
      <c r="H2846" s="70">
        <f t="shared" si="761"/>
        <v>0</v>
      </c>
      <c r="I2846" s="70">
        <f t="shared" si="761"/>
        <v>0</v>
      </c>
      <c r="J2846" s="172"/>
      <c r="K2846" s="69"/>
      <c r="L2846" s="69"/>
      <c r="M2846" s="69"/>
      <c r="N2846" s="69"/>
      <c r="O2846" s="69"/>
      <c r="P2846" s="69"/>
      <c r="Q2846" s="69"/>
      <c r="R2846" s="69"/>
    </row>
    <row r="2847" spans="1:18" s="28" customFormat="1" ht="39.6" hidden="1">
      <c r="A2847" s="16" t="s">
        <v>427</v>
      </c>
      <c r="B2847" s="14">
        <v>793</v>
      </c>
      <c r="C2847" s="15" t="s">
        <v>22</v>
      </c>
      <c r="D2847" s="15" t="s">
        <v>18</v>
      </c>
      <c r="E2847" s="15" t="s">
        <v>224</v>
      </c>
      <c r="F2847" s="39"/>
      <c r="G2847" s="70">
        <f t="shared" si="760"/>
        <v>0</v>
      </c>
      <c r="H2847" s="70">
        <f t="shared" si="761"/>
        <v>0</v>
      </c>
      <c r="I2847" s="70">
        <f t="shared" si="761"/>
        <v>0</v>
      </c>
      <c r="J2847" s="172"/>
      <c r="K2847" s="313"/>
      <c r="L2847" s="313"/>
      <c r="M2847" s="313"/>
      <c r="N2847" s="313"/>
      <c r="O2847" s="313"/>
      <c r="P2847" s="313"/>
      <c r="Q2847" s="313"/>
      <c r="R2847" s="313"/>
    </row>
    <row r="2848" spans="1:18" s="28" customFormat="1" ht="26.4" hidden="1">
      <c r="A2848" s="16" t="s">
        <v>296</v>
      </c>
      <c r="B2848" s="14">
        <v>793</v>
      </c>
      <c r="C2848" s="15" t="s">
        <v>22</v>
      </c>
      <c r="D2848" s="15" t="s">
        <v>18</v>
      </c>
      <c r="E2848" s="15" t="s">
        <v>230</v>
      </c>
      <c r="F2848" s="39"/>
      <c r="G2848" s="70">
        <f t="shared" si="760"/>
        <v>0</v>
      </c>
      <c r="H2848" s="70">
        <f t="shared" si="761"/>
        <v>0</v>
      </c>
      <c r="I2848" s="70">
        <f t="shared" si="761"/>
        <v>0</v>
      </c>
      <c r="J2848" s="172"/>
      <c r="K2848" s="313"/>
      <c r="L2848" s="313"/>
      <c r="M2848" s="313"/>
      <c r="N2848" s="313"/>
      <c r="O2848" s="313"/>
      <c r="P2848" s="313"/>
      <c r="Q2848" s="313"/>
      <c r="R2848" s="313"/>
    </row>
    <row r="2849" spans="1:18" hidden="1">
      <c r="A2849" s="16" t="s">
        <v>297</v>
      </c>
      <c r="B2849" s="14">
        <v>793</v>
      </c>
      <c r="C2849" s="15" t="s">
        <v>22</v>
      </c>
      <c r="D2849" s="15" t="s">
        <v>18</v>
      </c>
      <c r="E2849" s="15" t="s">
        <v>231</v>
      </c>
      <c r="F2849" s="15"/>
      <c r="G2849" s="70">
        <f t="shared" si="760"/>
        <v>0</v>
      </c>
      <c r="H2849" s="70">
        <f t="shared" si="761"/>
        <v>0</v>
      </c>
      <c r="I2849" s="70">
        <f t="shared" si="761"/>
        <v>0</v>
      </c>
      <c r="J2849" s="172"/>
      <c r="K2849" s="69"/>
      <c r="L2849" s="69"/>
      <c r="M2849" s="69"/>
      <c r="N2849" s="69"/>
      <c r="O2849" s="69"/>
      <c r="P2849" s="69"/>
      <c r="Q2849" s="69"/>
      <c r="R2849" s="69"/>
    </row>
    <row r="2850" spans="1:18" ht="26.4" hidden="1">
      <c r="A2850" s="16" t="s">
        <v>298</v>
      </c>
      <c r="B2850" s="14">
        <v>793</v>
      </c>
      <c r="C2850" s="15" t="s">
        <v>22</v>
      </c>
      <c r="D2850" s="15" t="s">
        <v>18</v>
      </c>
      <c r="E2850" s="15" t="s">
        <v>231</v>
      </c>
      <c r="F2850" s="15" t="s">
        <v>299</v>
      </c>
      <c r="G2850" s="70">
        <f t="shared" si="760"/>
        <v>0</v>
      </c>
      <c r="H2850" s="70">
        <f t="shared" si="761"/>
        <v>0</v>
      </c>
      <c r="I2850" s="70">
        <f t="shared" si="761"/>
        <v>0</v>
      </c>
      <c r="J2850" s="172"/>
      <c r="K2850" s="69"/>
      <c r="L2850" s="69"/>
      <c r="M2850" s="69"/>
      <c r="N2850" s="69"/>
      <c r="O2850" s="69"/>
      <c r="P2850" s="69"/>
      <c r="Q2850" s="69"/>
      <c r="R2850" s="69"/>
    </row>
    <row r="2851" spans="1:18" hidden="1">
      <c r="A2851" s="16" t="s">
        <v>300</v>
      </c>
      <c r="B2851" s="14">
        <v>793</v>
      </c>
      <c r="C2851" s="15" t="s">
        <v>22</v>
      </c>
      <c r="D2851" s="15" t="s">
        <v>18</v>
      </c>
      <c r="E2851" s="15" t="s">
        <v>231</v>
      </c>
      <c r="F2851" s="15" t="s">
        <v>301</v>
      </c>
      <c r="G2851" s="70"/>
      <c r="H2851" s="70"/>
      <c r="I2851" s="70"/>
      <c r="J2851" s="172"/>
      <c r="K2851" s="69"/>
      <c r="L2851" s="69"/>
      <c r="M2851" s="69"/>
      <c r="N2851" s="69"/>
      <c r="O2851" s="69"/>
      <c r="P2851" s="69"/>
      <c r="Q2851" s="69"/>
      <c r="R2851" s="69"/>
    </row>
    <row r="2852" spans="1:18" s="122" customFormat="1">
      <c r="A2852" s="396" t="s">
        <v>73</v>
      </c>
      <c r="B2852" s="378"/>
      <c r="C2852" s="379"/>
      <c r="D2852" s="379"/>
      <c r="E2852" s="379"/>
      <c r="F2852" s="379"/>
      <c r="G2852" s="380">
        <f>G1489++G1779+G1902+G2725+G2067+G2845+G2091+G2649+G2805+G2608+G2670+G1752+G2683+G2717</f>
        <v>1450332896.6930001</v>
      </c>
      <c r="H2852" s="380">
        <f>H1489++H1779+H1902+H2725+H2067+H2845+H2091+H2649+H2805+H2608+H2670+H1752</f>
        <v>275692392.03000003</v>
      </c>
      <c r="I2852" s="380">
        <f>I1489++I1779+I1902+I2725+I2067+I2845+I2091+I2649+I2805+I2608+I2670+I1752</f>
        <v>236543200.46000004</v>
      </c>
      <c r="J2852" s="187">
        <f>G1489+G1752+G1779++G1902+G2091++G2608+G2725</f>
        <v>1442322559.803</v>
      </c>
      <c r="K2852" s="203"/>
      <c r="L2852" s="203"/>
      <c r="M2852" s="202"/>
      <c r="N2852" s="203">
        <v>1450508751.6900001</v>
      </c>
      <c r="O2852" s="203">
        <f>N2852-G2852</f>
        <v>175854.99699997902</v>
      </c>
      <c r="P2852" s="202"/>
      <c r="Q2852" s="203"/>
      <c r="R2852" s="202"/>
    </row>
    <row r="2853" spans="1:18" s="122" customFormat="1" hidden="1">
      <c r="A2853" s="273"/>
      <c r="B2853" s="264"/>
      <c r="C2853" s="158"/>
      <c r="D2853" s="158"/>
      <c r="E2853" s="158"/>
      <c r="F2853" s="158"/>
      <c r="G2853" s="96"/>
      <c r="H2853" s="96"/>
      <c r="I2853" s="96"/>
      <c r="J2853" s="187"/>
      <c r="K2853" s="203"/>
      <c r="L2853" s="203"/>
      <c r="M2853" s="202"/>
      <c r="N2853" s="202"/>
      <c r="O2853" s="202"/>
      <c r="P2853" s="202"/>
      <c r="Q2853" s="203"/>
      <c r="R2853" s="202"/>
    </row>
    <row r="2854" spans="1:18" s="122" customFormat="1" hidden="1">
      <c r="A2854" s="273"/>
      <c r="B2854" s="264"/>
      <c r="C2854" s="158"/>
      <c r="D2854" s="158"/>
      <c r="E2854" s="158"/>
      <c r="F2854" s="158"/>
      <c r="G2854" s="96"/>
      <c r="H2854" s="96"/>
      <c r="I2854" s="96"/>
      <c r="J2854" s="187"/>
      <c r="K2854" s="203"/>
      <c r="L2854" s="203"/>
      <c r="M2854" s="202"/>
      <c r="N2854" s="202"/>
      <c r="O2854" s="202"/>
      <c r="P2854" s="203"/>
      <c r="Q2854" s="203"/>
      <c r="R2854" s="202"/>
    </row>
    <row r="2855" spans="1:18" s="122" customFormat="1" hidden="1">
      <c r="A2855" s="273"/>
      <c r="B2855" s="264"/>
      <c r="C2855" s="158"/>
      <c r="D2855" s="158"/>
      <c r="E2855" s="158"/>
      <c r="F2855" s="158"/>
      <c r="G2855" s="96"/>
      <c r="H2855" s="96"/>
      <c r="I2855" s="96"/>
      <c r="J2855" s="187"/>
      <c r="K2855" s="203"/>
      <c r="L2855" s="203"/>
      <c r="M2855" s="202"/>
      <c r="N2855" s="202"/>
      <c r="O2855" s="202"/>
      <c r="P2855" s="203"/>
      <c r="Q2855" s="203"/>
      <c r="R2855" s="202"/>
    </row>
    <row r="2856" spans="1:18" s="122" customFormat="1" hidden="1">
      <c r="A2856" s="273"/>
      <c r="B2856" s="264"/>
      <c r="C2856" s="158"/>
      <c r="D2856" s="158"/>
      <c r="E2856" s="158"/>
      <c r="F2856" s="158"/>
      <c r="G2856" s="96"/>
      <c r="H2856" s="96"/>
      <c r="I2856" s="96"/>
      <c r="J2856" s="187"/>
      <c r="K2856" s="203"/>
      <c r="L2856" s="203"/>
      <c r="M2856" s="202"/>
      <c r="N2856" s="202"/>
      <c r="O2856" s="202"/>
      <c r="P2856" s="202"/>
      <c r="Q2856" s="203"/>
      <c r="R2856" s="202"/>
    </row>
    <row r="2857" spans="1:18" s="122" customFormat="1" hidden="1">
      <c r="A2857" s="273"/>
      <c r="B2857" s="264"/>
      <c r="C2857" s="158"/>
      <c r="D2857" s="158"/>
      <c r="E2857" s="158"/>
      <c r="F2857" s="158"/>
      <c r="G2857" s="96"/>
      <c r="H2857" s="96"/>
      <c r="I2857" s="96"/>
      <c r="J2857" s="187"/>
      <c r="K2857" s="203"/>
      <c r="L2857" s="203"/>
      <c r="M2857" s="202"/>
      <c r="N2857" s="202"/>
      <c r="O2857" s="202"/>
      <c r="P2857" s="202"/>
      <c r="Q2857" s="203"/>
      <c r="R2857" s="202"/>
    </row>
    <row r="2858" spans="1:18" s="122" customFormat="1" hidden="1">
      <c r="A2858" s="273"/>
      <c r="B2858" s="264"/>
      <c r="C2858" s="158"/>
      <c r="D2858" s="158"/>
      <c r="E2858" s="158"/>
      <c r="F2858" s="158"/>
      <c r="G2858" s="96"/>
      <c r="H2858" s="96"/>
      <c r="I2858" s="96"/>
      <c r="J2858" s="187"/>
      <c r="K2858" s="203"/>
      <c r="L2858" s="203"/>
      <c r="M2858" s="202"/>
      <c r="N2858" s="202"/>
      <c r="O2858" s="202"/>
      <c r="P2858" s="202"/>
      <c r="Q2858" s="203"/>
      <c r="R2858" s="202"/>
    </row>
    <row r="2859" spans="1:18" s="122" customFormat="1" hidden="1">
      <c r="A2859" s="273"/>
      <c r="B2859" s="264"/>
      <c r="C2859" s="158"/>
      <c r="D2859" s="158"/>
      <c r="E2859" s="158"/>
      <c r="F2859" s="158"/>
      <c r="G2859" s="96"/>
      <c r="H2859" s="96"/>
      <c r="I2859" s="96"/>
      <c r="J2859" s="187"/>
      <c r="K2859" s="203"/>
      <c r="L2859" s="203"/>
      <c r="M2859" s="202"/>
      <c r="N2859" s="202"/>
      <c r="O2859" s="202"/>
      <c r="P2859" s="202"/>
      <c r="Q2859" s="203"/>
      <c r="R2859" s="202"/>
    </row>
    <row r="2860" spans="1:18" s="122" customFormat="1" hidden="1">
      <c r="A2860" s="273"/>
      <c r="B2860" s="264"/>
      <c r="C2860" s="158"/>
      <c r="D2860" s="158"/>
      <c r="E2860" s="158"/>
      <c r="F2860" s="158"/>
      <c r="G2860" s="274"/>
      <c r="H2860" s="96"/>
      <c r="I2860" s="96"/>
      <c r="J2860" s="187"/>
      <c r="K2860" s="203"/>
      <c r="L2860" s="203"/>
      <c r="M2860" s="202"/>
      <c r="N2860" s="202"/>
      <c r="O2860" s="202"/>
      <c r="P2860" s="202"/>
      <c r="Q2860" s="203"/>
      <c r="R2860" s="202"/>
    </row>
    <row r="2861" spans="1:18" s="122" customFormat="1" hidden="1">
      <c r="A2861" s="273"/>
      <c r="B2861" s="264"/>
      <c r="C2861" s="158"/>
      <c r="D2861" s="158"/>
      <c r="E2861" s="158"/>
      <c r="F2861" s="158"/>
      <c r="G2861" s="96"/>
      <c r="H2861" s="96"/>
      <c r="I2861" s="96"/>
      <c r="J2861" s="187"/>
      <c r="K2861" s="203"/>
      <c r="L2861" s="203"/>
      <c r="M2861" s="202"/>
      <c r="N2861" s="202"/>
      <c r="O2861" s="202"/>
      <c r="P2861" s="202"/>
      <c r="Q2861" s="203"/>
      <c r="R2861" s="202"/>
    </row>
    <row r="2862" spans="1:18" ht="40.5" customHeight="1">
      <c r="A2862" s="390" t="s">
        <v>1214</v>
      </c>
      <c r="B2862" s="387">
        <v>794</v>
      </c>
      <c r="C2862" s="394"/>
      <c r="D2862" s="394"/>
      <c r="E2862" s="394"/>
      <c r="F2862" s="394"/>
      <c r="G2862" s="393"/>
      <c r="H2862" s="393"/>
      <c r="I2862" s="393"/>
      <c r="J2862" s="310"/>
      <c r="K2862" s="241"/>
      <c r="L2862" s="69"/>
      <c r="M2862" s="69"/>
      <c r="N2862" s="69"/>
      <c r="O2862" s="69"/>
      <c r="P2862" s="69"/>
      <c r="Q2862" s="241"/>
      <c r="R2862" s="69"/>
    </row>
    <row r="2863" spans="1:18">
      <c r="A2863" s="276" t="s">
        <v>17</v>
      </c>
      <c r="B2863" s="264">
        <v>794</v>
      </c>
      <c r="C2863" s="261" t="s">
        <v>18</v>
      </c>
      <c r="D2863" s="261"/>
      <c r="E2863" s="261"/>
      <c r="F2863" s="261"/>
      <c r="G2863" s="258">
        <f>G2864+G3302</f>
        <v>4569876.1099999994</v>
      </c>
      <c r="H2863" s="258">
        <f>H2864+H3302</f>
        <v>4744411</v>
      </c>
      <c r="I2863" s="258">
        <f>I2864+I3302</f>
        <v>4744411</v>
      </c>
      <c r="J2863" s="186"/>
    </row>
    <row r="2864" spans="1:18" ht="39.6">
      <c r="A2864" s="82" t="s">
        <v>351</v>
      </c>
      <c r="B2864" s="145">
        <v>794</v>
      </c>
      <c r="C2864" s="84" t="s">
        <v>18</v>
      </c>
      <c r="D2864" s="84" t="s">
        <v>69</v>
      </c>
      <c r="E2864" s="84"/>
      <c r="F2864" s="84"/>
      <c r="G2864" s="87">
        <f>G2865</f>
        <v>4569876.1099999994</v>
      </c>
      <c r="H2864" s="87">
        <f>H2865</f>
        <v>4744411</v>
      </c>
      <c r="I2864" s="87">
        <f>I2865</f>
        <v>4744411</v>
      </c>
      <c r="J2864" s="173"/>
      <c r="K2864" s="204"/>
      <c r="L2864" s="204"/>
    </row>
    <row r="2865" spans="1:18" s="46" customFormat="1">
      <c r="A2865" s="82" t="s">
        <v>352</v>
      </c>
      <c r="B2865" s="145">
        <v>794</v>
      </c>
      <c r="C2865" s="84" t="s">
        <v>18</v>
      </c>
      <c r="D2865" s="84" t="s">
        <v>69</v>
      </c>
      <c r="E2865" s="84" t="s">
        <v>258</v>
      </c>
      <c r="F2865" s="84"/>
      <c r="G2865" s="87">
        <f>G2866+G2870+G2874</f>
        <v>4569876.1099999994</v>
      </c>
      <c r="H2865" s="87">
        <f>H2866+H2870+H2874</f>
        <v>4744411</v>
      </c>
      <c r="I2865" s="87">
        <f>I2866+I2870+I2874</f>
        <v>4744411</v>
      </c>
      <c r="J2865" s="173"/>
      <c r="K2865" s="215"/>
      <c r="L2865" s="215"/>
      <c r="M2865" s="215"/>
      <c r="N2865" s="215"/>
      <c r="O2865" s="215"/>
      <c r="P2865" s="215"/>
      <c r="Q2865" s="215"/>
      <c r="R2865" s="215"/>
    </row>
    <row r="2866" spans="1:18" s="33" customFormat="1" ht="26.4">
      <c r="A2866" s="82" t="s">
        <v>1188</v>
      </c>
      <c r="B2866" s="145">
        <v>794</v>
      </c>
      <c r="C2866" s="84" t="s">
        <v>18</v>
      </c>
      <c r="D2866" s="84" t="s">
        <v>69</v>
      </c>
      <c r="E2866" s="84" t="s">
        <v>259</v>
      </c>
      <c r="F2866" s="164"/>
      <c r="G2866" s="87">
        <f t="shared" ref="G2866:I2868" si="762">G2867</f>
        <v>1583900</v>
      </c>
      <c r="H2866" s="87">
        <f t="shared" si="762"/>
        <v>1583900</v>
      </c>
      <c r="I2866" s="87">
        <f t="shared" si="762"/>
        <v>1583900</v>
      </c>
      <c r="J2866" s="173"/>
      <c r="K2866" s="206"/>
      <c r="L2866" s="206"/>
      <c r="M2866" s="206"/>
      <c r="N2866" s="206"/>
      <c r="O2866" s="206"/>
      <c r="P2866" s="206"/>
      <c r="Q2866" s="206"/>
      <c r="R2866" s="206"/>
    </row>
    <row r="2867" spans="1:18" s="33" customFormat="1" ht="26.4">
      <c r="A2867" s="82" t="s">
        <v>75</v>
      </c>
      <c r="B2867" s="145">
        <v>794</v>
      </c>
      <c r="C2867" s="84" t="s">
        <v>18</v>
      </c>
      <c r="D2867" s="84" t="s">
        <v>69</v>
      </c>
      <c r="E2867" s="84" t="s">
        <v>260</v>
      </c>
      <c r="F2867" s="84"/>
      <c r="G2867" s="87">
        <f t="shared" si="762"/>
        <v>1583900</v>
      </c>
      <c r="H2867" s="87">
        <f t="shared" si="762"/>
        <v>1583900</v>
      </c>
      <c r="I2867" s="87">
        <f t="shared" si="762"/>
        <v>1583900</v>
      </c>
      <c r="J2867" s="173"/>
      <c r="K2867" s="206"/>
      <c r="L2867" s="206"/>
      <c r="M2867" s="206"/>
      <c r="N2867" s="206"/>
      <c r="O2867" s="206"/>
      <c r="P2867" s="206"/>
      <c r="Q2867" s="206"/>
      <c r="R2867" s="206"/>
    </row>
    <row r="2868" spans="1:18" s="33" customFormat="1" ht="66">
      <c r="A2868" s="142" t="s">
        <v>54</v>
      </c>
      <c r="B2868" s="145">
        <v>794</v>
      </c>
      <c r="C2868" s="84" t="s">
        <v>18</v>
      </c>
      <c r="D2868" s="84" t="s">
        <v>69</v>
      </c>
      <c r="E2868" s="84" t="s">
        <v>260</v>
      </c>
      <c r="F2868" s="84" t="s">
        <v>57</v>
      </c>
      <c r="G2868" s="87">
        <f t="shared" si="762"/>
        <v>1583900</v>
      </c>
      <c r="H2868" s="87">
        <f t="shared" si="762"/>
        <v>1583900</v>
      </c>
      <c r="I2868" s="87">
        <f t="shared" si="762"/>
        <v>1583900</v>
      </c>
      <c r="J2868" s="173"/>
      <c r="K2868" s="206"/>
      <c r="L2868" s="206"/>
      <c r="M2868" s="206"/>
      <c r="N2868" s="206"/>
      <c r="O2868" s="206"/>
      <c r="P2868" s="206"/>
      <c r="Q2868" s="206"/>
      <c r="R2868" s="206"/>
    </row>
    <row r="2869" spans="1:18" ht="26.4">
      <c r="A2869" s="142" t="s">
        <v>55</v>
      </c>
      <c r="B2869" s="145">
        <v>794</v>
      </c>
      <c r="C2869" s="84" t="s">
        <v>18</v>
      </c>
      <c r="D2869" s="84" t="s">
        <v>69</v>
      </c>
      <c r="E2869" s="84" t="s">
        <v>260</v>
      </c>
      <c r="F2869" s="84" t="s">
        <v>58</v>
      </c>
      <c r="G2869" s="87">
        <v>1583900</v>
      </c>
      <c r="H2869" s="87">
        <v>1583900</v>
      </c>
      <c r="I2869" s="87">
        <v>1583900</v>
      </c>
      <c r="J2869" s="173"/>
    </row>
    <row r="2870" spans="1:18" s="33" customFormat="1" ht="26.4">
      <c r="A2870" s="82" t="s">
        <v>1189</v>
      </c>
      <c r="B2870" s="145">
        <v>794</v>
      </c>
      <c r="C2870" s="84" t="s">
        <v>18</v>
      </c>
      <c r="D2870" s="84" t="s">
        <v>69</v>
      </c>
      <c r="E2870" s="84" t="s">
        <v>261</v>
      </c>
      <c r="F2870" s="164"/>
      <c r="G2870" s="87">
        <f t="shared" ref="G2870:I2872" si="763">G2871</f>
        <v>622054.59</v>
      </c>
      <c r="H2870" s="87">
        <f t="shared" si="763"/>
        <v>722160</v>
      </c>
      <c r="I2870" s="87">
        <f t="shared" si="763"/>
        <v>722160</v>
      </c>
      <c r="J2870" s="173"/>
      <c r="K2870" s="206"/>
      <c r="L2870" s="206"/>
      <c r="M2870" s="206"/>
      <c r="N2870" s="206"/>
      <c r="O2870" s="206"/>
      <c r="P2870" s="206"/>
      <c r="Q2870" s="206"/>
      <c r="R2870" s="206"/>
    </row>
    <row r="2871" spans="1:18" s="33" customFormat="1" ht="26.4">
      <c r="A2871" s="82" t="s">
        <v>75</v>
      </c>
      <c r="B2871" s="145">
        <v>794</v>
      </c>
      <c r="C2871" s="84" t="s">
        <v>18</v>
      </c>
      <c r="D2871" s="84" t="s">
        <v>69</v>
      </c>
      <c r="E2871" s="84" t="s">
        <v>262</v>
      </c>
      <c r="F2871" s="84"/>
      <c r="G2871" s="87">
        <f t="shared" si="763"/>
        <v>622054.59</v>
      </c>
      <c r="H2871" s="87">
        <f t="shared" si="763"/>
        <v>722160</v>
      </c>
      <c r="I2871" s="87">
        <f t="shared" si="763"/>
        <v>722160</v>
      </c>
      <c r="J2871" s="173"/>
      <c r="K2871" s="206"/>
      <c r="L2871" s="206"/>
      <c r="M2871" s="206"/>
      <c r="N2871" s="206"/>
      <c r="O2871" s="206"/>
      <c r="P2871" s="206"/>
      <c r="Q2871" s="206"/>
      <c r="R2871" s="206"/>
    </row>
    <row r="2872" spans="1:18" s="33" customFormat="1" ht="66">
      <c r="A2872" s="142" t="s">
        <v>54</v>
      </c>
      <c r="B2872" s="145">
        <v>794</v>
      </c>
      <c r="C2872" s="84" t="s">
        <v>18</v>
      </c>
      <c r="D2872" s="84" t="s">
        <v>69</v>
      </c>
      <c r="E2872" s="84" t="s">
        <v>262</v>
      </c>
      <c r="F2872" s="84" t="s">
        <v>57</v>
      </c>
      <c r="G2872" s="87">
        <f t="shared" si="763"/>
        <v>622054.59</v>
      </c>
      <c r="H2872" s="87">
        <f t="shared" si="763"/>
        <v>722160</v>
      </c>
      <c r="I2872" s="87">
        <f t="shared" si="763"/>
        <v>722160</v>
      </c>
      <c r="J2872" s="173"/>
      <c r="K2872" s="214"/>
      <c r="L2872" s="206"/>
      <c r="M2872" s="206"/>
      <c r="N2872" s="206"/>
      <c r="O2872" s="206"/>
      <c r="P2872" s="206"/>
      <c r="Q2872" s="206"/>
      <c r="R2872" s="206"/>
    </row>
    <row r="2873" spans="1:18" s="33" customFormat="1" ht="26.4">
      <c r="A2873" s="142" t="s">
        <v>55</v>
      </c>
      <c r="B2873" s="145">
        <v>794</v>
      </c>
      <c r="C2873" s="84" t="s">
        <v>18</v>
      </c>
      <c r="D2873" s="84" t="s">
        <v>69</v>
      </c>
      <c r="E2873" s="84" t="s">
        <v>262</v>
      </c>
      <c r="F2873" s="84" t="s">
        <v>58</v>
      </c>
      <c r="G2873" s="87">
        <f>686052-63997.41</f>
        <v>622054.59</v>
      </c>
      <c r="H2873" s="87">
        <v>722160</v>
      </c>
      <c r="I2873" s="87">
        <v>722160</v>
      </c>
      <c r="J2873" s="173"/>
      <c r="K2873" s="206"/>
      <c r="L2873" s="206"/>
      <c r="M2873" s="214"/>
      <c r="N2873" s="206"/>
      <c r="O2873" s="206"/>
      <c r="P2873" s="206"/>
      <c r="Q2873" s="206"/>
      <c r="R2873" s="206"/>
    </row>
    <row r="2874" spans="1:18" ht="26.4">
      <c r="A2874" s="142" t="s">
        <v>353</v>
      </c>
      <c r="B2874" s="145">
        <v>794</v>
      </c>
      <c r="C2874" s="84" t="s">
        <v>18</v>
      </c>
      <c r="D2874" s="84" t="s">
        <v>69</v>
      </c>
      <c r="E2874" s="84" t="s">
        <v>263</v>
      </c>
      <c r="F2874" s="84"/>
      <c r="G2874" s="87">
        <f>G2875+G2880</f>
        <v>2363921.52</v>
      </c>
      <c r="H2874" s="87">
        <f>H2875</f>
        <v>2438351</v>
      </c>
      <c r="I2874" s="87">
        <f>I2875</f>
        <v>2438351</v>
      </c>
      <c r="J2874" s="173"/>
      <c r="Q2874" s="206"/>
    </row>
    <row r="2875" spans="1:18" s="33" customFormat="1" ht="26.4">
      <c r="A2875" s="82" t="s">
        <v>75</v>
      </c>
      <c r="B2875" s="145">
        <v>794</v>
      </c>
      <c r="C2875" s="84" t="s">
        <v>18</v>
      </c>
      <c r="D2875" s="84" t="s">
        <v>69</v>
      </c>
      <c r="E2875" s="84" t="s">
        <v>264</v>
      </c>
      <c r="F2875" s="164"/>
      <c r="G2875" s="87">
        <f>G2876+G2878</f>
        <v>2345150.71</v>
      </c>
      <c r="H2875" s="87">
        <f t="shared" ref="H2875:I2875" si="764">H2876+H2878</f>
        <v>2438351</v>
      </c>
      <c r="I2875" s="87">
        <f t="shared" si="764"/>
        <v>2438351</v>
      </c>
      <c r="J2875" s="173"/>
      <c r="K2875" s="206"/>
      <c r="L2875" s="206"/>
      <c r="M2875" s="206"/>
      <c r="N2875" s="206"/>
      <c r="O2875" s="206"/>
      <c r="P2875" s="206"/>
      <c r="Q2875" s="206"/>
      <c r="R2875" s="206"/>
    </row>
    <row r="2876" spans="1:18" ht="66">
      <c r="A2876" s="142" t="s">
        <v>54</v>
      </c>
      <c r="B2876" s="145">
        <v>794</v>
      </c>
      <c r="C2876" s="84" t="s">
        <v>18</v>
      </c>
      <c r="D2876" s="84" t="s">
        <v>69</v>
      </c>
      <c r="E2876" s="84" t="s">
        <v>264</v>
      </c>
      <c r="F2876" s="84" t="s">
        <v>57</v>
      </c>
      <c r="G2876" s="87">
        <f>G2877</f>
        <v>1879192.71</v>
      </c>
      <c r="H2876" s="87">
        <f>H2877</f>
        <v>1943351</v>
      </c>
      <c r="I2876" s="87">
        <f>I2877</f>
        <v>1943351</v>
      </c>
      <c r="J2876" s="173"/>
      <c r="Q2876" s="206"/>
    </row>
    <row r="2877" spans="1:18" ht="26.4">
      <c r="A2877" s="142" t="s">
        <v>55</v>
      </c>
      <c r="B2877" s="145">
        <v>794</v>
      </c>
      <c r="C2877" s="84" t="s">
        <v>18</v>
      </c>
      <c r="D2877" s="84" t="s">
        <v>69</v>
      </c>
      <c r="E2877" s="84" t="s">
        <v>264</v>
      </c>
      <c r="F2877" s="84" t="s">
        <v>58</v>
      </c>
      <c r="G2877" s="87">
        <f>1893551-14358.29</f>
        <v>1879192.71</v>
      </c>
      <c r="H2877" s="87">
        <v>1943351</v>
      </c>
      <c r="I2877" s="87">
        <v>1943351</v>
      </c>
      <c r="J2877" s="173"/>
      <c r="Q2877" s="206"/>
    </row>
    <row r="2878" spans="1:18" ht="26.4">
      <c r="A2878" s="82" t="s">
        <v>35</v>
      </c>
      <c r="B2878" s="145">
        <v>794</v>
      </c>
      <c r="C2878" s="84" t="s">
        <v>18</v>
      </c>
      <c r="D2878" s="84" t="s">
        <v>69</v>
      </c>
      <c r="E2878" s="84" t="s">
        <v>264</v>
      </c>
      <c r="F2878" s="84" t="s">
        <v>36</v>
      </c>
      <c r="G2878" s="87">
        <f>G2879</f>
        <v>465958</v>
      </c>
      <c r="H2878" s="87">
        <f>H2879</f>
        <v>495000</v>
      </c>
      <c r="I2878" s="87">
        <f>I2879</f>
        <v>495000</v>
      </c>
      <c r="J2878" s="173"/>
      <c r="Q2878" s="206"/>
    </row>
    <row r="2879" spans="1:18" ht="26.4">
      <c r="A2879" s="82" t="s">
        <v>37</v>
      </c>
      <c r="B2879" s="145">
        <v>794</v>
      </c>
      <c r="C2879" s="84" t="s">
        <v>18</v>
      </c>
      <c r="D2879" s="84" t="s">
        <v>69</v>
      </c>
      <c r="E2879" s="84" t="s">
        <v>264</v>
      </c>
      <c r="F2879" s="84" t="s">
        <v>38</v>
      </c>
      <c r="G2879" s="87">
        <v>465958</v>
      </c>
      <c r="H2879" s="87">
        <v>495000</v>
      </c>
      <c r="I2879" s="87">
        <v>495000</v>
      </c>
      <c r="J2879" s="173"/>
      <c r="Q2879" s="206"/>
    </row>
    <row r="2880" spans="1:18" ht="84.75" customHeight="1">
      <c r="A2880" s="82" t="s">
        <v>1435</v>
      </c>
      <c r="B2880" s="145">
        <v>794</v>
      </c>
      <c r="C2880" s="84" t="s">
        <v>18</v>
      </c>
      <c r="D2880" s="84" t="s">
        <v>69</v>
      </c>
      <c r="E2880" s="84" t="s">
        <v>1532</v>
      </c>
      <c r="F2880" s="84"/>
      <c r="G2880" s="87">
        <f>G2881</f>
        <v>18770.810000000001</v>
      </c>
      <c r="H2880" s="87">
        <f t="shared" ref="H2880:I2880" si="765">H2881</f>
        <v>0</v>
      </c>
      <c r="I2880" s="87">
        <f t="shared" si="765"/>
        <v>0</v>
      </c>
      <c r="J2880" s="173"/>
    </row>
    <row r="2881" spans="1:18" ht="29.25" customHeight="1">
      <c r="A2881" s="82" t="s">
        <v>54</v>
      </c>
      <c r="B2881" s="145">
        <v>794</v>
      </c>
      <c r="C2881" s="84" t="s">
        <v>18</v>
      </c>
      <c r="D2881" s="84" t="s">
        <v>69</v>
      </c>
      <c r="E2881" s="84" t="s">
        <v>1532</v>
      </c>
      <c r="F2881" s="84" t="s">
        <v>57</v>
      </c>
      <c r="G2881" s="87">
        <f>G2882</f>
        <v>18770.810000000001</v>
      </c>
      <c r="H2881" s="87">
        <f>H2882</f>
        <v>0</v>
      </c>
      <c r="I2881" s="87">
        <f>I2882</f>
        <v>0</v>
      </c>
      <c r="J2881" s="173"/>
    </row>
    <row r="2882" spans="1:18" ht="36.75" customHeight="1">
      <c r="A2882" s="82" t="s">
        <v>55</v>
      </c>
      <c r="B2882" s="145">
        <v>794</v>
      </c>
      <c r="C2882" s="84" t="s">
        <v>18</v>
      </c>
      <c r="D2882" s="84" t="s">
        <v>69</v>
      </c>
      <c r="E2882" s="84" t="s">
        <v>1532</v>
      </c>
      <c r="F2882" s="84" t="s">
        <v>58</v>
      </c>
      <c r="G2882" s="70">
        <v>18770.810000000001</v>
      </c>
      <c r="H2882" s="87">
        <v>0</v>
      </c>
      <c r="I2882" s="87">
        <v>0</v>
      </c>
      <c r="J2882" s="173"/>
    </row>
    <row r="2883" spans="1:18">
      <c r="A2883" s="11" t="s">
        <v>141</v>
      </c>
      <c r="B2883" s="19">
        <v>794</v>
      </c>
      <c r="C2883" s="7" t="s">
        <v>68</v>
      </c>
      <c r="D2883" s="7"/>
      <c r="E2883" s="15"/>
      <c r="F2883" s="7"/>
      <c r="G2883" s="38">
        <f>G2884+G3312+G3363</f>
        <v>289993.2</v>
      </c>
      <c r="H2883" s="38">
        <f>H2884+H3312+H3363</f>
        <v>0</v>
      </c>
      <c r="I2883" s="38">
        <f>I2884+I3312+I3363</f>
        <v>0</v>
      </c>
      <c r="J2883" s="328"/>
      <c r="K2883" s="69"/>
      <c r="L2883" s="69"/>
      <c r="M2883" s="69"/>
      <c r="N2883" s="69"/>
      <c r="O2883" s="69"/>
      <c r="P2883" s="69"/>
      <c r="Q2883" s="69"/>
      <c r="R2883" s="69"/>
    </row>
    <row r="2884" spans="1:18">
      <c r="A2884" s="16" t="s">
        <v>142</v>
      </c>
      <c r="B2884" s="14">
        <v>794</v>
      </c>
      <c r="C2884" s="15" t="s">
        <v>68</v>
      </c>
      <c r="D2884" s="15" t="s">
        <v>18</v>
      </c>
      <c r="E2884" s="15"/>
      <c r="F2884" s="15"/>
      <c r="G2884" s="70">
        <f t="shared" ref="G2884:I2887" si="766">G2885</f>
        <v>289993.2</v>
      </c>
      <c r="H2884" s="70">
        <f t="shared" si="766"/>
        <v>0</v>
      </c>
      <c r="I2884" s="70">
        <f t="shared" si="766"/>
        <v>0</v>
      </c>
      <c r="J2884" s="172"/>
      <c r="K2884" s="69"/>
      <c r="L2884" s="69"/>
      <c r="M2884" s="69"/>
      <c r="N2884" s="69"/>
      <c r="O2884" s="69"/>
      <c r="P2884" s="69"/>
      <c r="Q2884" s="69"/>
      <c r="R2884" s="69"/>
    </row>
    <row r="2885" spans="1:18" s="28" customFormat="1" ht="36" customHeight="1">
      <c r="A2885" s="16" t="s">
        <v>1145</v>
      </c>
      <c r="B2885" s="14">
        <v>794</v>
      </c>
      <c r="C2885" s="15" t="s">
        <v>68</v>
      </c>
      <c r="D2885" s="15" t="s">
        <v>18</v>
      </c>
      <c r="E2885" s="15" t="s">
        <v>280</v>
      </c>
      <c r="F2885" s="39"/>
      <c r="G2885" s="70">
        <f t="shared" si="766"/>
        <v>289993.2</v>
      </c>
      <c r="H2885" s="70">
        <f t="shared" si="766"/>
        <v>0</v>
      </c>
      <c r="I2885" s="70">
        <f t="shared" si="766"/>
        <v>0</v>
      </c>
      <c r="J2885" s="172"/>
      <c r="K2885" s="313"/>
      <c r="L2885" s="313"/>
      <c r="M2885" s="313"/>
      <c r="N2885" s="313"/>
      <c r="O2885" s="313"/>
      <c r="P2885" s="313"/>
      <c r="Q2885" s="313"/>
      <c r="R2885" s="313"/>
    </row>
    <row r="2886" spans="1:18" s="28" customFormat="1" ht="52.8">
      <c r="A2886" s="16" t="s">
        <v>1386</v>
      </c>
      <c r="B2886" s="14">
        <v>794</v>
      </c>
      <c r="C2886" s="15" t="s">
        <v>68</v>
      </c>
      <c r="D2886" s="15" t="s">
        <v>18</v>
      </c>
      <c r="E2886" s="15" t="s">
        <v>284</v>
      </c>
      <c r="F2886" s="39"/>
      <c r="G2886" s="70">
        <f t="shared" si="766"/>
        <v>289993.2</v>
      </c>
      <c r="H2886" s="70">
        <f t="shared" si="766"/>
        <v>0</v>
      </c>
      <c r="I2886" s="70">
        <f t="shared" si="766"/>
        <v>0</v>
      </c>
      <c r="J2886" s="172"/>
      <c r="K2886" s="313"/>
      <c r="L2886" s="313"/>
      <c r="M2886" s="313"/>
      <c r="N2886" s="313"/>
      <c r="O2886" s="313"/>
      <c r="P2886" s="313"/>
      <c r="Q2886" s="313"/>
      <c r="R2886" s="313"/>
    </row>
    <row r="2887" spans="1:18" s="28" customFormat="1">
      <c r="A2887" s="16" t="s">
        <v>144</v>
      </c>
      <c r="B2887" s="14">
        <v>794</v>
      </c>
      <c r="C2887" s="15" t="s">
        <v>68</v>
      </c>
      <c r="D2887" s="15" t="s">
        <v>18</v>
      </c>
      <c r="E2887" s="15" t="s">
        <v>284</v>
      </c>
      <c r="F2887" s="15" t="s">
        <v>145</v>
      </c>
      <c r="G2887" s="70">
        <f t="shared" si="766"/>
        <v>289993.2</v>
      </c>
      <c r="H2887" s="70">
        <f>H2888</f>
        <v>0</v>
      </c>
      <c r="I2887" s="70">
        <f t="shared" si="766"/>
        <v>0</v>
      </c>
      <c r="J2887" s="172"/>
      <c r="K2887" s="313"/>
      <c r="L2887" s="313"/>
      <c r="M2887" s="313"/>
      <c r="N2887" s="313"/>
      <c r="O2887" s="313"/>
      <c r="P2887" s="313"/>
      <c r="Q2887" s="313"/>
      <c r="R2887" s="313"/>
    </row>
    <row r="2888" spans="1:18" s="28" customFormat="1" ht="26.4">
      <c r="A2888" s="16" t="s">
        <v>344</v>
      </c>
      <c r="B2888" s="14">
        <v>794</v>
      </c>
      <c r="C2888" s="15" t="s">
        <v>68</v>
      </c>
      <c r="D2888" s="15" t="s">
        <v>18</v>
      </c>
      <c r="E2888" s="15" t="s">
        <v>284</v>
      </c>
      <c r="F2888" s="15" t="s">
        <v>345</v>
      </c>
      <c r="G2888" s="70">
        <f>211637.5+14358.29+63997.41</f>
        <v>289993.2</v>
      </c>
      <c r="H2888" s="70">
        <v>0</v>
      </c>
      <c r="I2888" s="70">
        <v>0</v>
      </c>
      <c r="J2888" s="172">
        <f>G2888+G3319+G3333+G3336+G3347+G3350+G3372+G3387</f>
        <v>2131425571.0500002</v>
      </c>
      <c r="K2888" s="313"/>
      <c r="L2888" s="313"/>
      <c r="M2888" s="313"/>
      <c r="N2888" s="313"/>
      <c r="O2888" s="313"/>
      <c r="P2888" s="313"/>
      <c r="Q2888" s="313"/>
      <c r="R2888" s="313"/>
    </row>
    <row r="2889" spans="1:18" s="122" customFormat="1">
      <c r="A2889" s="396" t="s">
        <v>73</v>
      </c>
      <c r="B2889" s="378"/>
      <c r="C2889" s="379"/>
      <c r="D2889" s="379"/>
      <c r="E2889" s="379"/>
      <c r="F2889" s="379"/>
      <c r="G2889" s="380">
        <f>G2863+G2883</f>
        <v>4859869.3099999996</v>
      </c>
      <c r="H2889" s="380">
        <f>H2863</f>
        <v>4744411</v>
      </c>
      <c r="I2889" s="380">
        <f>I2863</f>
        <v>4744411</v>
      </c>
      <c r="J2889" s="187"/>
      <c r="K2889" s="202"/>
      <c r="L2889" s="202"/>
      <c r="M2889" s="202"/>
      <c r="N2889" s="202"/>
      <c r="O2889" s="202"/>
      <c r="P2889" s="202"/>
      <c r="Q2889" s="202"/>
      <c r="R2889" s="202"/>
    </row>
    <row r="2890" spans="1:18" s="122" customFormat="1" ht="39.6" hidden="1">
      <c r="A2890" s="268" t="s">
        <v>388</v>
      </c>
      <c r="B2890" s="264">
        <v>795</v>
      </c>
      <c r="C2890" s="158"/>
      <c r="D2890" s="158"/>
      <c r="E2890" s="158"/>
      <c r="F2890" s="158"/>
      <c r="G2890" s="96"/>
      <c r="H2890" s="96"/>
      <c r="I2890" s="96"/>
      <c r="J2890" s="187"/>
      <c r="K2890" s="202"/>
      <c r="L2890" s="202"/>
      <c r="M2890" s="202"/>
      <c r="N2890" s="202"/>
      <c r="O2890" s="202"/>
      <c r="P2890" s="202"/>
      <c r="Q2890" s="202"/>
      <c r="R2890" s="202"/>
    </row>
    <row r="2891" spans="1:18" hidden="1">
      <c r="A2891" s="266" t="s">
        <v>17</v>
      </c>
      <c r="B2891" s="264">
        <v>795</v>
      </c>
      <c r="C2891" s="261" t="s">
        <v>18</v>
      </c>
      <c r="D2891" s="261"/>
      <c r="E2891" s="261"/>
      <c r="F2891" s="261"/>
      <c r="G2891" s="258">
        <f>G2892</f>
        <v>0</v>
      </c>
      <c r="H2891" s="258">
        <f t="shared" ref="H2891:I2891" si="767">H2892</f>
        <v>0</v>
      </c>
      <c r="I2891" s="258">
        <f t="shared" si="767"/>
        <v>0</v>
      </c>
      <c r="J2891" s="186"/>
      <c r="K2891" s="202"/>
      <c r="L2891" s="202"/>
    </row>
    <row r="2892" spans="1:18" hidden="1">
      <c r="A2892" s="134" t="s">
        <v>21</v>
      </c>
      <c r="B2892" s="145">
        <v>795</v>
      </c>
      <c r="C2892" s="84" t="s">
        <v>18</v>
      </c>
      <c r="D2892" s="84" t="s">
        <v>22</v>
      </c>
      <c r="E2892" s="84"/>
      <c r="F2892" s="84"/>
      <c r="G2892" s="87">
        <f>G2893</f>
        <v>0</v>
      </c>
      <c r="H2892" s="87">
        <f t="shared" ref="H2892:I2892" si="768">H2893</f>
        <v>0</v>
      </c>
      <c r="I2892" s="87">
        <f t="shared" si="768"/>
        <v>0</v>
      </c>
      <c r="J2892" s="173"/>
      <c r="K2892" s="202"/>
      <c r="L2892" s="202"/>
    </row>
    <row r="2893" spans="1:18" ht="25.5" hidden="1" customHeight="1">
      <c r="A2893" s="82" t="s">
        <v>158</v>
      </c>
      <c r="B2893" s="83">
        <v>795</v>
      </c>
      <c r="C2893" s="84" t="s">
        <v>18</v>
      </c>
      <c r="D2893" s="84" t="s">
        <v>22</v>
      </c>
      <c r="E2893" s="84" t="s">
        <v>204</v>
      </c>
      <c r="F2893" s="84"/>
      <c r="G2893" s="87">
        <f t="shared" ref="G2893:I2894" si="769">G2894</f>
        <v>0</v>
      </c>
      <c r="H2893" s="87">
        <f t="shared" si="769"/>
        <v>0</v>
      </c>
      <c r="I2893" s="87">
        <f t="shared" si="769"/>
        <v>0</v>
      </c>
      <c r="J2893" s="173"/>
      <c r="K2893" s="202"/>
      <c r="L2893" s="202"/>
    </row>
    <row r="2894" spans="1:18" ht="27" hidden="1" customHeight="1">
      <c r="A2894" s="82" t="s">
        <v>392</v>
      </c>
      <c r="B2894" s="83">
        <v>795</v>
      </c>
      <c r="C2894" s="84" t="s">
        <v>18</v>
      </c>
      <c r="D2894" s="84" t="s">
        <v>22</v>
      </c>
      <c r="E2894" s="84" t="s">
        <v>391</v>
      </c>
      <c r="F2894" s="84"/>
      <c r="G2894" s="87">
        <f t="shared" si="769"/>
        <v>0</v>
      </c>
      <c r="H2894" s="87">
        <f t="shared" si="769"/>
        <v>0</v>
      </c>
      <c r="I2894" s="87">
        <f t="shared" si="769"/>
        <v>0</v>
      </c>
      <c r="J2894" s="173"/>
      <c r="K2894" s="202"/>
      <c r="L2894" s="202"/>
    </row>
    <row r="2895" spans="1:18" ht="19.5" hidden="1" customHeight="1">
      <c r="A2895" s="82" t="s">
        <v>62</v>
      </c>
      <c r="B2895" s="83">
        <v>795</v>
      </c>
      <c r="C2895" s="84" t="s">
        <v>18</v>
      </c>
      <c r="D2895" s="84" t="s">
        <v>22</v>
      </c>
      <c r="E2895" s="84" t="s">
        <v>391</v>
      </c>
      <c r="F2895" s="84" t="s">
        <v>63</v>
      </c>
      <c r="G2895" s="87">
        <f>G2896</f>
        <v>0</v>
      </c>
      <c r="H2895" s="87">
        <v>0</v>
      </c>
      <c r="I2895" s="87">
        <v>0</v>
      </c>
      <c r="J2895" s="173"/>
      <c r="K2895" s="202"/>
      <c r="L2895" s="202"/>
    </row>
    <row r="2896" spans="1:18" ht="18.75" hidden="1" customHeight="1">
      <c r="A2896" s="82" t="s">
        <v>321</v>
      </c>
      <c r="B2896" s="83">
        <v>795</v>
      </c>
      <c r="C2896" s="84" t="s">
        <v>18</v>
      </c>
      <c r="D2896" s="84" t="s">
        <v>22</v>
      </c>
      <c r="E2896" s="84" t="s">
        <v>391</v>
      </c>
      <c r="F2896" s="84" t="s">
        <v>320</v>
      </c>
      <c r="G2896" s="87"/>
      <c r="H2896" s="87">
        <v>0</v>
      </c>
      <c r="I2896" s="87">
        <v>0</v>
      </c>
      <c r="J2896" s="173"/>
      <c r="K2896" s="202"/>
      <c r="L2896" s="202"/>
    </row>
    <row r="2897" spans="1:18" s="22" customFormat="1" hidden="1">
      <c r="A2897" s="259" t="s">
        <v>85</v>
      </c>
      <c r="B2897" s="264">
        <v>795</v>
      </c>
      <c r="C2897" s="158" t="s">
        <v>53</v>
      </c>
      <c r="D2897" s="158"/>
      <c r="E2897" s="158"/>
      <c r="F2897" s="158"/>
      <c r="G2897" s="96">
        <f>G2983+G2898</f>
        <v>0</v>
      </c>
      <c r="H2897" s="96">
        <f>H2983+H2898</f>
        <v>0</v>
      </c>
      <c r="I2897" s="96">
        <f>I2983+I2898</f>
        <v>0</v>
      </c>
      <c r="J2897" s="187"/>
      <c r="K2897" s="202"/>
      <c r="L2897" s="202"/>
      <c r="M2897" s="202"/>
      <c r="N2897" s="202"/>
      <c r="O2897" s="202"/>
      <c r="P2897" s="202"/>
      <c r="Q2897" s="202"/>
      <c r="R2897" s="202"/>
    </row>
    <row r="2898" spans="1:18" s="3" customFormat="1" hidden="1">
      <c r="A2898" s="277" t="s">
        <v>166</v>
      </c>
      <c r="B2898" s="264">
        <v>795</v>
      </c>
      <c r="C2898" s="152" t="s">
        <v>53</v>
      </c>
      <c r="D2898" s="152" t="s">
        <v>120</v>
      </c>
      <c r="E2898" s="152"/>
      <c r="F2898" s="152"/>
      <c r="G2898" s="153">
        <f>G2899+G2967+G2974+G2977</f>
        <v>0</v>
      </c>
      <c r="H2898" s="153">
        <f>H2899+H2967+H2971</f>
        <v>0</v>
      </c>
      <c r="I2898" s="153">
        <f>I2899+I2967</f>
        <v>0</v>
      </c>
      <c r="J2898" s="191"/>
      <c r="K2898" s="202"/>
      <c r="L2898" s="202"/>
      <c r="M2898" s="194"/>
      <c r="N2898" s="194"/>
      <c r="O2898" s="194"/>
      <c r="P2898" s="194"/>
      <c r="Q2898" s="194"/>
      <c r="R2898" s="194"/>
    </row>
    <row r="2899" spans="1:18" s="18" customFormat="1" ht="27" hidden="1" customHeight="1">
      <c r="A2899" s="82" t="s">
        <v>462</v>
      </c>
      <c r="B2899" s="83">
        <v>795</v>
      </c>
      <c r="C2899" s="84" t="s">
        <v>53</v>
      </c>
      <c r="D2899" s="84" t="s">
        <v>120</v>
      </c>
      <c r="E2899" s="84" t="s">
        <v>229</v>
      </c>
      <c r="F2899" s="84"/>
      <c r="G2899" s="87">
        <f>G2900+G2928+G2955+G2949</f>
        <v>0</v>
      </c>
      <c r="H2899" s="87">
        <f t="shared" ref="H2899:I2899" si="770">H2900+H2928+H2955+H2949</f>
        <v>0</v>
      </c>
      <c r="I2899" s="87">
        <f t="shared" si="770"/>
        <v>0</v>
      </c>
      <c r="J2899" s="173"/>
      <c r="K2899" s="191"/>
      <c r="L2899" s="191"/>
      <c r="M2899" s="173"/>
      <c r="N2899" s="173"/>
      <c r="O2899" s="173"/>
      <c r="P2899" s="195"/>
      <c r="Q2899" s="208"/>
      <c r="R2899" s="195"/>
    </row>
    <row r="2900" spans="1:18" s="18" customFormat="1" ht="75" hidden="1" customHeight="1">
      <c r="A2900" s="130" t="s">
        <v>376</v>
      </c>
      <c r="B2900" s="83">
        <v>795</v>
      </c>
      <c r="C2900" s="84" t="s">
        <v>53</v>
      </c>
      <c r="D2900" s="84" t="s">
        <v>120</v>
      </c>
      <c r="E2900" s="84" t="s">
        <v>98</v>
      </c>
      <c r="F2900" s="84"/>
      <c r="G2900" s="87">
        <f>G2904+G2907+G2918+G2913+G2910+G2925+G2901</f>
        <v>0</v>
      </c>
      <c r="H2900" s="87">
        <f t="shared" ref="H2900" si="771">H2904+H2907+H2918+H2913+H2910+H2925+H2901</f>
        <v>0</v>
      </c>
      <c r="I2900" s="87">
        <f>I2904+I2907+I2918+I2913+I2910+I2925+I2901</f>
        <v>0</v>
      </c>
      <c r="J2900" s="173"/>
      <c r="K2900" s="197"/>
      <c r="L2900" s="197"/>
      <c r="M2900" s="195"/>
      <c r="N2900" s="195"/>
      <c r="O2900" s="195"/>
      <c r="P2900" s="195"/>
      <c r="Q2900" s="208"/>
      <c r="R2900" s="195"/>
    </row>
    <row r="2901" spans="1:18" s="18" customFormat="1" ht="76.5" hidden="1" customHeight="1">
      <c r="A2901" s="130" t="s">
        <v>639</v>
      </c>
      <c r="B2901" s="83">
        <v>795</v>
      </c>
      <c r="C2901" s="84" t="s">
        <v>53</v>
      </c>
      <c r="D2901" s="84" t="s">
        <v>120</v>
      </c>
      <c r="E2901" s="84" t="s">
        <v>638</v>
      </c>
      <c r="F2901" s="84"/>
      <c r="G2901" s="87">
        <f t="shared" ref="G2901:I2902" si="772">G2902</f>
        <v>0</v>
      </c>
      <c r="H2901" s="87">
        <f t="shared" si="772"/>
        <v>0</v>
      </c>
      <c r="I2901" s="87">
        <f t="shared" si="772"/>
        <v>0</v>
      </c>
      <c r="J2901" s="173"/>
      <c r="K2901" s="197"/>
      <c r="L2901" s="197"/>
      <c r="M2901" s="195"/>
      <c r="N2901" s="195"/>
      <c r="O2901" s="195"/>
      <c r="P2901" s="195"/>
      <c r="Q2901" s="195"/>
      <c r="R2901" s="195"/>
    </row>
    <row r="2902" spans="1:18" s="18" customFormat="1" ht="15" hidden="1" customHeight="1">
      <c r="A2902" s="82" t="s">
        <v>316</v>
      </c>
      <c r="B2902" s="83">
        <v>795</v>
      </c>
      <c r="C2902" s="84" t="s">
        <v>53</v>
      </c>
      <c r="D2902" s="84" t="s">
        <v>120</v>
      </c>
      <c r="E2902" s="84" t="s">
        <v>638</v>
      </c>
      <c r="F2902" s="84" t="s">
        <v>36</v>
      </c>
      <c r="G2902" s="87">
        <f t="shared" si="772"/>
        <v>0</v>
      </c>
      <c r="H2902" s="87">
        <f t="shared" si="772"/>
        <v>0</v>
      </c>
      <c r="I2902" s="87">
        <f t="shared" si="772"/>
        <v>0</v>
      </c>
      <c r="J2902" s="173"/>
      <c r="K2902" s="197"/>
      <c r="L2902" s="197"/>
      <c r="M2902" s="195"/>
      <c r="N2902" s="195"/>
      <c r="O2902" s="195"/>
      <c r="P2902" s="195"/>
      <c r="Q2902" s="195"/>
      <c r="R2902" s="195"/>
    </row>
    <row r="2903" spans="1:18" s="18" customFormat="1" ht="32.25" hidden="1" customHeight="1">
      <c r="A2903" s="82" t="s">
        <v>37</v>
      </c>
      <c r="B2903" s="83">
        <v>795</v>
      </c>
      <c r="C2903" s="84" t="s">
        <v>53</v>
      </c>
      <c r="D2903" s="84" t="s">
        <v>120</v>
      </c>
      <c r="E2903" s="84" t="s">
        <v>638</v>
      </c>
      <c r="F2903" s="84" t="s">
        <v>38</v>
      </c>
      <c r="G2903" s="87"/>
      <c r="H2903" s="87"/>
      <c r="I2903" s="87"/>
      <c r="J2903" s="173"/>
      <c r="K2903" s="197"/>
      <c r="L2903" s="197"/>
      <c r="M2903" s="195"/>
      <c r="N2903" s="195"/>
      <c r="O2903" s="195"/>
      <c r="P2903" s="195"/>
      <c r="Q2903" s="195"/>
      <c r="R2903" s="195"/>
    </row>
    <row r="2904" spans="1:18" s="18" customFormat="1" ht="41.25" hidden="1" customHeight="1">
      <c r="A2904" s="130" t="s">
        <v>377</v>
      </c>
      <c r="B2904" s="83">
        <v>795</v>
      </c>
      <c r="C2904" s="84" t="s">
        <v>53</v>
      </c>
      <c r="D2904" s="84" t="s">
        <v>120</v>
      </c>
      <c r="E2904" s="84" t="s">
        <v>99</v>
      </c>
      <c r="F2904" s="84"/>
      <c r="G2904" s="87">
        <f t="shared" ref="G2904:I2905" si="773">G2905</f>
        <v>0</v>
      </c>
      <c r="H2904" s="87">
        <f t="shared" si="773"/>
        <v>0</v>
      </c>
      <c r="I2904" s="87">
        <f t="shared" si="773"/>
        <v>0</v>
      </c>
      <c r="J2904" s="173"/>
      <c r="K2904" s="197"/>
      <c r="L2904" s="197"/>
      <c r="M2904" s="195"/>
      <c r="N2904" s="195"/>
      <c r="O2904" s="195"/>
      <c r="P2904" s="195"/>
      <c r="Q2904" s="195"/>
      <c r="R2904" s="195"/>
    </row>
    <row r="2905" spans="1:18" s="18" customFormat="1" ht="15" hidden="1" customHeight="1">
      <c r="A2905" s="82" t="s">
        <v>316</v>
      </c>
      <c r="B2905" s="83">
        <v>795</v>
      </c>
      <c r="C2905" s="84" t="s">
        <v>53</v>
      </c>
      <c r="D2905" s="84" t="s">
        <v>120</v>
      </c>
      <c r="E2905" s="84" t="s">
        <v>99</v>
      </c>
      <c r="F2905" s="84" t="s">
        <v>36</v>
      </c>
      <c r="G2905" s="87">
        <f t="shared" si="773"/>
        <v>0</v>
      </c>
      <c r="H2905" s="87">
        <f t="shared" si="773"/>
        <v>0</v>
      </c>
      <c r="I2905" s="87">
        <f t="shared" si="773"/>
        <v>0</v>
      </c>
      <c r="J2905" s="173"/>
      <c r="K2905" s="197"/>
      <c r="L2905" s="197"/>
      <c r="M2905" s="195"/>
      <c r="N2905" s="195"/>
      <c r="O2905" s="195"/>
      <c r="P2905" s="195"/>
      <c r="Q2905" s="195"/>
      <c r="R2905" s="195"/>
    </row>
    <row r="2906" spans="1:18" s="18" customFormat="1" ht="32.25" hidden="1" customHeight="1">
      <c r="A2906" s="82" t="s">
        <v>37</v>
      </c>
      <c r="B2906" s="83">
        <v>795</v>
      </c>
      <c r="C2906" s="84" t="s">
        <v>53</v>
      </c>
      <c r="D2906" s="84" t="s">
        <v>120</v>
      </c>
      <c r="E2906" s="84" t="s">
        <v>99</v>
      </c>
      <c r="F2906" s="84" t="s">
        <v>38</v>
      </c>
      <c r="G2906" s="87"/>
      <c r="H2906" s="87"/>
      <c r="I2906" s="87"/>
      <c r="J2906" s="173"/>
      <c r="K2906" s="197"/>
      <c r="L2906" s="197"/>
      <c r="M2906" s="195"/>
      <c r="N2906" s="195"/>
      <c r="O2906" s="195"/>
      <c r="P2906" s="195"/>
      <c r="Q2906" s="195"/>
      <c r="R2906" s="195"/>
    </row>
    <row r="2907" spans="1:18" ht="63" hidden="1" customHeight="1">
      <c r="A2907" s="130" t="s">
        <v>376</v>
      </c>
      <c r="B2907" s="83">
        <v>795</v>
      </c>
      <c r="C2907" s="84" t="s">
        <v>53</v>
      </c>
      <c r="D2907" s="84" t="s">
        <v>120</v>
      </c>
      <c r="E2907" s="84" t="s">
        <v>129</v>
      </c>
      <c r="F2907" s="84"/>
      <c r="G2907" s="87">
        <f>G2908</f>
        <v>0</v>
      </c>
      <c r="H2907" s="87">
        <f t="shared" ref="H2907:I2907" si="774">H2908</f>
        <v>0</v>
      </c>
      <c r="I2907" s="87">
        <f t="shared" si="774"/>
        <v>0</v>
      </c>
      <c r="J2907" s="173"/>
      <c r="K2907" s="202"/>
      <c r="L2907" s="202"/>
      <c r="M2907" s="204"/>
    </row>
    <row r="2908" spans="1:18" ht="15" hidden="1" customHeight="1">
      <c r="A2908" s="82" t="s">
        <v>152</v>
      </c>
      <c r="B2908" s="83">
        <v>795</v>
      </c>
      <c r="C2908" s="84" t="s">
        <v>53</v>
      </c>
      <c r="D2908" s="84" t="s">
        <v>120</v>
      </c>
      <c r="E2908" s="84" t="s">
        <v>127</v>
      </c>
      <c r="F2908" s="84" t="s">
        <v>153</v>
      </c>
      <c r="G2908" s="87">
        <f>G2909</f>
        <v>0</v>
      </c>
      <c r="H2908" s="87">
        <f>H2909</f>
        <v>0</v>
      </c>
      <c r="I2908" s="87">
        <f>I2909</f>
        <v>0</v>
      </c>
      <c r="J2908" s="173"/>
      <c r="K2908" s="202"/>
      <c r="L2908" s="202"/>
    </row>
    <row r="2909" spans="1:18" ht="15" hidden="1" customHeight="1">
      <c r="A2909" s="82" t="s">
        <v>172</v>
      </c>
      <c r="B2909" s="83">
        <v>795</v>
      </c>
      <c r="C2909" s="84" t="s">
        <v>53</v>
      </c>
      <c r="D2909" s="84" t="s">
        <v>120</v>
      </c>
      <c r="E2909" s="84" t="s">
        <v>127</v>
      </c>
      <c r="F2909" s="84" t="s">
        <v>173</v>
      </c>
      <c r="G2909" s="87"/>
      <c r="H2909" s="87"/>
      <c r="I2909" s="87"/>
      <c r="J2909" s="173"/>
      <c r="K2909" s="202"/>
      <c r="L2909" s="202"/>
    </row>
    <row r="2910" spans="1:18" ht="81.75" hidden="1" customHeight="1">
      <c r="A2910" s="130" t="s">
        <v>408</v>
      </c>
      <c r="B2910" s="83">
        <v>795</v>
      </c>
      <c r="C2910" s="84" t="s">
        <v>53</v>
      </c>
      <c r="D2910" s="84" t="s">
        <v>120</v>
      </c>
      <c r="E2910" s="84" t="s">
        <v>130</v>
      </c>
      <c r="F2910" s="84"/>
      <c r="G2910" s="87">
        <f>G2911</f>
        <v>0</v>
      </c>
      <c r="H2910" s="87">
        <v>0</v>
      </c>
      <c r="I2910" s="87">
        <v>0</v>
      </c>
      <c r="J2910" s="173"/>
      <c r="K2910" s="202"/>
      <c r="L2910" s="202"/>
    </row>
    <row r="2911" spans="1:18" ht="24" hidden="1" customHeight="1">
      <c r="A2911" s="82" t="s">
        <v>316</v>
      </c>
      <c r="B2911" s="83">
        <v>795</v>
      </c>
      <c r="C2911" s="84" t="s">
        <v>53</v>
      </c>
      <c r="D2911" s="84" t="s">
        <v>120</v>
      </c>
      <c r="E2911" s="84" t="s">
        <v>128</v>
      </c>
      <c r="F2911" s="84" t="s">
        <v>36</v>
      </c>
      <c r="G2911" s="87">
        <f>G2912</f>
        <v>0</v>
      </c>
      <c r="H2911" s="87">
        <v>0</v>
      </c>
      <c r="I2911" s="87">
        <v>0</v>
      </c>
      <c r="J2911" s="173"/>
      <c r="K2911" s="202"/>
      <c r="L2911" s="202"/>
    </row>
    <row r="2912" spans="1:18" ht="41.25" hidden="1" customHeight="1">
      <c r="A2912" s="82" t="s">
        <v>37</v>
      </c>
      <c r="B2912" s="83">
        <v>795</v>
      </c>
      <c r="C2912" s="84" t="s">
        <v>53</v>
      </c>
      <c r="D2912" s="84" t="s">
        <v>120</v>
      </c>
      <c r="E2912" s="84" t="s">
        <v>128</v>
      </c>
      <c r="F2912" s="84" t="s">
        <v>38</v>
      </c>
      <c r="G2912" s="87"/>
      <c r="H2912" s="87">
        <v>0</v>
      </c>
      <c r="I2912" s="87">
        <v>0</v>
      </c>
      <c r="J2912" s="173"/>
      <c r="K2912" s="202"/>
      <c r="L2912" s="202"/>
    </row>
    <row r="2913" spans="1:18" ht="78" hidden="1" customHeight="1">
      <c r="A2913" s="130" t="s">
        <v>503</v>
      </c>
      <c r="B2913" s="83">
        <v>795</v>
      </c>
      <c r="C2913" s="84" t="s">
        <v>53</v>
      </c>
      <c r="D2913" s="84" t="s">
        <v>120</v>
      </c>
      <c r="E2913" s="84" t="s">
        <v>502</v>
      </c>
      <c r="F2913" s="84"/>
      <c r="G2913" s="87">
        <f>G2914+G2916</f>
        <v>0</v>
      </c>
      <c r="H2913" s="87">
        <v>0</v>
      </c>
      <c r="I2913" s="87">
        <v>0</v>
      </c>
      <c r="J2913" s="173"/>
      <c r="K2913" s="202"/>
      <c r="L2913" s="202"/>
    </row>
    <row r="2914" spans="1:18" ht="18" hidden="1" customHeight="1">
      <c r="A2914" s="82" t="s">
        <v>316</v>
      </c>
      <c r="B2914" s="83">
        <v>795</v>
      </c>
      <c r="C2914" s="84" t="s">
        <v>53</v>
      </c>
      <c r="D2914" s="84" t="s">
        <v>120</v>
      </c>
      <c r="E2914" s="84" t="s">
        <v>501</v>
      </c>
      <c r="F2914" s="84" t="s">
        <v>36</v>
      </c>
      <c r="G2914" s="87">
        <f>G2915</f>
        <v>0</v>
      </c>
      <c r="H2914" s="87">
        <v>0</v>
      </c>
      <c r="I2914" s="87">
        <v>0</v>
      </c>
      <c r="J2914" s="173"/>
      <c r="K2914" s="202"/>
      <c r="L2914" s="202"/>
    </row>
    <row r="2915" spans="1:18" ht="27.75" hidden="1" customHeight="1">
      <c r="A2915" s="82" t="s">
        <v>37</v>
      </c>
      <c r="B2915" s="83">
        <v>795</v>
      </c>
      <c r="C2915" s="84" t="s">
        <v>53</v>
      </c>
      <c r="D2915" s="84" t="s">
        <v>120</v>
      </c>
      <c r="E2915" s="84" t="s">
        <v>501</v>
      </c>
      <c r="F2915" s="84" t="s">
        <v>38</v>
      </c>
      <c r="G2915" s="87"/>
      <c r="H2915" s="87">
        <v>0</v>
      </c>
      <c r="I2915" s="87">
        <v>0</v>
      </c>
      <c r="J2915" s="173"/>
      <c r="K2915" s="202"/>
      <c r="L2915" s="202"/>
    </row>
    <row r="2916" spans="1:18" ht="36.75" hidden="1" customHeight="1">
      <c r="A2916" s="82" t="s">
        <v>94</v>
      </c>
      <c r="B2916" s="83">
        <v>795</v>
      </c>
      <c r="C2916" s="84" t="s">
        <v>53</v>
      </c>
      <c r="D2916" s="84" t="s">
        <v>120</v>
      </c>
      <c r="E2916" s="84" t="s">
        <v>501</v>
      </c>
      <c r="F2916" s="84" t="s">
        <v>338</v>
      </c>
      <c r="G2916" s="87">
        <f>G2917</f>
        <v>0</v>
      </c>
      <c r="H2916" s="87">
        <v>0</v>
      </c>
      <c r="I2916" s="87">
        <v>0</v>
      </c>
      <c r="J2916" s="173"/>
      <c r="K2916" s="202"/>
      <c r="L2916" s="202"/>
    </row>
    <row r="2917" spans="1:18" ht="27.75" hidden="1" customHeight="1">
      <c r="A2917" s="82" t="s">
        <v>339</v>
      </c>
      <c r="B2917" s="83">
        <v>795</v>
      </c>
      <c r="C2917" s="84" t="s">
        <v>53</v>
      </c>
      <c r="D2917" s="84" t="s">
        <v>120</v>
      </c>
      <c r="E2917" s="84" t="s">
        <v>501</v>
      </c>
      <c r="F2917" s="84" t="s">
        <v>340</v>
      </c>
      <c r="G2917" s="87"/>
      <c r="H2917" s="87"/>
      <c r="I2917" s="87"/>
      <c r="J2917" s="173"/>
      <c r="K2917" s="202"/>
      <c r="L2917" s="202"/>
    </row>
    <row r="2918" spans="1:18" s="18" customFormat="1" ht="62.25" hidden="1" customHeight="1">
      <c r="A2918" s="82" t="s">
        <v>500</v>
      </c>
      <c r="B2918" s="83">
        <v>795</v>
      </c>
      <c r="C2918" s="84" t="s">
        <v>53</v>
      </c>
      <c r="D2918" s="84" t="s">
        <v>120</v>
      </c>
      <c r="E2918" s="84" t="s">
        <v>181</v>
      </c>
      <c r="F2918" s="84"/>
      <c r="G2918" s="87">
        <f>G2919+G2923+G2922</f>
        <v>0</v>
      </c>
      <c r="H2918" s="87">
        <v>0</v>
      </c>
      <c r="I2918" s="87">
        <v>0</v>
      </c>
      <c r="J2918" s="173"/>
      <c r="K2918" s="197"/>
      <c r="L2918" s="197"/>
      <c r="M2918" s="195"/>
      <c r="N2918" s="195"/>
      <c r="O2918" s="195"/>
      <c r="P2918" s="195"/>
      <c r="Q2918" s="195"/>
      <c r="R2918" s="195"/>
    </row>
    <row r="2919" spans="1:18" s="18" customFormat="1" ht="32.25" hidden="1" customHeight="1">
      <c r="A2919" s="82" t="s">
        <v>316</v>
      </c>
      <c r="B2919" s="83">
        <v>795</v>
      </c>
      <c r="C2919" s="84" t="s">
        <v>53</v>
      </c>
      <c r="D2919" s="84" t="s">
        <v>120</v>
      </c>
      <c r="E2919" s="84" t="s">
        <v>181</v>
      </c>
      <c r="F2919" s="84" t="s">
        <v>36</v>
      </c>
      <c r="G2919" s="87">
        <f>G2920</f>
        <v>0</v>
      </c>
      <c r="H2919" s="87">
        <v>0</v>
      </c>
      <c r="I2919" s="87">
        <v>0</v>
      </c>
      <c r="J2919" s="173"/>
      <c r="K2919" s="197"/>
      <c r="L2919" s="197"/>
      <c r="M2919" s="195"/>
      <c r="N2919" s="195"/>
      <c r="O2919" s="195"/>
      <c r="P2919" s="195"/>
      <c r="Q2919" s="195"/>
      <c r="R2919" s="195"/>
    </row>
    <row r="2920" spans="1:18" s="18" customFormat="1" ht="32.25" hidden="1" customHeight="1">
      <c r="A2920" s="82" t="s">
        <v>37</v>
      </c>
      <c r="B2920" s="83">
        <v>795</v>
      </c>
      <c r="C2920" s="84" t="s">
        <v>53</v>
      </c>
      <c r="D2920" s="84" t="s">
        <v>120</v>
      </c>
      <c r="E2920" s="84" t="s">
        <v>181</v>
      </c>
      <c r="F2920" s="84" t="s">
        <v>38</v>
      </c>
      <c r="G2920" s="87"/>
      <c r="H2920" s="87">
        <v>0</v>
      </c>
      <c r="I2920" s="87">
        <v>0</v>
      </c>
      <c r="J2920" s="173"/>
      <c r="K2920" s="197"/>
      <c r="L2920" s="197"/>
      <c r="M2920" s="195"/>
      <c r="N2920" s="195"/>
      <c r="O2920" s="195"/>
      <c r="P2920" s="195"/>
      <c r="Q2920" s="195"/>
      <c r="R2920" s="195"/>
    </row>
    <row r="2921" spans="1:18" ht="18" hidden="1" customHeight="1">
      <c r="A2921" s="82" t="s">
        <v>316</v>
      </c>
      <c r="B2921" s="83">
        <v>795</v>
      </c>
      <c r="C2921" s="84" t="s">
        <v>53</v>
      </c>
      <c r="D2921" s="84" t="s">
        <v>120</v>
      </c>
      <c r="E2921" s="84" t="s">
        <v>181</v>
      </c>
      <c r="F2921" s="84" t="s">
        <v>36</v>
      </c>
      <c r="G2921" s="87">
        <f>G2922</f>
        <v>0</v>
      </c>
      <c r="H2921" s="87">
        <v>0</v>
      </c>
      <c r="I2921" s="87">
        <v>0</v>
      </c>
      <c r="J2921" s="173"/>
      <c r="K2921" s="202"/>
      <c r="L2921" s="202"/>
    </row>
    <row r="2922" spans="1:18" ht="29.25" hidden="1" customHeight="1">
      <c r="A2922" s="82" t="s">
        <v>37</v>
      </c>
      <c r="B2922" s="83">
        <v>795</v>
      </c>
      <c r="C2922" s="84" t="s">
        <v>53</v>
      </c>
      <c r="D2922" s="84" t="s">
        <v>120</v>
      </c>
      <c r="E2922" s="84" t="s">
        <v>181</v>
      </c>
      <c r="F2922" s="84" t="s">
        <v>38</v>
      </c>
      <c r="G2922" s="87"/>
      <c r="H2922" s="87"/>
      <c r="I2922" s="87"/>
      <c r="J2922" s="173"/>
      <c r="K2922" s="202"/>
      <c r="L2922" s="202"/>
    </row>
    <row r="2923" spans="1:18" ht="18" hidden="1" customHeight="1">
      <c r="A2923" s="82" t="s">
        <v>152</v>
      </c>
      <c r="B2923" s="83">
        <v>795</v>
      </c>
      <c r="C2923" s="84" t="s">
        <v>53</v>
      </c>
      <c r="D2923" s="84" t="s">
        <v>120</v>
      </c>
      <c r="E2923" s="84" t="s">
        <v>181</v>
      </c>
      <c r="F2923" s="84" t="s">
        <v>153</v>
      </c>
      <c r="G2923" s="87">
        <f>G2924</f>
        <v>0</v>
      </c>
      <c r="H2923" s="87">
        <v>0</v>
      </c>
      <c r="I2923" s="87">
        <v>0</v>
      </c>
      <c r="J2923" s="173"/>
      <c r="K2923" s="202"/>
      <c r="L2923" s="202"/>
    </row>
    <row r="2924" spans="1:18" ht="15" hidden="1" customHeight="1">
      <c r="A2924" s="82" t="s">
        <v>172</v>
      </c>
      <c r="B2924" s="83">
        <v>795</v>
      </c>
      <c r="C2924" s="84" t="s">
        <v>53</v>
      </c>
      <c r="D2924" s="84" t="s">
        <v>120</v>
      </c>
      <c r="E2924" s="84" t="s">
        <v>181</v>
      </c>
      <c r="F2924" s="84" t="s">
        <v>173</v>
      </c>
      <c r="G2924" s="87"/>
      <c r="H2924" s="87"/>
      <c r="I2924" s="87"/>
      <c r="J2924" s="173"/>
      <c r="K2924" s="202"/>
      <c r="L2924" s="202"/>
    </row>
    <row r="2925" spans="1:18" ht="78" hidden="1" customHeight="1">
      <c r="A2925" s="130" t="s">
        <v>628</v>
      </c>
      <c r="B2925" s="83">
        <v>795</v>
      </c>
      <c r="C2925" s="84" t="s">
        <v>53</v>
      </c>
      <c r="D2925" s="84" t="s">
        <v>120</v>
      </c>
      <c r="E2925" s="84" t="s">
        <v>630</v>
      </c>
      <c r="F2925" s="84"/>
      <c r="G2925" s="87">
        <f>G2926</f>
        <v>0</v>
      </c>
      <c r="H2925" s="87">
        <v>0</v>
      </c>
      <c r="I2925" s="87">
        <v>0</v>
      </c>
      <c r="J2925" s="173"/>
      <c r="K2925" s="202"/>
      <c r="L2925" s="202"/>
    </row>
    <row r="2926" spans="1:18" ht="18" hidden="1" customHeight="1">
      <c r="A2926" s="82" t="s">
        <v>152</v>
      </c>
      <c r="B2926" s="83">
        <v>795</v>
      </c>
      <c r="C2926" s="84" t="s">
        <v>53</v>
      </c>
      <c r="D2926" s="84" t="s">
        <v>120</v>
      </c>
      <c r="E2926" s="84" t="s">
        <v>630</v>
      </c>
      <c r="F2926" s="84" t="s">
        <v>153</v>
      </c>
      <c r="G2926" s="87">
        <f>G2927</f>
        <v>0</v>
      </c>
      <c r="H2926" s="87">
        <v>0</v>
      </c>
      <c r="I2926" s="87">
        <v>0</v>
      </c>
      <c r="J2926" s="173"/>
      <c r="K2926" s="202"/>
      <c r="L2926" s="202"/>
    </row>
    <row r="2927" spans="1:18" ht="27.75" hidden="1" customHeight="1">
      <c r="A2927" s="82" t="s">
        <v>172</v>
      </c>
      <c r="B2927" s="83">
        <v>795</v>
      </c>
      <c r="C2927" s="84" t="s">
        <v>53</v>
      </c>
      <c r="D2927" s="84" t="s">
        <v>120</v>
      </c>
      <c r="E2927" s="84" t="s">
        <v>630</v>
      </c>
      <c r="F2927" s="84" t="s">
        <v>173</v>
      </c>
      <c r="G2927" s="87"/>
      <c r="H2927" s="87">
        <v>0</v>
      </c>
      <c r="I2927" s="87">
        <v>0</v>
      </c>
      <c r="J2927" s="173"/>
      <c r="K2927" s="202"/>
      <c r="L2927" s="202"/>
    </row>
    <row r="2928" spans="1:18" ht="63.75" hidden="1" customHeight="1">
      <c r="A2928" s="82" t="s">
        <v>378</v>
      </c>
      <c r="B2928" s="83">
        <v>795</v>
      </c>
      <c r="C2928" s="84" t="s">
        <v>53</v>
      </c>
      <c r="D2928" s="84" t="s">
        <v>120</v>
      </c>
      <c r="E2928" s="84" t="s">
        <v>102</v>
      </c>
      <c r="F2928" s="84"/>
      <c r="G2928" s="87">
        <f>G2929+G2936+G2946+G2952+G2943</f>
        <v>0</v>
      </c>
      <c r="H2928" s="87">
        <f t="shared" ref="H2928:I2928" si="775">H2929+H2936+H2946</f>
        <v>0</v>
      </c>
      <c r="I2928" s="87">
        <f t="shared" si="775"/>
        <v>0</v>
      </c>
      <c r="J2928" s="173"/>
      <c r="K2928" s="202"/>
      <c r="L2928" s="202"/>
      <c r="M2928" s="204"/>
    </row>
    <row r="2929" spans="1:18" ht="48.75" hidden="1" customHeight="1">
      <c r="A2929" s="82" t="s">
        <v>379</v>
      </c>
      <c r="B2929" s="83">
        <v>795</v>
      </c>
      <c r="C2929" s="84" t="s">
        <v>53</v>
      </c>
      <c r="D2929" s="84" t="s">
        <v>120</v>
      </c>
      <c r="E2929" s="84" t="s">
        <v>103</v>
      </c>
      <c r="F2929" s="84"/>
      <c r="G2929" s="87">
        <f>G2930+G2932+G2934</f>
        <v>0</v>
      </c>
      <c r="H2929" s="87">
        <f t="shared" ref="H2929:I2929" si="776">H2930+H2932+H2934</f>
        <v>0</v>
      </c>
      <c r="I2929" s="87">
        <f t="shared" si="776"/>
        <v>0</v>
      </c>
      <c r="J2929" s="173"/>
      <c r="K2929" s="202"/>
      <c r="L2929" s="202"/>
      <c r="M2929" s="204"/>
    </row>
    <row r="2930" spans="1:18" s="18" customFormat="1" ht="15.75" hidden="1" customHeight="1">
      <c r="A2930" s="82" t="s">
        <v>62</v>
      </c>
      <c r="B2930" s="83">
        <v>795</v>
      </c>
      <c r="C2930" s="84" t="s">
        <v>53</v>
      </c>
      <c r="D2930" s="84" t="s">
        <v>120</v>
      </c>
      <c r="E2930" s="84" t="s">
        <v>103</v>
      </c>
      <c r="F2930" s="84" t="s">
        <v>63</v>
      </c>
      <c r="G2930" s="87">
        <f>G2931</f>
        <v>0</v>
      </c>
      <c r="H2930" s="278">
        <v>0</v>
      </c>
      <c r="I2930" s="278">
        <v>0</v>
      </c>
      <c r="J2930" s="196"/>
      <c r="K2930" s="216"/>
      <c r="L2930" s="197"/>
      <c r="M2930" s="195"/>
      <c r="N2930" s="195"/>
      <c r="O2930" s="195"/>
      <c r="P2930" s="195"/>
      <c r="Q2930" s="195"/>
      <c r="R2930" s="195"/>
    </row>
    <row r="2931" spans="1:18" s="18" customFormat="1" ht="15.75" hidden="1" customHeight="1">
      <c r="A2931" s="82" t="s">
        <v>174</v>
      </c>
      <c r="B2931" s="83">
        <v>795</v>
      </c>
      <c r="C2931" s="84" t="s">
        <v>53</v>
      </c>
      <c r="D2931" s="84" t="s">
        <v>120</v>
      </c>
      <c r="E2931" s="84" t="s">
        <v>103</v>
      </c>
      <c r="F2931" s="84" t="s">
        <v>175</v>
      </c>
      <c r="G2931" s="87">
        <f>5198269.13-268287.5-423091+149078.6-4655969.23</f>
        <v>0</v>
      </c>
      <c r="H2931" s="278">
        <v>0</v>
      </c>
      <c r="I2931" s="278">
        <v>0</v>
      </c>
      <c r="J2931" s="196"/>
      <c r="K2931" s="216"/>
      <c r="L2931" s="197"/>
      <c r="M2931" s="195"/>
      <c r="N2931" s="195"/>
      <c r="O2931" s="195"/>
      <c r="P2931" s="195"/>
      <c r="Q2931" s="195"/>
      <c r="R2931" s="195"/>
    </row>
    <row r="2932" spans="1:18" ht="22.5" hidden="1" customHeight="1">
      <c r="A2932" s="82" t="s">
        <v>152</v>
      </c>
      <c r="B2932" s="83">
        <v>795</v>
      </c>
      <c r="C2932" s="84" t="s">
        <v>53</v>
      </c>
      <c r="D2932" s="84" t="s">
        <v>120</v>
      </c>
      <c r="E2932" s="84" t="s">
        <v>103</v>
      </c>
      <c r="F2932" s="84" t="s">
        <v>153</v>
      </c>
      <c r="G2932" s="87">
        <f>G2933</f>
        <v>0</v>
      </c>
      <c r="H2932" s="87">
        <f>H2933</f>
        <v>0</v>
      </c>
      <c r="I2932" s="87">
        <f>I2933</f>
        <v>0</v>
      </c>
      <c r="J2932" s="173"/>
      <c r="K2932" s="202"/>
      <c r="L2932" s="202"/>
    </row>
    <row r="2933" spans="1:18" ht="16.5" hidden="1" customHeight="1">
      <c r="A2933" s="82" t="s">
        <v>172</v>
      </c>
      <c r="B2933" s="83">
        <v>795</v>
      </c>
      <c r="C2933" s="84" t="s">
        <v>53</v>
      </c>
      <c r="D2933" s="84" t="s">
        <v>120</v>
      </c>
      <c r="E2933" s="84" t="s">
        <v>103</v>
      </c>
      <c r="F2933" s="84" t="s">
        <v>173</v>
      </c>
      <c r="G2933" s="87"/>
      <c r="H2933" s="87"/>
      <c r="I2933" s="87"/>
      <c r="J2933" s="173"/>
      <c r="K2933" s="202"/>
      <c r="L2933" s="202"/>
    </row>
    <row r="2934" spans="1:18" ht="22.5" hidden="1" customHeight="1">
      <c r="A2934" s="82" t="s">
        <v>316</v>
      </c>
      <c r="B2934" s="83">
        <v>795</v>
      </c>
      <c r="C2934" s="84" t="s">
        <v>53</v>
      </c>
      <c r="D2934" s="84" t="s">
        <v>120</v>
      </c>
      <c r="E2934" s="84" t="s">
        <v>103</v>
      </c>
      <c r="F2934" s="84" t="s">
        <v>36</v>
      </c>
      <c r="G2934" s="87">
        <f>G2935</f>
        <v>0</v>
      </c>
      <c r="H2934" s="87">
        <f>H2935</f>
        <v>0</v>
      </c>
      <c r="I2934" s="87">
        <f>I2935</f>
        <v>0</v>
      </c>
      <c r="J2934" s="173"/>
      <c r="K2934" s="202"/>
      <c r="L2934" s="202"/>
    </row>
    <row r="2935" spans="1:18" ht="30.75" hidden="1" customHeight="1">
      <c r="A2935" s="82" t="s">
        <v>37</v>
      </c>
      <c r="B2935" s="83">
        <v>795</v>
      </c>
      <c r="C2935" s="84" t="s">
        <v>53</v>
      </c>
      <c r="D2935" s="84" t="s">
        <v>120</v>
      </c>
      <c r="E2935" s="84" t="s">
        <v>103</v>
      </c>
      <c r="F2935" s="84" t="s">
        <v>38</v>
      </c>
      <c r="G2935" s="87"/>
      <c r="H2935" s="87"/>
      <c r="I2935" s="87"/>
      <c r="J2935" s="173"/>
      <c r="K2935" s="202"/>
      <c r="L2935" s="202"/>
    </row>
    <row r="2936" spans="1:18" s="18" customFormat="1" ht="65.25" hidden="1" customHeight="1">
      <c r="A2936" s="82" t="s">
        <v>499</v>
      </c>
      <c r="B2936" s="83">
        <v>795</v>
      </c>
      <c r="C2936" s="84" t="s">
        <v>53</v>
      </c>
      <c r="D2936" s="84" t="s">
        <v>120</v>
      </c>
      <c r="E2936" s="84" t="s">
        <v>45</v>
      </c>
      <c r="F2936" s="84"/>
      <c r="G2936" s="87">
        <f>G2937+G2941+G2939</f>
        <v>0</v>
      </c>
      <c r="H2936" s="87">
        <v>0</v>
      </c>
      <c r="I2936" s="87">
        <v>0</v>
      </c>
      <c r="J2936" s="173"/>
      <c r="K2936" s="216"/>
      <c r="L2936" s="197"/>
      <c r="M2936" s="195"/>
      <c r="N2936" s="195"/>
      <c r="O2936" s="195"/>
      <c r="P2936" s="195"/>
      <c r="Q2936" s="195"/>
      <c r="R2936" s="195"/>
    </row>
    <row r="2937" spans="1:18" s="18" customFormat="1" ht="32.25" hidden="1" customHeight="1">
      <c r="A2937" s="82" t="s">
        <v>316</v>
      </c>
      <c r="B2937" s="83">
        <v>795</v>
      </c>
      <c r="C2937" s="84" t="s">
        <v>53</v>
      </c>
      <c r="D2937" s="84" t="s">
        <v>120</v>
      </c>
      <c r="E2937" s="84" t="s">
        <v>45</v>
      </c>
      <c r="F2937" s="84" t="s">
        <v>36</v>
      </c>
      <c r="G2937" s="87">
        <f>G2938</f>
        <v>0</v>
      </c>
      <c r="H2937" s="87">
        <v>0</v>
      </c>
      <c r="I2937" s="87">
        <v>0</v>
      </c>
      <c r="J2937" s="173"/>
      <c r="K2937" s="216"/>
      <c r="L2937" s="197"/>
      <c r="M2937" s="195"/>
      <c r="N2937" s="195"/>
      <c r="O2937" s="195"/>
      <c r="P2937" s="195"/>
      <c r="Q2937" s="195"/>
      <c r="R2937" s="195"/>
    </row>
    <row r="2938" spans="1:18" s="18" customFormat="1" ht="15.75" hidden="1" customHeight="1">
      <c r="A2938" s="82" t="s">
        <v>37</v>
      </c>
      <c r="B2938" s="83">
        <v>795</v>
      </c>
      <c r="C2938" s="84" t="s">
        <v>53</v>
      </c>
      <c r="D2938" s="84" t="s">
        <v>120</v>
      </c>
      <c r="E2938" s="84" t="s">
        <v>45</v>
      </c>
      <c r="F2938" s="84" t="s">
        <v>38</v>
      </c>
      <c r="G2938" s="87"/>
      <c r="H2938" s="87">
        <v>0</v>
      </c>
      <c r="I2938" s="87">
        <v>0</v>
      </c>
      <c r="J2938" s="173"/>
      <c r="K2938" s="216"/>
      <c r="L2938" s="197"/>
      <c r="M2938" s="195"/>
      <c r="N2938" s="195"/>
      <c r="O2938" s="195"/>
      <c r="P2938" s="195"/>
      <c r="Q2938" s="195"/>
      <c r="R2938" s="195"/>
    </row>
    <row r="2939" spans="1:18" ht="22.5" hidden="1" customHeight="1">
      <c r="A2939" s="82" t="s">
        <v>316</v>
      </c>
      <c r="B2939" s="83">
        <v>795</v>
      </c>
      <c r="C2939" s="84" t="s">
        <v>53</v>
      </c>
      <c r="D2939" s="84" t="s">
        <v>120</v>
      </c>
      <c r="E2939" s="84" t="s">
        <v>45</v>
      </c>
      <c r="F2939" s="84" t="s">
        <v>36</v>
      </c>
      <c r="G2939" s="87">
        <f>G2940</f>
        <v>0</v>
      </c>
      <c r="H2939" s="87">
        <v>0</v>
      </c>
      <c r="I2939" s="87">
        <v>0</v>
      </c>
      <c r="J2939" s="173"/>
      <c r="K2939" s="202"/>
      <c r="L2939" s="202"/>
    </row>
    <row r="2940" spans="1:18" ht="16.5" hidden="1" customHeight="1">
      <c r="A2940" s="82" t="s">
        <v>37</v>
      </c>
      <c r="B2940" s="83">
        <v>795</v>
      </c>
      <c r="C2940" s="84" t="s">
        <v>53</v>
      </c>
      <c r="D2940" s="84" t="s">
        <v>120</v>
      </c>
      <c r="E2940" s="84" t="s">
        <v>45</v>
      </c>
      <c r="F2940" s="84" t="s">
        <v>38</v>
      </c>
      <c r="G2940" s="87"/>
      <c r="H2940" s="87"/>
      <c r="I2940" s="87"/>
      <c r="J2940" s="173"/>
      <c r="K2940" s="202"/>
      <c r="L2940" s="202"/>
    </row>
    <row r="2941" spans="1:18" ht="22.5" hidden="1" customHeight="1">
      <c r="A2941" s="82" t="s">
        <v>152</v>
      </c>
      <c r="B2941" s="83">
        <v>795</v>
      </c>
      <c r="C2941" s="84" t="s">
        <v>53</v>
      </c>
      <c r="D2941" s="84" t="s">
        <v>120</v>
      </c>
      <c r="E2941" s="84" t="s">
        <v>45</v>
      </c>
      <c r="F2941" s="84" t="s">
        <v>153</v>
      </c>
      <c r="G2941" s="87">
        <f>G2942</f>
        <v>0</v>
      </c>
      <c r="H2941" s="87">
        <v>0</v>
      </c>
      <c r="I2941" s="87">
        <v>0</v>
      </c>
      <c r="J2941" s="173"/>
      <c r="K2941" s="202"/>
      <c r="L2941" s="202"/>
    </row>
    <row r="2942" spans="1:18" ht="16.5" hidden="1" customHeight="1">
      <c r="A2942" s="82" t="s">
        <v>172</v>
      </c>
      <c r="B2942" s="83">
        <v>795</v>
      </c>
      <c r="C2942" s="84" t="s">
        <v>53</v>
      </c>
      <c r="D2942" s="84" t="s">
        <v>120</v>
      </c>
      <c r="E2942" s="84" t="s">
        <v>45</v>
      </c>
      <c r="F2942" s="84" t="s">
        <v>173</v>
      </c>
      <c r="G2942" s="87"/>
      <c r="H2942" s="87"/>
      <c r="I2942" s="87"/>
      <c r="J2942" s="173"/>
      <c r="K2942" s="202"/>
      <c r="L2942" s="202"/>
    </row>
    <row r="2943" spans="1:18" ht="62.25" hidden="1" customHeight="1">
      <c r="A2943" s="82" t="s">
        <v>678</v>
      </c>
      <c r="B2943" s="83">
        <v>795</v>
      </c>
      <c r="C2943" s="84" t="s">
        <v>53</v>
      </c>
      <c r="D2943" s="84" t="s">
        <v>120</v>
      </c>
      <c r="E2943" s="84" t="s">
        <v>677</v>
      </c>
      <c r="F2943" s="84"/>
      <c r="G2943" s="87">
        <f>G2944</f>
        <v>0</v>
      </c>
      <c r="H2943" s="87">
        <f t="shared" ref="H2943:I2943" si="777">H2944+H2946+H2948</f>
        <v>0</v>
      </c>
      <c r="I2943" s="87">
        <f t="shared" si="777"/>
        <v>0</v>
      </c>
      <c r="J2943" s="173"/>
      <c r="K2943" s="202"/>
      <c r="L2943" s="202"/>
      <c r="M2943" s="204"/>
    </row>
    <row r="2944" spans="1:18" s="18" customFormat="1" ht="15.75" hidden="1" customHeight="1">
      <c r="A2944" s="82" t="s">
        <v>316</v>
      </c>
      <c r="B2944" s="83">
        <v>795</v>
      </c>
      <c r="C2944" s="84" t="s">
        <v>53</v>
      </c>
      <c r="D2944" s="84" t="s">
        <v>120</v>
      </c>
      <c r="E2944" s="84" t="s">
        <v>677</v>
      </c>
      <c r="F2944" s="84" t="s">
        <v>36</v>
      </c>
      <c r="G2944" s="87">
        <f>G2945</f>
        <v>0</v>
      </c>
      <c r="H2944" s="278">
        <v>0</v>
      </c>
      <c r="I2944" s="278">
        <v>0</v>
      </c>
      <c r="J2944" s="196"/>
      <c r="K2944" s="216"/>
      <c r="L2944" s="197"/>
      <c r="M2944" s="195"/>
      <c r="N2944" s="195"/>
      <c r="O2944" s="195"/>
      <c r="P2944" s="195"/>
      <c r="Q2944" s="195"/>
      <c r="R2944" s="195"/>
    </row>
    <row r="2945" spans="1:18" s="18" customFormat="1" ht="35.25" hidden="1" customHeight="1">
      <c r="A2945" s="82" t="s">
        <v>37</v>
      </c>
      <c r="B2945" s="83">
        <v>795</v>
      </c>
      <c r="C2945" s="84" t="s">
        <v>53</v>
      </c>
      <c r="D2945" s="84" t="s">
        <v>120</v>
      </c>
      <c r="E2945" s="84" t="s">
        <v>677</v>
      </c>
      <c r="F2945" s="84" t="s">
        <v>38</v>
      </c>
      <c r="G2945" s="87"/>
      <c r="H2945" s="278"/>
      <c r="I2945" s="278"/>
      <c r="J2945" s="196"/>
      <c r="K2945" s="216"/>
      <c r="L2945" s="197"/>
      <c r="M2945" s="195"/>
      <c r="N2945" s="195"/>
      <c r="O2945" s="195"/>
      <c r="P2945" s="195"/>
      <c r="Q2945" s="195"/>
      <c r="R2945" s="195"/>
    </row>
    <row r="2946" spans="1:18" ht="68.25" hidden="1" customHeight="1">
      <c r="A2946" s="82" t="s">
        <v>409</v>
      </c>
      <c r="B2946" s="83">
        <v>795</v>
      </c>
      <c r="C2946" s="84" t="s">
        <v>53</v>
      </c>
      <c r="D2946" s="84" t="s">
        <v>120</v>
      </c>
      <c r="E2946" s="84" t="s">
        <v>9</v>
      </c>
      <c r="F2946" s="84"/>
      <c r="G2946" s="87">
        <f>G2947</f>
        <v>0</v>
      </c>
      <c r="H2946" s="87">
        <v>0</v>
      </c>
      <c r="I2946" s="87">
        <v>0</v>
      </c>
      <c r="J2946" s="173"/>
      <c r="K2946" s="202"/>
      <c r="L2946" s="202"/>
    </row>
    <row r="2947" spans="1:18" ht="22.5" hidden="1" customHeight="1">
      <c r="A2947" s="82" t="s">
        <v>152</v>
      </c>
      <c r="B2947" s="83">
        <v>795</v>
      </c>
      <c r="C2947" s="84" t="s">
        <v>53</v>
      </c>
      <c r="D2947" s="84" t="s">
        <v>120</v>
      </c>
      <c r="E2947" s="84" t="s">
        <v>9</v>
      </c>
      <c r="F2947" s="84" t="s">
        <v>153</v>
      </c>
      <c r="G2947" s="87">
        <f>G2948</f>
        <v>0</v>
      </c>
      <c r="H2947" s="87">
        <v>0</v>
      </c>
      <c r="I2947" s="87">
        <v>0</v>
      </c>
      <c r="J2947" s="173"/>
      <c r="K2947" s="202"/>
      <c r="L2947" s="202"/>
    </row>
    <row r="2948" spans="1:18" ht="16.5" hidden="1" customHeight="1">
      <c r="A2948" s="82" t="s">
        <v>172</v>
      </c>
      <c r="B2948" s="83">
        <v>795</v>
      </c>
      <c r="C2948" s="84" t="s">
        <v>53</v>
      </c>
      <c r="D2948" s="84" t="s">
        <v>120</v>
      </c>
      <c r="E2948" s="84" t="s">
        <v>9</v>
      </c>
      <c r="F2948" s="84" t="s">
        <v>173</v>
      </c>
      <c r="G2948" s="87"/>
      <c r="H2948" s="87"/>
      <c r="I2948" s="87"/>
      <c r="J2948" s="173"/>
      <c r="K2948" s="202"/>
      <c r="L2948" s="202"/>
    </row>
    <row r="2949" spans="1:18" ht="63" hidden="1" customHeight="1">
      <c r="A2949" s="82" t="s">
        <v>629</v>
      </c>
      <c r="B2949" s="83">
        <v>795</v>
      </c>
      <c r="C2949" s="84" t="s">
        <v>53</v>
      </c>
      <c r="D2949" s="84" t="s">
        <v>120</v>
      </c>
      <c r="E2949" s="84" t="s">
        <v>293</v>
      </c>
      <c r="F2949" s="84"/>
      <c r="G2949" s="87">
        <f>G2950</f>
        <v>0</v>
      </c>
      <c r="H2949" s="87"/>
      <c r="I2949" s="87"/>
      <c r="J2949" s="173"/>
      <c r="K2949" s="202"/>
      <c r="L2949" s="202"/>
    </row>
    <row r="2950" spans="1:18" ht="16.5" hidden="1" customHeight="1">
      <c r="A2950" s="82" t="s">
        <v>316</v>
      </c>
      <c r="B2950" s="83">
        <v>795</v>
      </c>
      <c r="C2950" s="84" t="s">
        <v>53</v>
      </c>
      <c r="D2950" s="84" t="s">
        <v>120</v>
      </c>
      <c r="E2950" s="84" t="s">
        <v>293</v>
      </c>
      <c r="F2950" s="84" t="s">
        <v>36</v>
      </c>
      <c r="G2950" s="87">
        <f>G2951</f>
        <v>0</v>
      </c>
      <c r="H2950" s="87"/>
      <c r="I2950" s="87"/>
      <c r="J2950" s="173"/>
      <c r="K2950" s="202"/>
      <c r="L2950" s="202"/>
    </row>
    <row r="2951" spans="1:18" ht="28.5" hidden="1" customHeight="1">
      <c r="A2951" s="82" t="s">
        <v>37</v>
      </c>
      <c r="B2951" s="83">
        <v>795</v>
      </c>
      <c r="C2951" s="84" t="s">
        <v>53</v>
      </c>
      <c r="D2951" s="84" t="s">
        <v>120</v>
      </c>
      <c r="E2951" s="84" t="s">
        <v>293</v>
      </c>
      <c r="F2951" s="84" t="s">
        <v>38</v>
      </c>
      <c r="G2951" s="87"/>
      <c r="H2951" s="87"/>
      <c r="I2951" s="87"/>
      <c r="J2951" s="173"/>
      <c r="K2951" s="202"/>
      <c r="L2951" s="202"/>
    </row>
    <row r="2952" spans="1:18" s="18" customFormat="1" ht="76.5" hidden="1" customHeight="1">
      <c r="A2952" s="130" t="s">
        <v>639</v>
      </c>
      <c r="B2952" s="83">
        <v>795</v>
      </c>
      <c r="C2952" s="84" t="s">
        <v>53</v>
      </c>
      <c r="D2952" s="84" t="s">
        <v>120</v>
      </c>
      <c r="E2952" s="84" t="s">
        <v>668</v>
      </c>
      <c r="F2952" s="84"/>
      <c r="G2952" s="87">
        <f t="shared" ref="G2952:I2953" si="778">G2953</f>
        <v>0</v>
      </c>
      <c r="H2952" s="87">
        <f t="shared" si="778"/>
        <v>0</v>
      </c>
      <c r="I2952" s="87">
        <f t="shared" si="778"/>
        <v>0</v>
      </c>
      <c r="J2952" s="173"/>
      <c r="K2952" s="197"/>
      <c r="L2952" s="197"/>
      <c r="M2952" s="195"/>
      <c r="N2952" s="195"/>
      <c r="O2952" s="195"/>
      <c r="P2952" s="195"/>
      <c r="Q2952" s="195"/>
      <c r="R2952" s="195"/>
    </row>
    <row r="2953" spans="1:18" s="18" customFormat="1" ht="15" hidden="1" customHeight="1">
      <c r="A2953" s="82" t="s">
        <v>316</v>
      </c>
      <c r="B2953" s="83">
        <v>795</v>
      </c>
      <c r="C2953" s="84" t="s">
        <v>53</v>
      </c>
      <c r="D2953" s="84" t="s">
        <v>120</v>
      </c>
      <c r="E2953" s="84" t="s">
        <v>668</v>
      </c>
      <c r="F2953" s="84" t="s">
        <v>36</v>
      </c>
      <c r="G2953" s="87">
        <f t="shared" si="778"/>
        <v>0</v>
      </c>
      <c r="H2953" s="87">
        <f t="shared" si="778"/>
        <v>0</v>
      </c>
      <c r="I2953" s="87">
        <f t="shared" si="778"/>
        <v>0</v>
      </c>
      <c r="J2953" s="173"/>
      <c r="K2953" s="197"/>
      <c r="L2953" s="197"/>
      <c r="M2953" s="195"/>
      <c r="N2953" s="195"/>
      <c r="O2953" s="195"/>
      <c r="P2953" s="195"/>
      <c r="Q2953" s="195"/>
      <c r="R2953" s="195"/>
    </row>
    <row r="2954" spans="1:18" s="18" customFormat="1" ht="32.25" hidden="1" customHeight="1">
      <c r="A2954" s="82" t="s">
        <v>37</v>
      </c>
      <c r="B2954" s="83">
        <v>795</v>
      </c>
      <c r="C2954" s="84" t="s">
        <v>53</v>
      </c>
      <c r="D2954" s="84" t="s">
        <v>120</v>
      </c>
      <c r="E2954" s="84" t="s">
        <v>668</v>
      </c>
      <c r="F2954" s="84" t="s">
        <v>38</v>
      </c>
      <c r="G2954" s="87">
        <f>600000-600000</f>
        <v>0</v>
      </c>
      <c r="H2954" s="87">
        <v>0</v>
      </c>
      <c r="I2954" s="87">
        <v>0</v>
      </c>
      <c r="J2954" s="173"/>
      <c r="K2954" s="197"/>
      <c r="L2954" s="197"/>
      <c r="M2954" s="195"/>
      <c r="N2954" s="195"/>
      <c r="O2954" s="195"/>
      <c r="P2954" s="195"/>
      <c r="Q2954" s="195"/>
      <c r="R2954" s="195"/>
    </row>
    <row r="2955" spans="1:18" ht="87" hidden="1" customHeight="1">
      <c r="A2955" s="82" t="s">
        <v>644</v>
      </c>
      <c r="B2955" s="83">
        <v>795</v>
      </c>
      <c r="C2955" s="84" t="s">
        <v>53</v>
      </c>
      <c r="D2955" s="84" t="s">
        <v>120</v>
      </c>
      <c r="E2955" s="84" t="s">
        <v>10</v>
      </c>
      <c r="F2955" s="84"/>
      <c r="G2955" s="87">
        <f>G2956+G2959+G2962</f>
        <v>0</v>
      </c>
      <c r="H2955" s="87">
        <f>H2956+H2959+H2962</f>
        <v>0</v>
      </c>
      <c r="I2955" s="87">
        <f t="shared" ref="I2955" si="779">I2956+I2959+I2962</f>
        <v>0</v>
      </c>
      <c r="J2955" s="173"/>
      <c r="K2955" s="202"/>
      <c r="L2955" s="202"/>
    </row>
    <row r="2956" spans="1:18" ht="91.5" hidden="1" customHeight="1">
      <c r="A2956" s="82" t="s">
        <v>594</v>
      </c>
      <c r="B2956" s="83">
        <v>795</v>
      </c>
      <c r="C2956" s="84" t="s">
        <v>53</v>
      </c>
      <c r="D2956" s="84" t="s">
        <v>120</v>
      </c>
      <c r="E2956" s="84" t="s">
        <v>593</v>
      </c>
      <c r="F2956" s="84"/>
      <c r="G2956" s="87">
        <f>G2957</f>
        <v>0</v>
      </c>
      <c r="H2956" s="87">
        <v>0</v>
      </c>
      <c r="I2956" s="87">
        <v>0</v>
      </c>
      <c r="J2956" s="173"/>
      <c r="K2956" s="202"/>
      <c r="L2956" s="202"/>
    </row>
    <row r="2957" spans="1:18" ht="22.5" hidden="1" customHeight="1">
      <c r="A2957" s="82" t="s">
        <v>152</v>
      </c>
      <c r="B2957" s="83">
        <v>795</v>
      </c>
      <c r="C2957" s="84" t="s">
        <v>53</v>
      </c>
      <c r="D2957" s="84" t="s">
        <v>120</v>
      </c>
      <c r="E2957" s="84" t="s">
        <v>593</v>
      </c>
      <c r="F2957" s="84" t="s">
        <v>153</v>
      </c>
      <c r="G2957" s="87">
        <f>G2958</f>
        <v>0</v>
      </c>
      <c r="H2957" s="87">
        <v>0</v>
      </c>
      <c r="I2957" s="87">
        <v>0</v>
      </c>
      <c r="J2957" s="173"/>
      <c r="K2957" s="202"/>
      <c r="L2957" s="202"/>
    </row>
    <row r="2958" spans="1:18" ht="16.5" hidden="1" customHeight="1">
      <c r="A2958" s="82" t="s">
        <v>164</v>
      </c>
      <c r="B2958" s="83">
        <v>795</v>
      </c>
      <c r="C2958" s="84" t="s">
        <v>53</v>
      </c>
      <c r="D2958" s="84" t="s">
        <v>120</v>
      </c>
      <c r="E2958" s="84" t="s">
        <v>593</v>
      </c>
      <c r="F2958" s="84" t="s">
        <v>165</v>
      </c>
      <c r="G2958" s="87"/>
      <c r="H2958" s="87">
        <v>0</v>
      </c>
      <c r="I2958" s="87">
        <v>0</v>
      </c>
      <c r="J2958" s="173"/>
      <c r="K2958" s="202"/>
      <c r="L2958" s="202"/>
    </row>
    <row r="2959" spans="1:18" ht="48" hidden="1" customHeight="1">
      <c r="A2959" s="82" t="s">
        <v>578</v>
      </c>
      <c r="B2959" s="83">
        <v>795</v>
      </c>
      <c r="C2959" s="84" t="s">
        <v>53</v>
      </c>
      <c r="D2959" s="84" t="s">
        <v>120</v>
      </c>
      <c r="E2959" s="84" t="s">
        <v>393</v>
      </c>
      <c r="F2959" s="84"/>
      <c r="G2959" s="87">
        <f>G2960</f>
        <v>0</v>
      </c>
      <c r="H2959" s="87">
        <v>0</v>
      </c>
      <c r="I2959" s="87">
        <v>0</v>
      </c>
      <c r="J2959" s="173"/>
      <c r="K2959" s="202"/>
      <c r="L2959" s="202"/>
    </row>
    <row r="2960" spans="1:18" ht="22.5" hidden="1" customHeight="1">
      <c r="A2960" s="82" t="s">
        <v>152</v>
      </c>
      <c r="B2960" s="83">
        <v>795</v>
      </c>
      <c r="C2960" s="84" t="s">
        <v>53</v>
      </c>
      <c r="D2960" s="84" t="s">
        <v>120</v>
      </c>
      <c r="E2960" s="84" t="s">
        <v>393</v>
      </c>
      <c r="F2960" s="84" t="s">
        <v>153</v>
      </c>
      <c r="G2960" s="87">
        <f>G2961</f>
        <v>0</v>
      </c>
      <c r="H2960" s="87">
        <v>0</v>
      </c>
      <c r="I2960" s="87">
        <v>0</v>
      </c>
      <c r="J2960" s="173"/>
      <c r="K2960" s="202"/>
      <c r="L2960" s="202"/>
    </row>
    <row r="2961" spans="1:18" ht="16.5" hidden="1" customHeight="1">
      <c r="A2961" s="82" t="s">
        <v>164</v>
      </c>
      <c r="B2961" s="83">
        <v>795</v>
      </c>
      <c r="C2961" s="84" t="s">
        <v>53</v>
      </c>
      <c r="D2961" s="84" t="s">
        <v>120</v>
      </c>
      <c r="E2961" s="84" t="s">
        <v>393</v>
      </c>
      <c r="F2961" s="84" t="s">
        <v>165</v>
      </c>
      <c r="G2961" s="87"/>
      <c r="H2961" s="87">
        <v>0</v>
      </c>
      <c r="I2961" s="87">
        <v>0</v>
      </c>
      <c r="J2961" s="173"/>
      <c r="K2961" s="202"/>
      <c r="L2961" s="202"/>
    </row>
    <row r="2962" spans="1:18" s="18" customFormat="1" ht="122.25" hidden="1" customHeight="1">
      <c r="A2962" s="139" t="s">
        <v>645</v>
      </c>
      <c r="B2962" s="83">
        <v>795</v>
      </c>
      <c r="C2962" s="84" t="s">
        <v>53</v>
      </c>
      <c r="D2962" s="84" t="s">
        <v>120</v>
      </c>
      <c r="E2962" s="84" t="s">
        <v>595</v>
      </c>
      <c r="F2962" s="84"/>
      <c r="G2962" s="87">
        <f>G2963+G2965</f>
        <v>0</v>
      </c>
      <c r="H2962" s="87">
        <f t="shared" ref="H2962:I2962" si="780">H2963+H2965</f>
        <v>0</v>
      </c>
      <c r="I2962" s="87">
        <f t="shared" si="780"/>
        <v>0</v>
      </c>
      <c r="J2962" s="173"/>
      <c r="K2962" s="197"/>
      <c r="L2962" s="197"/>
      <c r="M2962" s="195"/>
      <c r="N2962" s="195"/>
      <c r="O2962" s="195"/>
      <c r="P2962" s="195"/>
      <c r="Q2962" s="195"/>
      <c r="R2962" s="195"/>
    </row>
    <row r="2963" spans="1:18" s="18" customFormat="1" ht="24.75" hidden="1" customHeight="1">
      <c r="A2963" s="82" t="s">
        <v>316</v>
      </c>
      <c r="B2963" s="83">
        <v>795</v>
      </c>
      <c r="C2963" s="84" t="s">
        <v>53</v>
      </c>
      <c r="D2963" s="84" t="s">
        <v>120</v>
      </c>
      <c r="E2963" s="84" t="s">
        <v>595</v>
      </c>
      <c r="F2963" s="84" t="s">
        <v>36</v>
      </c>
      <c r="G2963" s="87">
        <f t="shared" ref="G2963:I2963" si="781">G2964</f>
        <v>0</v>
      </c>
      <c r="H2963" s="87">
        <f t="shared" si="781"/>
        <v>0</v>
      </c>
      <c r="I2963" s="87">
        <f t="shared" si="781"/>
        <v>0</v>
      </c>
      <c r="J2963" s="173"/>
      <c r="K2963" s="197"/>
      <c r="L2963" s="197"/>
      <c r="M2963" s="195"/>
      <c r="N2963" s="195"/>
      <c r="O2963" s="195"/>
      <c r="P2963" s="195"/>
      <c r="Q2963" s="195"/>
      <c r="R2963" s="195"/>
    </row>
    <row r="2964" spans="1:18" s="18" customFormat="1" ht="30.75" hidden="1" customHeight="1">
      <c r="A2964" s="82" t="s">
        <v>37</v>
      </c>
      <c r="B2964" s="83">
        <v>795</v>
      </c>
      <c r="C2964" s="84" t="s">
        <v>53</v>
      </c>
      <c r="D2964" s="84" t="s">
        <v>120</v>
      </c>
      <c r="E2964" s="84" t="s">
        <v>595</v>
      </c>
      <c r="F2964" s="84" t="s">
        <v>38</v>
      </c>
      <c r="G2964" s="87">
        <f>5365800-50+268287.5-5634037.5</f>
        <v>0</v>
      </c>
      <c r="H2964" s="87"/>
      <c r="I2964" s="87"/>
      <c r="J2964" s="173"/>
      <c r="K2964" s="197"/>
      <c r="L2964" s="197"/>
      <c r="M2964" s="195"/>
      <c r="N2964" s="195"/>
      <c r="O2964" s="195"/>
      <c r="P2964" s="195"/>
      <c r="Q2964" s="195"/>
      <c r="R2964" s="195"/>
    </row>
    <row r="2965" spans="1:18" s="90" customFormat="1" ht="22.5" hidden="1" customHeight="1">
      <c r="A2965" s="82" t="s">
        <v>152</v>
      </c>
      <c r="B2965" s="83">
        <v>795</v>
      </c>
      <c r="C2965" s="84" t="s">
        <v>53</v>
      </c>
      <c r="D2965" s="84" t="s">
        <v>120</v>
      </c>
      <c r="E2965" s="84" t="s">
        <v>595</v>
      </c>
      <c r="F2965" s="84" t="s">
        <v>153</v>
      </c>
      <c r="G2965" s="87">
        <f>G2966</f>
        <v>0</v>
      </c>
      <c r="H2965" s="87">
        <f t="shared" ref="H2965:I2965" si="782">H2966</f>
        <v>0</v>
      </c>
      <c r="I2965" s="87">
        <f t="shared" si="782"/>
        <v>0</v>
      </c>
      <c r="J2965" s="173"/>
      <c r="K2965" s="202"/>
      <c r="L2965" s="202"/>
      <c r="M2965" s="181"/>
      <c r="N2965" s="181"/>
      <c r="O2965" s="181"/>
      <c r="P2965" s="181"/>
      <c r="Q2965" s="181"/>
      <c r="R2965" s="181"/>
    </row>
    <row r="2966" spans="1:18" s="90" customFormat="1" ht="16.5" hidden="1" customHeight="1">
      <c r="A2966" s="82" t="s">
        <v>172</v>
      </c>
      <c r="B2966" s="83">
        <v>795</v>
      </c>
      <c r="C2966" s="84" t="s">
        <v>53</v>
      </c>
      <c r="D2966" s="84" t="s">
        <v>120</v>
      </c>
      <c r="E2966" s="84" t="s">
        <v>595</v>
      </c>
      <c r="F2966" s="84" t="s">
        <v>173</v>
      </c>
      <c r="G2966" s="87"/>
      <c r="H2966" s="124"/>
      <c r="I2966" s="124"/>
      <c r="J2966" s="193"/>
      <c r="K2966" s="202"/>
      <c r="L2966" s="202"/>
      <c r="M2966" s="181"/>
      <c r="N2966" s="181"/>
      <c r="O2966" s="181"/>
      <c r="P2966" s="181"/>
      <c r="Q2966" s="181"/>
      <c r="R2966" s="181"/>
    </row>
    <row r="2967" spans="1:18" s="18" customFormat="1" ht="32.25" hidden="1" customHeight="1">
      <c r="A2967" s="82" t="s">
        <v>491</v>
      </c>
      <c r="B2967" s="83">
        <v>795</v>
      </c>
      <c r="C2967" s="84" t="s">
        <v>53</v>
      </c>
      <c r="D2967" s="84" t="s">
        <v>120</v>
      </c>
      <c r="E2967" s="84" t="s">
        <v>196</v>
      </c>
      <c r="F2967" s="84"/>
      <c r="G2967" s="87">
        <f t="shared" ref="G2967:I2972" si="783">G2968</f>
        <v>0</v>
      </c>
      <c r="H2967" s="87">
        <f t="shared" si="783"/>
        <v>0</v>
      </c>
      <c r="I2967" s="87">
        <f>I2968+I2971</f>
        <v>0</v>
      </c>
      <c r="J2967" s="173"/>
      <c r="K2967" s="197"/>
      <c r="L2967" s="197"/>
      <c r="M2967" s="195"/>
      <c r="N2967" s="195"/>
      <c r="O2967" s="195"/>
      <c r="P2967" s="195"/>
      <c r="Q2967" s="195"/>
      <c r="R2967" s="195"/>
    </row>
    <row r="2968" spans="1:18" s="18" customFormat="1" ht="56.25" hidden="1" customHeight="1">
      <c r="A2968" s="82" t="s">
        <v>756</v>
      </c>
      <c r="B2968" s="83">
        <v>795</v>
      </c>
      <c r="C2968" s="84" t="s">
        <v>53</v>
      </c>
      <c r="D2968" s="84" t="s">
        <v>120</v>
      </c>
      <c r="E2968" s="84" t="s">
        <v>405</v>
      </c>
      <c r="F2968" s="84"/>
      <c r="G2968" s="87">
        <f t="shared" si="783"/>
        <v>0</v>
      </c>
      <c r="H2968" s="87">
        <f t="shared" si="783"/>
        <v>0</v>
      </c>
      <c r="I2968" s="87">
        <f t="shared" si="783"/>
        <v>0</v>
      </c>
      <c r="J2968" s="173"/>
      <c r="K2968" s="197"/>
      <c r="L2968" s="197"/>
      <c r="M2968" s="195"/>
      <c r="N2968" s="195"/>
      <c r="O2968" s="195"/>
      <c r="P2968" s="195"/>
      <c r="Q2968" s="195"/>
      <c r="R2968" s="195"/>
    </row>
    <row r="2969" spans="1:18" s="18" customFormat="1" ht="39" hidden="1" customHeight="1">
      <c r="A2969" s="82" t="s">
        <v>94</v>
      </c>
      <c r="B2969" s="83">
        <v>795</v>
      </c>
      <c r="C2969" s="84" t="s">
        <v>53</v>
      </c>
      <c r="D2969" s="84" t="s">
        <v>120</v>
      </c>
      <c r="E2969" s="84" t="s">
        <v>405</v>
      </c>
      <c r="F2969" s="84" t="s">
        <v>338</v>
      </c>
      <c r="G2969" s="87">
        <f t="shared" si="783"/>
        <v>0</v>
      </c>
      <c r="H2969" s="87">
        <f t="shared" si="783"/>
        <v>0</v>
      </c>
      <c r="I2969" s="87">
        <f t="shared" si="783"/>
        <v>0</v>
      </c>
      <c r="J2969" s="173"/>
      <c r="K2969" s="197"/>
      <c r="L2969" s="197"/>
      <c r="M2969" s="195"/>
      <c r="N2969" s="195"/>
      <c r="O2969" s="195"/>
      <c r="P2969" s="195"/>
      <c r="Q2969" s="195"/>
      <c r="R2969" s="195"/>
    </row>
    <row r="2970" spans="1:18" s="18" customFormat="1" ht="15.75" hidden="1" customHeight="1">
      <c r="A2970" s="82" t="s">
        <v>339</v>
      </c>
      <c r="B2970" s="83">
        <v>795</v>
      </c>
      <c r="C2970" s="84" t="s">
        <v>53</v>
      </c>
      <c r="D2970" s="84" t="s">
        <v>120</v>
      </c>
      <c r="E2970" s="84" t="s">
        <v>405</v>
      </c>
      <c r="F2970" s="84" t="s">
        <v>340</v>
      </c>
      <c r="G2970" s="87"/>
      <c r="H2970" s="87"/>
      <c r="I2970" s="87"/>
      <c r="J2970" s="173"/>
      <c r="K2970" s="197"/>
      <c r="L2970" s="197"/>
      <c r="M2970" s="195"/>
      <c r="N2970" s="195"/>
      <c r="O2970" s="195"/>
      <c r="P2970" s="195"/>
      <c r="Q2970" s="195"/>
      <c r="R2970" s="195"/>
    </row>
    <row r="2971" spans="1:18" s="18" customFormat="1" ht="70.5" hidden="1" customHeight="1">
      <c r="A2971" s="82" t="s">
        <v>567</v>
      </c>
      <c r="B2971" s="83">
        <v>795</v>
      </c>
      <c r="C2971" s="84" t="s">
        <v>53</v>
      </c>
      <c r="D2971" s="84" t="s">
        <v>120</v>
      </c>
      <c r="E2971" s="84" t="s">
        <v>566</v>
      </c>
      <c r="F2971" s="84"/>
      <c r="G2971" s="87">
        <f t="shared" si="783"/>
        <v>0</v>
      </c>
      <c r="H2971" s="87">
        <f t="shared" si="783"/>
        <v>0</v>
      </c>
      <c r="I2971" s="87">
        <f t="shared" si="783"/>
        <v>0</v>
      </c>
      <c r="J2971" s="173"/>
      <c r="K2971" s="197"/>
      <c r="L2971" s="197"/>
      <c r="M2971" s="195"/>
      <c r="N2971" s="195"/>
      <c r="O2971" s="195"/>
      <c r="P2971" s="195"/>
      <c r="Q2971" s="195"/>
      <c r="R2971" s="195"/>
    </row>
    <row r="2972" spans="1:18" s="18" customFormat="1" ht="39" hidden="1" customHeight="1">
      <c r="A2972" s="82" t="s">
        <v>94</v>
      </c>
      <c r="B2972" s="83">
        <v>795</v>
      </c>
      <c r="C2972" s="84" t="s">
        <v>53</v>
      </c>
      <c r="D2972" s="84" t="s">
        <v>120</v>
      </c>
      <c r="E2972" s="84" t="s">
        <v>566</v>
      </c>
      <c r="F2972" s="84" t="s">
        <v>338</v>
      </c>
      <c r="G2972" s="87">
        <f t="shared" si="783"/>
        <v>0</v>
      </c>
      <c r="H2972" s="87">
        <f t="shared" si="783"/>
        <v>0</v>
      </c>
      <c r="I2972" s="87">
        <f t="shared" si="783"/>
        <v>0</v>
      </c>
      <c r="J2972" s="173"/>
      <c r="K2972" s="197"/>
      <c r="L2972" s="197"/>
      <c r="M2972" s="195"/>
      <c r="N2972" s="195"/>
      <c r="O2972" s="195"/>
      <c r="P2972" s="195"/>
      <c r="Q2972" s="195"/>
      <c r="R2972" s="195"/>
    </row>
    <row r="2973" spans="1:18" s="18" customFormat="1" ht="15.75" hidden="1" customHeight="1">
      <c r="A2973" s="82" t="s">
        <v>339</v>
      </c>
      <c r="B2973" s="83">
        <v>795</v>
      </c>
      <c r="C2973" s="84" t="s">
        <v>53</v>
      </c>
      <c r="D2973" s="84" t="s">
        <v>120</v>
      </c>
      <c r="E2973" s="84" t="s">
        <v>566</v>
      </c>
      <c r="F2973" s="84" t="s">
        <v>340</v>
      </c>
      <c r="G2973" s="87"/>
      <c r="H2973" s="87"/>
      <c r="I2973" s="87"/>
      <c r="J2973" s="173"/>
      <c r="K2973" s="197"/>
      <c r="L2973" s="197"/>
      <c r="M2973" s="195"/>
      <c r="N2973" s="195"/>
      <c r="O2973" s="195"/>
      <c r="P2973" s="195"/>
      <c r="Q2973" s="195"/>
      <c r="R2973" s="195"/>
    </row>
    <row r="2974" spans="1:18" ht="26.4" hidden="1">
      <c r="A2974" s="136" t="s">
        <v>163</v>
      </c>
      <c r="B2974" s="145">
        <v>793</v>
      </c>
      <c r="C2974" s="84" t="s">
        <v>53</v>
      </c>
      <c r="D2974" s="84" t="s">
        <v>120</v>
      </c>
      <c r="E2974" s="84" t="s">
        <v>228</v>
      </c>
      <c r="F2974" s="145"/>
      <c r="G2974" s="87">
        <f>G2975</f>
        <v>0</v>
      </c>
      <c r="H2974" s="87">
        <f t="shared" ref="H2974:I2974" si="784">H2975</f>
        <v>0</v>
      </c>
      <c r="I2974" s="87">
        <f t="shared" si="784"/>
        <v>0</v>
      </c>
      <c r="J2974" s="173"/>
      <c r="K2974" s="203"/>
      <c r="L2974" s="202"/>
    </row>
    <row r="2975" spans="1:18" hidden="1">
      <c r="A2975" s="82" t="s">
        <v>316</v>
      </c>
      <c r="B2975" s="145">
        <v>793</v>
      </c>
      <c r="C2975" s="84" t="s">
        <v>53</v>
      </c>
      <c r="D2975" s="84" t="s">
        <v>120</v>
      </c>
      <c r="E2975" s="84" t="s">
        <v>270</v>
      </c>
      <c r="F2975" s="84" t="s">
        <v>36</v>
      </c>
      <c r="G2975" s="87">
        <f>G2976</f>
        <v>0</v>
      </c>
      <c r="H2975" s="87">
        <f>H2976</f>
        <v>0</v>
      </c>
      <c r="I2975" s="87">
        <f>I2976</f>
        <v>0</v>
      </c>
      <c r="J2975" s="173"/>
      <c r="K2975" s="203"/>
      <c r="L2975" s="202"/>
    </row>
    <row r="2976" spans="1:18" ht="35.25" hidden="1" customHeight="1">
      <c r="A2976" s="82" t="s">
        <v>37</v>
      </c>
      <c r="B2976" s="145">
        <v>793</v>
      </c>
      <c r="C2976" s="84" t="s">
        <v>53</v>
      </c>
      <c r="D2976" s="84" t="s">
        <v>120</v>
      </c>
      <c r="E2976" s="84" t="s">
        <v>270</v>
      </c>
      <c r="F2976" s="84" t="s">
        <v>38</v>
      </c>
      <c r="G2976" s="87"/>
      <c r="H2976" s="87"/>
      <c r="I2976" s="87"/>
      <c r="J2976" s="173"/>
      <c r="K2976" s="203"/>
      <c r="L2976" s="202"/>
    </row>
    <row r="2977" spans="1:18" s="28" customFormat="1" ht="24.75" hidden="1" customHeight="1">
      <c r="A2977" s="136" t="s">
        <v>163</v>
      </c>
      <c r="B2977" s="145">
        <v>793</v>
      </c>
      <c r="C2977" s="84" t="s">
        <v>53</v>
      </c>
      <c r="D2977" s="84" t="s">
        <v>120</v>
      </c>
      <c r="E2977" s="84" t="s">
        <v>228</v>
      </c>
      <c r="F2977" s="164"/>
      <c r="G2977" s="87">
        <f t="shared" ref="G2977:I2977" si="785">G2978</f>
        <v>0</v>
      </c>
      <c r="H2977" s="87">
        <f t="shared" si="785"/>
        <v>0</v>
      </c>
      <c r="I2977" s="87">
        <f t="shared" si="785"/>
        <v>0</v>
      </c>
      <c r="J2977" s="173"/>
      <c r="K2977" s="210"/>
      <c r="L2977" s="210"/>
      <c r="M2977" s="199"/>
      <c r="N2977" s="199"/>
      <c r="O2977" s="199"/>
      <c r="P2977" s="199"/>
      <c r="Q2977" s="199"/>
      <c r="R2977" s="199"/>
    </row>
    <row r="2978" spans="1:18" ht="26.4" hidden="1">
      <c r="A2978" s="136" t="s">
        <v>163</v>
      </c>
      <c r="B2978" s="83">
        <v>795</v>
      </c>
      <c r="C2978" s="84" t="s">
        <v>53</v>
      </c>
      <c r="D2978" s="84" t="s">
        <v>120</v>
      </c>
      <c r="E2978" s="84" t="s">
        <v>270</v>
      </c>
      <c r="F2978" s="84"/>
      <c r="G2978" s="87">
        <f>G2979+G2981</f>
        <v>0</v>
      </c>
      <c r="H2978" s="87">
        <f>H2979+H2981</f>
        <v>0</v>
      </c>
      <c r="I2978" s="87">
        <f>I2979+I2981</f>
        <v>0</v>
      </c>
      <c r="J2978" s="173"/>
      <c r="K2978" s="202"/>
      <c r="L2978" s="202"/>
    </row>
    <row r="2979" spans="1:18" hidden="1">
      <c r="A2979" s="82"/>
      <c r="B2979" s="83"/>
      <c r="C2979" s="84" t="s">
        <v>53</v>
      </c>
      <c r="D2979" s="84" t="s">
        <v>120</v>
      </c>
      <c r="E2979" s="84" t="s">
        <v>270</v>
      </c>
      <c r="F2979" s="84"/>
      <c r="G2979" s="87"/>
      <c r="H2979" s="87"/>
      <c r="I2979" s="87"/>
      <c r="J2979" s="173"/>
      <c r="K2979" s="202"/>
      <c r="L2979" s="202"/>
    </row>
    <row r="2980" spans="1:18" ht="30.75" hidden="1" customHeight="1">
      <c r="A2980" s="82"/>
      <c r="B2980" s="83"/>
      <c r="C2980" s="84" t="s">
        <v>53</v>
      </c>
      <c r="D2980" s="84" t="s">
        <v>120</v>
      </c>
      <c r="E2980" s="84" t="s">
        <v>270</v>
      </c>
      <c r="F2980" s="84"/>
      <c r="G2980" s="87"/>
      <c r="H2980" s="87"/>
      <c r="I2980" s="87"/>
      <c r="J2980" s="173"/>
      <c r="K2980" s="202"/>
      <c r="L2980" s="202"/>
    </row>
    <row r="2981" spans="1:18" ht="30.75" hidden="1" customHeight="1">
      <c r="A2981" s="82" t="s">
        <v>35</v>
      </c>
      <c r="B2981" s="83">
        <v>795</v>
      </c>
      <c r="C2981" s="84" t="s">
        <v>53</v>
      </c>
      <c r="D2981" s="84" t="s">
        <v>120</v>
      </c>
      <c r="E2981" s="84" t="s">
        <v>270</v>
      </c>
      <c r="F2981" s="84" t="s">
        <v>36</v>
      </c>
      <c r="G2981" s="87">
        <f>G2982</f>
        <v>0</v>
      </c>
      <c r="H2981" s="87">
        <f>H2982</f>
        <v>0</v>
      </c>
      <c r="I2981" s="87">
        <f>I2982</f>
        <v>0</v>
      </c>
      <c r="J2981" s="173"/>
      <c r="K2981" s="202"/>
      <c r="L2981" s="202"/>
    </row>
    <row r="2982" spans="1:18" ht="35.25" hidden="1" customHeight="1">
      <c r="A2982" s="82" t="s">
        <v>37</v>
      </c>
      <c r="B2982" s="83">
        <v>795</v>
      </c>
      <c r="C2982" s="84" t="s">
        <v>53</v>
      </c>
      <c r="D2982" s="84" t="s">
        <v>120</v>
      </c>
      <c r="E2982" s="84" t="s">
        <v>270</v>
      </c>
      <c r="F2982" s="84" t="s">
        <v>38</v>
      </c>
      <c r="G2982" s="87"/>
      <c r="H2982" s="87"/>
      <c r="I2982" s="87"/>
      <c r="J2982" s="173"/>
      <c r="K2982" s="202"/>
      <c r="L2982" s="202"/>
    </row>
    <row r="2983" spans="1:18" s="46" customFormat="1" ht="23.25" hidden="1" customHeight="1">
      <c r="A2983" s="82" t="s">
        <v>86</v>
      </c>
      <c r="B2983" s="83">
        <v>795</v>
      </c>
      <c r="C2983" s="143" t="s">
        <v>53</v>
      </c>
      <c r="D2983" s="143" t="s">
        <v>87</v>
      </c>
      <c r="E2983" s="84"/>
      <c r="F2983" s="84"/>
      <c r="G2983" s="87">
        <f>G2984</f>
        <v>0</v>
      </c>
      <c r="H2983" s="87">
        <f t="shared" ref="H2983:I2983" si="786">H2984</f>
        <v>0</v>
      </c>
      <c r="I2983" s="87">
        <f t="shared" si="786"/>
        <v>0</v>
      </c>
      <c r="J2983" s="173"/>
      <c r="K2983" s="202"/>
      <c r="L2983" s="202"/>
      <c r="M2983" s="215"/>
      <c r="N2983" s="215"/>
      <c r="O2983" s="215"/>
      <c r="P2983" s="215"/>
      <c r="Q2983" s="215"/>
      <c r="R2983" s="215"/>
    </row>
    <row r="2984" spans="1:18" s="22" customFormat="1" ht="57" hidden="1" customHeight="1">
      <c r="A2984" s="82" t="s">
        <v>467</v>
      </c>
      <c r="B2984" s="83">
        <v>795</v>
      </c>
      <c r="C2984" s="143" t="s">
        <v>53</v>
      </c>
      <c r="D2984" s="143" t="s">
        <v>87</v>
      </c>
      <c r="E2984" s="144" t="s">
        <v>289</v>
      </c>
      <c r="F2984" s="143"/>
      <c r="G2984" s="93">
        <f>G2985</f>
        <v>0</v>
      </c>
      <c r="H2984" s="93">
        <f>H2985</f>
        <v>0</v>
      </c>
      <c r="I2984" s="93">
        <f>I2985</f>
        <v>0</v>
      </c>
      <c r="J2984" s="190"/>
      <c r="K2984" s="202"/>
      <c r="L2984" s="202"/>
      <c r="M2984" s="202"/>
      <c r="N2984" s="202"/>
      <c r="O2984" s="202"/>
      <c r="P2984" s="202"/>
      <c r="Q2984" s="202"/>
      <c r="R2984" s="202"/>
    </row>
    <row r="2985" spans="1:18" s="22" customFormat="1" ht="26.4" hidden="1">
      <c r="A2985" s="82" t="s">
        <v>75</v>
      </c>
      <c r="B2985" s="83">
        <v>795</v>
      </c>
      <c r="C2985" s="143" t="s">
        <v>53</v>
      </c>
      <c r="D2985" s="143" t="s">
        <v>87</v>
      </c>
      <c r="E2985" s="144" t="s">
        <v>276</v>
      </c>
      <c r="F2985" s="143"/>
      <c r="G2985" s="93">
        <f>G2986+G2989+G2990</f>
        <v>0</v>
      </c>
      <c r="H2985" s="93">
        <f t="shared" ref="H2985:I2985" si="787">H2986+H2989+H2990</f>
        <v>0</v>
      </c>
      <c r="I2985" s="93">
        <f t="shared" si="787"/>
        <v>0</v>
      </c>
      <c r="J2985" s="190"/>
      <c r="K2985" s="202"/>
      <c r="L2985" s="202"/>
      <c r="M2985" s="202"/>
      <c r="N2985" s="202"/>
      <c r="O2985" s="202"/>
      <c r="P2985" s="202"/>
      <c r="Q2985" s="202"/>
      <c r="R2985" s="202"/>
    </row>
    <row r="2986" spans="1:18" s="22" customFormat="1" ht="66" hidden="1">
      <c r="A2986" s="142" t="s">
        <v>54</v>
      </c>
      <c r="B2986" s="83">
        <v>795</v>
      </c>
      <c r="C2986" s="143" t="s">
        <v>53</v>
      </c>
      <c r="D2986" s="143" t="s">
        <v>87</v>
      </c>
      <c r="E2986" s="144" t="s">
        <v>276</v>
      </c>
      <c r="F2986" s="144" t="s">
        <v>57</v>
      </c>
      <c r="G2986" s="93">
        <f>G2987</f>
        <v>0</v>
      </c>
      <c r="H2986" s="93">
        <f>H2987</f>
        <v>0</v>
      </c>
      <c r="I2986" s="93">
        <f>I2987</f>
        <v>0</v>
      </c>
      <c r="J2986" s="190"/>
      <c r="K2986" s="202"/>
      <c r="L2986" s="202"/>
      <c r="M2986" s="202"/>
      <c r="N2986" s="202"/>
      <c r="O2986" s="202"/>
      <c r="P2986" s="202"/>
      <c r="Q2986" s="202"/>
      <c r="R2986" s="202"/>
    </row>
    <row r="2987" spans="1:18" s="22" customFormat="1" ht="26.4" hidden="1">
      <c r="A2987" s="142" t="s">
        <v>55</v>
      </c>
      <c r="B2987" s="83">
        <v>795</v>
      </c>
      <c r="C2987" s="143" t="s">
        <v>53</v>
      </c>
      <c r="D2987" s="143" t="s">
        <v>87</v>
      </c>
      <c r="E2987" s="144" t="s">
        <v>276</v>
      </c>
      <c r="F2987" s="144" t="s">
        <v>58</v>
      </c>
      <c r="G2987" s="93"/>
      <c r="H2987" s="93"/>
      <c r="I2987" s="93"/>
      <c r="J2987" s="190"/>
      <c r="K2987" s="202"/>
      <c r="L2987" s="202"/>
      <c r="M2987" s="202"/>
      <c r="N2987" s="202"/>
      <c r="O2987" s="202"/>
      <c r="P2987" s="202"/>
      <c r="Q2987" s="202"/>
      <c r="R2987" s="202"/>
    </row>
    <row r="2988" spans="1:18" ht="26.4" hidden="1">
      <c r="A2988" s="82" t="s">
        <v>35</v>
      </c>
      <c r="B2988" s="83">
        <v>795</v>
      </c>
      <c r="C2988" s="143" t="s">
        <v>53</v>
      </c>
      <c r="D2988" s="143" t="s">
        <v>87</v>
      </c>
      <c r="E2988" s="144" t="s">
        <v>276</v>
      </c>
      <c r="F2988" s="84" t="s">
        <v>36</v>
      </c>
      <c r="G2988" s="87">
        <f>G2989</f>
        <v>0</v>
      </c>
      <c r="H2988" s="87">
        <f t="shared" ref="H2988:I2988" si="788">H2989</f>
        <v>0</v>
      </c>
      <c r="I2988" s="87">
        <f t="shared" si="788"/>
        <v>0</v>
      </c>
      <c r="J2988" s="173"/>
      <c r="K2988" s="202"/>
      <c r="L2988" s="202"/>
    </row>
    <row r="2989" spans="1:18" ht="26.4" hidden="1">
      <c r="A2989" s="82" t="s">
        <v>37</v>
      </c>
      <c r="B2989" s="83">
        <v>795</v>
      </c>
      <c r="C2989" s="143" t="s">
        <v>53</v>
      </c>
      <c r="D2989" s="143" t="s">
        <v>87</v>
      </c>
      <c r="E2989" s="144" t="s">
        <v>276</v>
      </c>
      <c r="F2989" s="84" t="s">
        <v>38</v>
      </c>
      <c r="G2989" s="87"/>
      <c r="H2989" s="87"/>
      <c r="I2989" s="87"/>
      <c r="J2989" s="173"/>
      <c r="K2989" s="202"/>
      <c r="L2989" s="202"/>
    </row>
    <row r="2990" spans="1:18" s="46" customFormat="1" hidden="1">
      <c r="A2990" s="82" t="s">
        <v>62</v>
      </c>
      <c r="B2990" s="145">
        <v>795</v>
      </c>
      <c r="C2990" s="143" t="s">
        <v>53</v>
      </c>
      <c r="D2990" s="143" t="s">
        <v>87</v>
      </c>
      <c r="E2990" s="144" t="s">
        <v>276</v>
      </c>
      <c r="F2990" s="84" t="s">
        <v>63</v>
      </c>
      <c r="G2990" s="87">
        <f>G2991</f>
        <v>0</v>
      </c>
      <c r="H2990" s="87">
        <f>H2991</f>
        <v>0</v>
      </c>
      <c r="I2990" s="87">
        <f>I2991</f>
        <v>0</v>
      </c>
      <c r="J2990" s="173"/>
      <c r="K2990" s="202"/>
      <c r="L2990" s="202"/>
      <c r="M2990" s="215"/>
      <c r="N2990" s="215"/>
      <c r="O2990" s="215"/>
      <c r="P2990" s="215"/>
      <c r="Q2990" s="215"/>
      <c r="R2990" s="215"/>
    </row>
    <row r="2991" spans="1:18" s="46" customFormat="1" hidden="1">
      <c r="A2991" s="82" t="s">
        <v>140</v>
      </c>
      <c r="B2991" s="145">
        <v>795</v>
      </c>
      <c r="C2991" s="143" t="s">
        <v>53</v>
      </c>
      <c r="D2991" s="143" t="s">
        <v>87</v>
      </c>
      <c r="E2991" s="144" t="s">
        <v>276</v>
      </c>
      <c r="F2991" s="84" t="s">
        <v>66</v>
      </c>
      <c r="G2991" s="87"/>
      <c r="H2991" s="87"/>
      <c r="I2991" s="87"/>
      <c r="J2991" s="173"/>
      <c r="K2991" s="202"/>
      <c r="L2991" s="202"/>
      <c r="M2991" s="215"/>
      <c r="N2991" s="215"/>
      <c r="O2991" s="215"/>
      <c r="P2991" s="215"/>
      <c r="Q2991" s="215"/>
      <c r="R2991" s="215"/>
    </row>
    <row r="2992" spans="1:18" hidden="1">
      <c r="A2992" s="131" t="s">
        <v>336</v>
      </c>
      <c r="B2992" s="264">
        <v>795</v>
      </c>
      <c r="C2992" s="261" t="s">
        <v>167</v>
      </c>
      <c r="D2992" s="261"/>
      <c r="E2992" s="261"/>
      <c r="F2992" s="261"/>
      <c r="G2992" s="258">
        <f>G3022+G2993+G3099+G3122</f>
        <v>0</v>
      </c>
      <c r="H2992" s="258">
        <f>H3022+H2993+H3099+H3122</f>
        <v>0</v>
      </c>
      <c r="I2992" s="258">
        <f>I3022+I2993+I3099+I3122</f>
        <v>0</v>
      </c>
      <c r="J2992" s="186"/>
      <c r="K2992" s="202"/>
      <c r="L2992" s="202"/>
    </row>
    <row r="2993" spans="1:18" hidden="1">
      <c r="A2993" s="129" t="s">
        <v>168</v>
      </c>
      <c r="B2993" s="83">
        <v>795</v>
      </c>
      <c r="C2993" s="149" t="s">
        <v>167</v>
      </c>
      <c r="D2993" s="149" t="s">
        <v>18</v>
      </c>
      <c r="E2993" s="261"/>
      <c r="F2993" s="261"/>
      <c r="G2993" s="94">
        <f>G2994+G3007+G3017</f>
        <v>0</v>
      </c>
      <c r="H2993" s="94">
        <f>H2994+H3007+H3017</f>
        <v>0</v>
      </c>
      <c r="I2993" s="94">
        <f>I2994+I3007+I3017</f>
        <v>0</v>
      </c>
      <c r="J2993" s="189"/>
      <c r="K2993" s="202"/>
      <c r="L2993" s="202"/>
    </row>
    <row r="2994" spans="1:18" s="3" customFormat="1" ht="52.5" hidden="1" customHeight="1">
      <c r="A2994" s="82" t="s">
        <v>467</v>
      </c>
      <c r="B2994" s="83">
        <v>795</v>
      </c>
      <c r="C2994" s="84" t="s">
        <v>167</v>
      </c>
      <c r="D2994" s="84" t="s">
        <v>18</v>
      </c>
      <c r="E2994" s="84" t="s">
        <v>289</v>
      </c>
      <c r="F2994" s="84"/>
      <c r="G2994" s="87">
        <f>G2995+G2998+G3001+G3004</f>
        <v>0</v>
      </c>
      <c r="H2994" s="87">
        <f t="shared" ref="H2994:I2994" si="789">H2995+H2998+H3001+H3004</f>
        <v>0</v>
      </c>
      <c r="I2994" s="87">
        <f t="shared" si="789"/>
        <v>0</v>
      </c>
      <c r="J2994" s="173"/>
      <c r="K2994" s="202"/>
      <c r="L2994" s="202"/>
      <c r="M2994" s="194"/>
      <c r="N2994" s="194"/>
      <c r="O2994" s="194"/>
      <c r="P2994" s="194"/>
      <c r="Q2994" s="194"/>
      <c r="R2994" s="194"/>
    </row>
    <row r="2995" spans="1:18" s="18" customFormat="1" ht="63" hidden="1" customHeight="1">
      <c r="A2995" s="82" t="s">
        <v>80</v>
      </c>
      <c r="B2995" s="83">
        <v>795</v>
      </c>
      <c r="C2995" s="84" t="s">
        <v>167</v>
      </c>
      <c r="D2995" s="84" t="s">
        <v>18</v>
      </c>
      <c r="E2995" s="84" t="s">
        <v>79</v>
      </c>
      <c r="F2995" s="84"/>
      <c r="G2995" s="87">
        <f t="shared" ref="G2995:I2996" si="790">G2996</f>
        <v>0</v>
      </c>
      <c r="H2995" s="87">
        <f t="shared" si="790"/>
        <v>0</v>
      </c>
      <c r="I2995" s="87">
        <f t="shared" si="790"/>
        <v>0</v>
      </c>
      <c r="J2995" s="173"/>
      <c r="K2995" s="197"/>
      <c r="L2995" s="197"/>
      <c r="M2995" s="195"/>
      <c r="N2995" s="195"/>
      <c r="O2995" s="195"/>
      <c r="P2995" s="195"/>
      <c r="Q2995" s="195"/>
      <c r="R2995" s="195"/>
    </row>
    <row r="2996" spans="1:18" ht="30.75" hidden="1" customHeight="1">
      <c r="A2996" s="82" t="s">
        <v>35</v>
      </c>
      <c r="B2996" s="83">
        <v>795</v>
      </c>
      <c r="C2996" s="84" t="s">
        <v>167</v>
      </c>
      <c r="D2996" s="84" t="s">
        <v>18</v>
      </c>
      <c r="E2996" s="84" t="s">
        <v>79</v>
      </c>
      <c r="F2996" s="84" t="s">
        <v>36</v>
      </c>
      <c r="G2996" s="87">
        <f t="shared" si="790"/>
        <v>0</v>
      </c>
      <c r="H2996" s="87">
        <f t="shared" si="790"/>
        <v>0</v>
      </c>
      <c r="I2996" s="87">
        <f t="shared" si="790"/>
        <v>0</v>
      </c>
      <c r="J2996" s="173"/>
      <c r="K2996" s="202"/>
      <c r="L2996" s="202"/>
    </row>
    <row r="2997" spans="1:18" s="18" customFormat="1" ht="34.5" hidden="1" customHeight="1">
      <c r="A2997" s="82" t="s">
        <v>37</v>
      </c>
      <c r="B2997" s="83">
        <v>795</v>
      </c>
      <c r="C2997" s="84" t="s">
        <v>167</v>
      </c>
      <c r="D2997" s="84" t="s">
        <v>18</v>
      </c>
      <c r="E2997" s="84" t="s">
        <v>79</v>
      </c>
      <c r="F2997" s="84" t="s">
        <v>38</v>
      </c>
      <c r="G2997" s="87"/>
      <c r="H2997" s="87"/>
      <c r="I2997" s="87"/>
      <c r="J2997" s="173"/>
      <c r="K2997" s="197"/>
      <c r="L2997" s="197"/>
      <c r="M2997" s="195"/>
      <c r="N2997" s="195"/>
      <c r="O2997" s="195"/>
      <c r="P2997" s="195"/>
      <c r="Q2997" s="195"/>
      <c r="R2997" s="195"/>
    </row>
    <row r="2998" spans="1:18" s="18" customFormat="1" ht="20.25" hidden="1" customHeight="1">
      <c r="A2998" s="82" t="s">
        <v>82</v>
      </c>
      <c r="B2998" s="83">
        <v>795</v>
      </c>
      <c r="C2998" s="84" t="s">
        <v>167</v>
      </c>
      <c r="D2998" s="84" t="s">
        <v>18</v>
      </c>
      <c r="E2998" s="84" t="s">
        <v>81</v>
      </c>
      <c r="F2998" s="84"/>
      <c r="G2998" s="87">
        <f t="shared" ref="G2998:I2999" si="791">G2999</f>
        <v>0</v>
      </c>
      <c r="H2998" s="87">
        <f t="shared" si="791"/>
        <v>0</v>
      </c>
      <c r="I2998" s="87">
        <f t="shared" si="791"/>
        <v>0</v>
      </c>
      <c r="J2998" s="173"/>
      <c r="K2998" s="197"/>
      <c r="L2998" s="197"/>
      <c r="M2998" s="195"/>
      <c r="N2998" s="195"/>
      <c r="O2998" s="195"/>
      <c r="P2998" s="195"/>
      <c r="Q2998" s="195"/>
      <c r="R2998" s="195"/>
    </row>
    <row r="2999" spans="1:18" ht="30.75" hidden="1" customHeight="1">
      <c r="A2999" s="82" t="s">
        <v>35</v>
      </c>
      <c r="B2999" s="83">
        <v>795</v>
      </c>
      <c r="C2999" s="84" t="s">
        <v>167</v>
      </c>
      <c r="D2999" s="84" t="s">
        <v>18</v>
      </c>
      <c r="E2999" s="84" t="s">
        <v>81</v>
      </c>
      <c r="F2999" s="84" t="s">
        <v>36</v>
      </c>
      <c r="G2999" s="87">
        <f t="shared" si="791"/>
        <v>0</v>
      </c>
      <c r="H2999" s="87">
        <f t="shared" si="791"/>
        <v>0</v>
      </c>
      <c r="I2999" s="87">
        <f t="shared" si="791"/>
        <v>0</v>
      </c>
      <c r="J2999" s="173"/>
      <c r="K2999" s="202"/>
      <c r="L2999" s="202"/>
    </row>
    <row r="3000" spans="1:18" s="18" customFormat="1" ht="34.5" hidden="1" customHeight="1">
      <c r="A3000" s="82" t="s">
        <v>37</v>
      </c>
      <c r="B3000" s="83">
        <v>795</v>
      </c>
      <c r="C3000" s="84" t="s">
        <v>167</v>
      </c>
      <c r="D3000" s="84" t="s">
        <v>18</v>
      </c>
      <c r="E3000" s="84" t="s">
        <v>81</v>
      </c>
      <c r="F3000" s="84" t="s">
        <v>38</v>
      </c>
      <c r="G3000" s="87"/>
      <c r="H3000" s="87"/>
      <c r="I3000" s="87"/>
      <c r="J3000" s="173"/>
      <c r="K3000" s="197"/>
      <c r="L3000" s="197"/>
      <c r="M3000" s="195"/>
      <c r="N3000" s="195"/>
      <c r="O3000" s="195"/>
      <c r="P3000" s="195"/>
      <c r="Q3000" s="195"/>
      <c r="R3000" s="195"/>
    </row>
    <row r="3001" spans="1:18" s="18" customFormat="1" ht="20.25" hidden="1" customHeight="1">
      <c r="A3001" s="82" t="s">
        <v>84</v>
      </c>
      <c r="B3001" s="83">
        <v>795</v>
      </c>
      <c r="C3001" s="84" t="s">
        <v>167</v>
      </c>
      <c r="D3001" s="84" t="s">
        <v>18</v>
      </c>
      <c r="E3001" s="84" t="s">
        <v>83</v>
      </c>
      <c r="F3001" s="84"/>
      <c r="G3001" s="87">
        <f t="shared" ref="G3001:I3002" si="792">G3002</f>
        <v>0</v>
      </c>
      <c r="H3001" s="87">
        <f t="shared" si="792"/>
        <v>0</v>
      </c>
      <c r="I3001" s="87">
        <f t="shared" si="792"/>
        <v>0</v>
      </c>
      <c r="J3001" s="173"/>
      <c r="K3001" s="197"/>
      <c r="L3001" s="197"/>
      <c r="M3001" s="195"/>
      <c r="N3001" s="195"/>
      <c r="O3001" s="195"/>
      <c r="P3001" s="195"/>
      <c r="Q3001" s="195"/>
      <c r="R3001" s="195"/>
    </row>
    <row r="3002" spans="1:18" ht="30.75" hidden="1" customHeight="1">
      <c r="A3002" s="82" t="s">
        <v>35</v>
      </c>
      <c r="B3002" s="83">
        <v>795</v>
      </c>
      <c r="C3002" s="84" t="s">
        <v>167</v>
      </c>
      <c r="D3002" s="84" t="s">
        <v>18</v>
      </c>
      <c r="E3002" s="84" t="s">
        <v>83</v>
      </c>
      <c r="F3002" s="84" t="s">
        <v>36</v>
      </c>
      <c r="G3002" s="87">
        <f t="shared" si="792"/>
        <v>0</v>
      </c>
      <c r="H3002" s="87">
        <f t="shared" si="792"/>
        <v>0</v>
      </c>
      <c r="I3002" s="87">
        <f t="shared" si="792"/>
        <v>0</v>
      </c>
      <c r="J3002" s="173"/>
      <c r="K3002" s="202"/>
      <c r="L3002" s="202"/>
    </row>
    <row r="3003" spans="1:18" s="18" customFormat="1" ht="34.5" hidden="1" customHeight="1">
      <c r="A3003" s="82" t="s">
        <v>37</v>
      </c>
      <c r="B3003" s="83">
        <v>795</v>
      </c>
      <c r="C3003" s="84" t="s">
        <v>167</v>
      </c>
      <c r="D3003" s="84" t="s">
        <v>18</v>
      </c>
      <c r="E3003" s="84" t="s">
        <v>83</v>
      </c>
      <c r="F3003" s="84" t="s">
        <v>38</v>
      </c>
      <c r="G3003" s="87"/>
      <c r="H3003" s="87"/>
      <c r="I3003" s="87"/>
      <c r="J3003" s="173"/>
      <c r="K3003" s="197"/>
      <c r="L3003" s="197"/>
      <c r="M3003" s="195"/>
      <c r="N3003" s="195"/>
      <c r="O3003" s="195"/>
      <c r="P3003" s="195"/>
      <c r="Q3003" s="195"/>
      <c r="R3003" s="195"/>
    </row>
    <row r="3004" spans="1:18" s="46" customFormat="1" ht="24" hidden="1" customHeight="1">
      <c r="A3004" s="82" t="s">
        <v>510</v>
      </c>
      <c r="B3004" s="83">
        <v>795</v>
      </c>
      <c r="C3004" s="149" t="s">
        <v>167</v>
      </c>
      <c r="D3004" s="149" t="s">
        <v>18</v>
      </c>
      <c r="E3004" s="84" t="s">
        <v>509</v>
      </c>
      <c r="F3004" s="84"/>
      <c r="G3004" s="87">
        <f t="shared" ref="G3004:I3005" si="793">G3005</f>
        <v>0</v>
      </c>
      <c r="H3004" s="87">
        <f t="shared" si="793"/>
        <v>0</v>
      </c>
      <c r="I3004" s="87">
        <f t="shared" si="793"/>
        <v>0</v>
      </c>
      <c r="J3004" s="173"/>
      <c r="K3004" s="202"/>
      <c r="L3004" s="202"/>
      <c r="M3004" s="215"/>
      <c r="N3004" s="215"/>
      <c r="O3004" s="215"/>
      <c r="P3004" s="215"/>
      <c r="Q3004" s="215"/>
      <c r="R3004" s="215"/>
    </row>
    <row r="3005" spans="1:18" s="46" customFormat="1" ht="28.5" hidden="1" customHeight="1">
      <c r="A3005" s="82" t="s">
        <v>316</v>
      </c>
      <c r="B3005" s="83">
        <v>795</v>
      </c>
      <c r="C3005" s="149" t="s">
        <v>167</v>
      </c>
      <c r="D3005" s="149" t="s">
        <v>18</v>
      </c>
      <c r="E3005" s="84" t="s">
        <v>509</v>
      </c>
      <c r="F3005" s="84" t="s">
        <v>36</v>
      </c>
      <c r="G3005" s="87">
        <f t="shared" si="793"/>
        <v>0</v>
      </c>
      <c r="H3005" s="87">
        <f t="shared" si="793"/>
        <v>0</v>
      </c>
      <c r="I3005" s="87">
        <f t="shared" si="793"/>
        <v>0</v>
      </c>
      <c r="J3005" s="173"/>
      <c r="K3005" s="202"/>
      <c r="L3005" s="202"/>
      <c r="M3005" s="215"/>
      <c r="N3005" s="215"/>
      <c r="O3005" s="215"/>
      <c r="P3005" s="215"/>
      <c r="Q3005" s="215"/>
      <c r="R3005" s="215"/>
    </row>
    <row r="3006" spans="1:18" s="46" customFormat="1" ht="28.5" hidden="1" customHeight="1">
      <c r="A3006" s="82" t="s">
        <v>37</v>
      </c>
      <c r="B3006" s="83">
        <v>795</v>
      </c>
      <c r="C3006" s="149" t="s">
        <v>167</v>
      </c>
      <c r="D3006" s="149" t="s">
        <v>18</v>
      </c>
      <c r="E3006" s="84" t="s">
        <v>509</v>
      </c>
      <c r="F3006" s="84" t="s">
        <v>38</v>
      </c>
      <c r="G3006" s="87"/>
      <c r="H3006" s="87">
        <v>0</v>
      </c>
      <c r="I3006" s="87">
        <v>0</v>
      </c>
      <c r="J3006" s="173"/>
      <c r="K3006" s="202"/>
      <c r="L3006" s="202"/>
      <c r="M3006" s="215"/>
      <c r="N3006" s="215"/>
      <c r="O3006" s="215"/>
      <c r="P3006" s="215"/>
      <c r="Q3006" s="215"/>
      <c r="R3006" s="215"/>
    </row>
    <row r="3007" spans="1:18" s="18" customFormat="1" ht="52.8" hidden="1">
      <c r="A3007" s="82" t="s">
        <v>486</v>
      </c>
      <c r="B3007" s="83">
        <v>795</v>
      </c>
      <c r="C3007" s="149" t="s">
        <v>167</v>
      </c>
      <c r="D3007" s="149" t="s">
        <v>18</v>
      </c>
      <c r="E3007" s="84" t="s">
        <v>208</v>
      </c>
      <c r="F3007" s="84"/>
      <c r="G3007" s="87">
        <f>G3008+G3014+G3011</f>
        <v>0</v>
      </c>
      <c r="H3007" s="87">
        <f t="shared" ref="H3007:I3007" si="794">H3008+H3014+H3011</f>
        <v>0</v>
      </c>
      <c r="I3007" s="87">
        <f t="shared" si="794"/>
        <v>0</v>
      </c>
      <c r="J3007" s="173"/>
      <c r="K3007" s="197"/>
      <c r="L3007" s="197"/>
      <c r="M3007" s="195"/>
      <c r="N3007" s="195"/>
      <c r="O3007" s="195"/>
      <c r="P3007" s="195"/>
      <c r="Q3007" s="195"/>
      <c r="R3007" s="195"/>
    </row>
    <row r="3008" spans="1:18" s="18" customFormat="1" ht="92.4" hidden="1">
      <c r="A3008" s="82" t="s">
        <v>424</v>
      </c>
      <c r="B3008" s="83">
        <v>795</v>
      </c>
      <c r="C3008" s="149" t="s">
        <v>167</v>
      </c>
      <c r="D3008" s="149" t="s">
        <v>18</v>
      </c>
      <c r="E3008" s="84" t="s">
        <v>497</v>
      </c>
      <c r="F3008" s="84"/>
      <c r="G3008" s="87">
        <f>G3009</f>
        <v>0</v>
      </c>
      <c r="H3008" s="87">
        <f t="shared" ref="H3008:I3012" si="795">H3009</f>
        <v>0</v>
      </c>
      <c r="I3008" s="87">
        <f t="shared" si="795"/>
        <v>0</v>
      </c>
      <c r="J3008" s="173"/>
      <c r="K3008" s="197"/>
      <c r="L3008" s="197"/>
      <c r="M3008" s="195"/>
      <c r="N3008" s="195"/>
      <c r="O3008" s="195"/>
      <c r="P3008" s="195"/>
      <c r="Q3008" s="195"/>
      <c r="R3008" s="195"/>
    </row>
    <row r="3009" spans="1:18" s="18" customFormat="1" ht="23.25" hidden="1" customHeight="1">
      <c r="A3009" s="82" t="s">
        <v>62</v>
      </c>
      <c r="B3009" s="83">
        <v>795</v>
      </c>
      <c r="C3009" s="149" t="s">
        <v>167</v>
      </c>
      <c r="D3009" s="149" t="s">
        <v>18</v>
      </c>
      <c r="E3009" s="84" t="s">
        <v>497</v>
      </c>
      <c r="F3009" s="84" t="s">
        <v>63</v>
      </c>
      <c r="G3009" s="87">
        <f>G3010</f>
        <v>0</v>
      </c>
      <c r="H3009" s="87">
        <f t="shared" si="795"/>
        <v>0</v>
      </c>
      <c r="I3009" s="87">
        <f t="shared" si="795"/>
        <v>0</v>
      </c>
      <c r="J3009" s="173"/>
      <c r="K3009" s="197"/>
      <c r="L3009" s="197"/>
      <c r="M3009" s="195"/>
      <c r="N3009" s="195"/>
      <c r="O3009" s="195"/>
      <c r="P3009" s="195"/>
      <c r="Q3009" s="195"/>
      <c r="R3009" s="195"/>
    </row>
    <row r="3010" spans="1:18" s="18" customFormat="1" ht="20.25" hidden="1" customHeight="1">
      <c r="A3010" s="130" t="s">
        <v>140</v>
      </c>
      <c r="B3010" s="83">
        <v>795</v>
      </c>
      <c r="C3010" s="149" t="s">
        <v>167</v>
      </c>
      <c r="D3010" s="149" t="s">
        <v>18</v>
      </c>
      <c r="E3010" s="84" t="s">
        <v>497</v>
      </c>
      <c r="F3010" s="84" t="s">
        <v>66</v>
      </c>
      <c r="G3010" s="87"/>
      <c r="H3010" s="87"/>
      <c r="I3010" s="87"/>
      <c r="J3010" s="173"/>
      <c r="K3010" s="197"/>
      <c r="L3010" s="197"/>
      <c r="M3010" s="195"/>
      <c r="N3010" s="195"/>
      <c r="O3010" s="195"/>
      <c r="P3010" s="195"/>
      <c r="Q3010" s="195"/>
      <c r="R3010" s="195"/>
    </row>
    <row r="3011" spans="1:18" s="18" customFormat="1" ht="79.2" hidden="1">
      <c r="A3011" s="82" t="s">
        <v>425</v>
      </c>
      <c r="B3011" s="83">
        <v>795</v>
      </c>
      <c r="C3011" s="149" t="s">
        <v>167</v>
      </c>
      <c r="D3011" s="149" t="s">
        <v>18</v>
      </c>
      <c r="E3011" s="84" t="s">
        <v>498</v>
      </c>
      <c r="F3011" s="84"/>
      <c r="G3011" s="87">
        <f>G3012</f>
        <v>0</v>
      </c>
      <c r="H3011" s="87">
        <f t="shared" si="795"/>
        <v>0</v>
      </c>
      <c r="I3011" s="87">
        <f t="shared" si="795"/>
        <v>0</v>
      </c>
      <c r="J3011" s="173"/>
      <c r="K3011" s="197"/>
      <c r="L3011" s="197"/>
      <c r="M3011" s="195"/>
      <c r="N3011" s="195"/>
      <c r="O3011" s="195"/>
      <c r="P3011" s="195"/>
      <c r="Q3011" s="195"/>
      <c r="R3011" s="195"/>
    </row>
    <row r="3012" spans="1:18" s="18" customFormat="1" ht="22.5" hidden="1" customHeight="1">
      <c r="A3012" s="82" t="s">
        <v>62</v>
      </c>
      <c r="B3012" s="83">
        <v>795</v>
      </c>
      <c r="C3012" s="149" t="s">
        <v>167</v>
      </c>
      <c r="D3012" s="149" t="s">
        <v>18</v>
      </c>
      <c r="E3012" s="84" t="s">
        <v>498</v>
      </c>
      <c r="F3012" s="84" t="s">
        <v>63</v>
      </c>
      <c r="G3012" s="87">
        <f>G3013</f>
        <v>0</v>
      </c>
      <c r="H3012" s="87">
        <f t="shared" si="795"/>
        <v>0</v>
      </c>
      <c r="I3012" s="87">
        <f t="shared" si="795"/>
        <v>0</v>
      </c>
      <c r="J3012" s="173"/>
      <c r="K3012" s="197"/>
      <c r="L3012" s="197"/>
      <c r="M3012" s="195"/>
      <c r="N3012" s="195"/>
      <c r="O3012" s="195"/>
      <c r="P3012" s="195"/>
      <c r="Q3012" s="195"/>
      <c r="R3012" s="195"/>
    </row>
    <row r="3013" spans="1:18" s="18" customFormat="1" ht="17.25" hidden="1" customHeight="1">
      <c r="A3013" s="130" t="s">
        <v>140</v>
      </c>
      <c r="B3013" s="83">
        <v>795</v>
      </c>
      <c r="C3013" s="149" t="s">
        <v>167</v>
      </c>
      <c r="D3013" s="149" t="s">
        <v>18</v>
      </c>
      <c r="E3013" s="84" t="s">
        <v>498</v>
      </c>
      <c r="F3013" s="84" t="s">
        <v>66</v>
      </c>
      <c r="G3013" s="87"/>
      <c r="H3013" s="87"/>
      <c r="I3013" s="87"/>
      <c r="J3013" s="173"/>
      <c r="K3013" s="197"/>
      <c r="L3013" s="197"/>
      <c r="M3013" s="195"/>
      <c r="N3013" s="195"/>
      <c r="O3013" s="195"/>
      <c r="P3013" s="195"/>
      <c r="Q3013" s="195"/>
      <c r="R3013" s="195"/>
    </row>
    <row r="3014" spans="1:18" s="46" customFormat="1" ht="48.75" hidden="1" customHeight="1">
      <c r="A3014" s="82" t="s">
        <v>410</v>
      </c>
      <c r="B3014" s="83">
        <v>795</v>
      </c>
      <c r="C3014" s="149" t="s">
        <v>167</v>
      </c>
      <c r="D3014" s="149" t="s">
        <v>18</v>
      </c>
      <c r="E3014" s="84" t="s">
        <v>365</v>
      </c>
      <c r="F3014" s="84"/>
      <c r="G3014" s="87">
        <f>G3015+G3020</f>
        <v>0</v>
      </c>
      <c r="H3014" s="87">
        <f t="shared" ref="G3014:I3015" si="796">H3015</f>
        <v>0</v>
      </c>
      <c r="I3014" s="87">
        <f t="shared" si="796"/>
        <v>0</v>
      </c>
      <c r="J3014" s="173"/>
      <c r="K3014" s="202"/>
      <c r="L3014" s="202"/>
      <c r="M3014" s="215"/>
      <c r="N3014" s="215"/>
      <c r="O3014" s="215"/>
      <c r="P3014" s="215"/>
      <c r="Q3014" s="215"/>
      <c r="R3014" s="215"/>
    </row>
    <row r="3015" spans="1:18" s="46" customFormat="1" ht="21" hidden="1" customHeight="1">
      <c r="A3015" s="82" t="s">
        <v>316</v>
      </c>
      <c r="B3015" s="83">
        <v>795</v>
      </c>
      <c r="C3015" s="149" t="s">
        <v>167</v>
      </c>
      <c r="D3015" s="149" t="s">
        <v>18</v>
      </c>
      <c r="E3015" s="84" t="s">
        <v>365</v>
      </c>
      <c r="F3015" s="84" t="s">
        <v>36</v>
      </c>
      <c r="G3015" s="87">
        <f t="shared" si="796"/>
        <v>0</v>
      </c>
      <c r="H3015" s="87">
        <f t="shared" si="796"/>
        <v>0</v>
      </c>
      <c r="I3015" s="87">
        <f t="shared" si="796"/>
        <v>0</v>
      </c>
      <c r="J3015" s="173"/>
      <c r="K3015" s="202"/>
      <c r="L3015" s="202"/>
      <c r="M3015" s="215"/>
      <c r="N3015" s="215"/>
      <c r="O3015" s="215"/>
      <c r="P3015" s="215"/>
      <c r="Q3015" s="215"/>
      <c r="R3015" s="215"/>
    </row>
    <row r="3016" spans="1:18" s="46" customFormat="1" ht="28.5" hidden="1" customHeight="1">
      <c r="A3016" s="82" t="s">
        <v>37</v>
      </c>
      <c r="B3016" s="83">
        <v>795</v>
      </c>
      <c r="C3016" s="149" t="s">
        <v>167</v>
      </c>
      <c r="D3016" s="149" t="s">
        <v>18</v>
      </c>
      <c r="E3016" s="84" t="s">
        <v>365</v>
      </c>
      <c r="F3016" s="84" t="s">
        <v>38</v>
      </c>
      <c r="G3016" s="87"/>
      <c r="H3016" s="87"/>
      <c r="I3016" s="87"/>
      <c r="J3016" s="173"/>
      <c r="K3016" s="202"/>
      <c r="L3016" s="202"/>
      <c r="M3016" s="215"/>
      <c r="N3016" s="215"/>
      <c r="O3016" s="215"/>
      <c r="P3016" s="215"/>
      <c r="Q3016" s="215"/>
      <c r="R3016" s="215"/>
    </row>
    <row r="3017" spans="1:18" ht="26.4" hidden="1">
      <c r="A3017" s="82" t="s">
        <v>163</v>
      </c>
      <c r="B3017" s="83">
        <v>795</v>
      </c>
      <c r="C3017" s="149" t="s">
        <v>167</v>
      </c>
      <c r="D3017" s="149" t="s">
        <v>18</v>
      </c>
      <c r="E3017" s="84" t="s">
        <v>270</v>
      </c>
      <c r="F3017" s="84"/>
      <c r="G3017" s="87">
        <f>G3018</f>
        <v>0</v>
      </c>
      <c r="H3017" s="87"/>
      <c r="I3017" s="87"/>
      <c r="J3017" s="173"/>
      <c r="K3017" s="202"/>
      <c r="L3017" s="202"/>
    </row>
    <row r="3018" spans="1:18" hidden="1">
      <c r="A3018" s="82" t="s">
        <v>316</v>
      </c>
      <c r="B3018" s="83">
        <v>795</v>
      </c>
      <c r="C3018" s="149" t="s">
        <v>167</v>
      </c>
      <c r="D3018" s="149" t="s">
        <v>18</v>
      </c>
      <c r="E3018" s="84" t="s">
        <v>270</v>
      </c>
      <c r="F3018" s="84" t="s">
        <v>36</v>
      </c>
      <c r="G3018" s="87">
        <f>G3019</f>
        <v>0</v>
      </c>
      <c r="H3018" s="87"/>
      <c r="I3018" s="87"/>
      <c r="J3018" s="173"/>
      <c r="K3018" s="202"/>
      <c r="L3018" s="202"/>
    </row>
    <row r="3019" spans="1:18" ht="26.4" hidden="1">
      <c r="A3019" s="82" t="s">
        <v>37</v>
      </c>
      <c r="B3019" s="83">
        <v>795</v>
      </c>
      <c r="C3019" s="149" t="s">
        <v>167</v>
      </c>
      <c r="D3019" s="149" t="s">
        <v>18</v>
      </c>
      <c r="E3019" s="84" t="s">
        <v>270</v>
      </c>
      <c r="F3019" s="84" t="s">
        <v>38</v>
      </c>
      <c r="G3019" s="87"/>
      <c r="H3019" s="87">
        <v>0</v>
      </c>
      <c r="I3019" s="87">
        <v>0</v>
      </c>
      <c r="J3019" s="173"/>
      <c r="K3019" s="202"/>
      <c r="L3019" s="202"/>
    </row>
    <row r="3020" spans="1:18" ht="23.25" hidden="1" customHeight="1">
      <c r="A3020" s="82" t="s">
        <v>152</v>
      </c>
      <c r="B3020" s="83">
        <v>795</v>
      </c>
      <c r="C3020" s="84" t="s">
        <v>167</v>
      </c>
      <c r="D3020" s="84" t="s">
        <v>27</v>
      </c>
      <c r="E3020" s="84" t="s">
        <v>365</v>
      </c>
      <c r="F3020" s="84" t="s">
        <v>153</v>
      </c>
      <c r="G3020" s="87">
        <f>G3021</f>
        <v>0</v>
      </c>
      <c r="H3020" s="87">
        <f>H3021</f>
        <v>0</v>
      </c>
      <c r="I3020" s="87">
        <f>I3021</f>
        <v>0</v>
      </c>
      <c r="J3020" s="173"/>
      <c r="K3020" s="202"/>
      <c r="L3020" s="202"/>
    </row>
    <row r="3021" spans="1:18" ht="23.25" hidden="1" customHeight="1">
      <c r="A3021" s="82" t="s">
        <v>172</v>
      </c>
      <c r="B3021" s="83">
        <v>795</v>
      </c>
      <c r="C3021" s="84" t="s">
        <v>167</v>
      </c>
      <c r="D3021" s="84" t="s">
        <v>27</v>
      </c>
      <c r="E3021" s="84" t="s">
        <v>365</v>
      </c>
      <c r="F3021" s="84" t="s">
        <v>173</v>
      </c>
      <c r="G3021" s="87"/>
      <c r="H3021" s="87">
        <v>0</v>
      </c>
      <c r="I3021" s="87">
        <v>0</v>
      </c>
      <c r="J3021" s="173"/>
      <c r="K3021" s="202"/>
      <c r="L3021" s="202"/>
    </row>
    <row r="3022" spans="1:18" hidden="1">
      <c r="A3022" s="132" t="s">
        <v>169</v>
      </c>
      <c r="B3022" s="83">
        <v>795</v>
      </c>
      <c r="C3022" s="84" t="s">
        <v>167</v>
      </c>
      <c r="D3022" s="84" t="s">
        <v>27</v>
      </c>
      <c r="E3022" s="84"/>
      <c r="F3022" s="84"/>
      <c r="G3022" s="87">
        <f>G3023+G3081+G3093</f>
        <v>0</v>
      </c>
      <c r="H3022" s="87">
        <f>H3023+H3073+H3078</f>
        <v>0</v>
      </c>
      <c r="I3022" s="87">
        <f>I3023+I3073+I3078</f>
        <v>0</v>
      </c>
      <c r="J3022" s="173"/>
      <c r="K3022" s="202"/>
      <c r="L3022" s="202"/>
    </row>
    <row r="3023" spans="1:18" s="3" customFormat="1" ht="52.5" hidden="1" customHeight="1">
      <c r="A3023" s="82" t="s">
        <v>467</v>
      </c>
      <c r="B3023" s="83">
        <v>795</v>
      </c>
      <c r="C3023" s="84" t="s">
        <v>167</v>
      </c>
      <c r="D3023" s="84" t="s">
        <v>27</v>
      </c>
      <c r="E3023" s="84" t="s">
        <v>289</v>
      </c>
      <c r="F3023" s="84"/>
      <c r="G3023" s="87">
        <f>G3024+G3032+G3035+G3038+G3041+G3044+G3047+G3050+G3058</f>
        <v>0</v>
      </c>
      <c r="H3023" s="87">
        <f t="shared" ref="H3023:I3023" si="797">H3024+H3035+H3050+H3061+H3064+H3053+H3058+H3067+H3070+H3029</f>
        <v>0</v>
      </c>
      <c r="I3023" s="87">
        <f t="shared" si="797"/>
        <v>0</v>
      </c>
      <c r="J3023" s="173"/>
      <c r="K3023" s="202"/>
      <c r="L3023" s="202"/>
      <c r="M3023" s="194"/>
      <c r="N3023" s="194"/>
      <c r="O3023" s="194"/>
      <c r="P3023" s="194"/>
      <c r="Q3023" s="194"/>
      <c r="R3023" s="194"/>
    </row>
    <row r="3024" spans="1:18" hidden="1">
      <c r="A3024" s="82" t="s">
        <v>720</v>
      </c>
      <c r="B3024" s="83">
        <v>795</v>
      </c>
      <c r="C3024" s="84" t="s">
        <v>167</v>
      </c>
      <c r="D3024" s="84" t="s">
        <v>27</v>
      </c>
      <c r="E3024" s="84" t="s">
        <v>290</v>
      </c>
      <c r="F3024" s="84"/>
      <c r="G3024" s="87">
        <f>G3025+G3027</f>
        <v>0</v>
      </c>
      <c r="H3024" s="87">
        <f t="shared" ref="G3024:I3033" si="798">H3025</f>
        <v>0</v>
      </c>
      <c r="I3024" s="87">
        <f t="shared" si="798"/>
        <v>0</v>
      </c>
      <c r="J3024" s="173"/>
      <c r="K3024" s="202"/>
      <c r="L3024" s="202"/>
    </row>
    <row r="3025" spans="1:18" ht="26.4" hidden="1">
      <c r="A3025" s="82" t="s">
        <v>35</v>
      </c>
      <c r="B3025" s="83">
        <v>795</v>
      </c>
      <c r="C3025" s="84" t="s">
        <v>167</v>
      </c>
      <c r="D3025" s="84" t="s">
        <v>27</v>
      </c>
      <c r="E3025" s="84" t="s">
        <v>290</v>
      </c>
      <c r="F3025" s="84" t="s">
        <v>36</v>
      </c>
      <c r="G3025" s="87">
        <f t="shared" si="798"/>
        <v>0</v>
      </c>
      <c r="H3025" s="87">
        <f t="shared" si="798"/>
        <v>0</v>
      </c>
      <c r="I3025" s="87">
        <f t="shared" si="798"/>
        <v>0</v>
      </c>
      <c r="J3025" s="173"/>
      <c r="K3025" s="202"/>
      <c r="L3025" s="202"/>
    </row>
    <row r="3026" spans="1:18" ht="26.4" hidden="1">
      <c r="A3026" s="82" t="s">
        <v>37</v>
      </c>
      <c r="B3026" s="83">
        <v>795</v>
      </c>
      <c r="C3026" s="84" t="s">
        <v>167</v>
      </c>
      <c r="D3026" s="84" t="s">
        <v>27</v>
      </c>
      <c r="E3026" s="84" t="s">
        <v>290</v>
      </c>
      <c r="F3026" s="84" t="s">
        <v>38</v>
      </c>
      <c r="G3026" s="87"/>
      <c r="H3026" s="87"/>
      <c r="I3026" s="87"/>
      <c r="J3026" s="173"/>
      <c r="K3026" s="202"/>
      <c r="L3026" s="202"/>
    </row>
    <row r="3027" spans="1:18" hidden="1">
      <c r="A3027" s="82" t="s">
        <v>62</v>
      </c>
      <c r="B3027" s="83">
        <v>795</v>
      </c>
      <c r="C3027" s="84" t="s">
        <v>167</v>
      </c>
      <c r="D3027" s="84" t="s">
        <v>27</v>
      </c>
      <c r="E3027" s="84" t="s">
        <v>290</v>
      </c>
      <c r="F3027" s="84" t="s">
        <v>63</v>
      </c>
      <c r="G3027" s="87">
        <f>G3028</f>
        <v>0</v>
      </c>
      <c r="H3027" s="87"/>
      <c r="I3027" s="87"/>
      <c r="J3027" s="173"/>
      <c r="K3027" s="202"/>
      <c r="L3027" s="202"/>
    </row>
    <row r="3028" spans="1:18" hidden="1">
      <c r="A3028" s="82" t="s">
        <v>174</v>
      </c>
      <c r="B3028" s="83">
        <v>795</v>
      </c>
      <c r="C3028" s="84" t="s">
        <v>167</v>
      </c>
      <c r="D3028" s="84" t="s">
        <v>27</v>
      </c>
      <c r="E3028" s="84" t="s">
        <v>290</v>
      </c>
      <c r="F3028" s="84" t="s">
        <v>175</v>
      </c>
      <c r="G3028" s="87">
        <v>0</v>
      </c>
      <c r="H3028" s="87"/>
      <c r="I3028" s="87"/>
      <c r="J3028" s="173"/>
      <c r="K3028" s="202"/>
      <c r="L3028" s="202"/>
    </row>
    <row r="3029" spans="1:18" hidden="1">
      <c r="A3029" s="82" t="s">
        <v>665</v>
      </c>
      <c r="B3029" s="83">
        <v>795</v>
      </c>
      <c r="C3029" s="84" t="s">
        <v>167</v>
      </c>
      <c r="D3029" s="84" t="s">
        <v>27</v>
      </c>
      <c r="E3029" s="84" t="s">
        <v>664</v>
      </c>
      <c r="F3029" s="84"/>
      <c r="G3029" s="87">
        <f t="shared" si="798"/>
        <v>0</v>
      </c>
      <c r="H3029" s="87">
        <f t="shared" si="798"/>
        <v>0</v>
      </c>
      <c r="I3029" s="87">
        <f t="shared" si="798"/>
        <v>0</v>
      </c>
      <c r="J3029" s="173"/>
      <c r="K3029" s="202"/>
      <c r="L3029" s="202"/>
    </row>
    <row r="3030" spans="1:18" ht="26.4" hidden="1">
      <c r="A3030" s="82" t="s">
        <v>35</v>
      </c>
      <c r="B3030" s="83">
        <v>795</v>
      </c>
      <c r="C3030" s="84" t="s">
        <v>167</v>
      </c>
      <c r="D3030" s="84" t="s">
        <v>27</v>
      </c>
      <c r="E3030" s="84" t="s">
        <v>664</v>
      </c>
      <c r="F3030" s="84" t="s">
        <v>36</v>
      </c>
      <c r="G3030" s="87">
        <f t="shared" si="798"/>
        <v>0</v>
      </c>
      <c r="H3030" s="87">
        <f t="shared" si="798"/>
        <v>0</v>
      </c>
      <c r="I3030" s="87">
        <f t="shared" si="798"/>
        <v>0</v>
      </c>
      <c r="J3030" s="173"/>
      <c r="K3030" s="202"/>
      <c r="L3030" s="202"/>
    </row>
    <row r="3031" spans="1:18" ht="26.4" hidden="1">
      <c r="A3031" s="82" t="s">
        <v>37</v>
      </c>
      <c r="B3031" s="83">
        <v>795</v>
      </c>
      <c r="C3031" s="84" t="s">
        <v>167</v>
      </c>
      <c r="D3031" s="84" t="s">
        <v>27</v>
      </c>
      <c r="E3031" s="84" t="s">
        <v>664</v>
      </c>
      <c r="F3031" s="84" t="s">
        <v>38</v>
      </c>
      <c r="G3031" s="87"/>
      <c r="H3031" s="87">
        <v>0</v>
      </c>
      <c r="I3031" s="87">
        <v>0</v>
      </c>
      <c r="J3031" s="173"/>
      <c r="K3031" s="202"/>
      <c r="L3031" s="202"/>
    </row>
    <row r="3032" spans="1:18" hidden="1">
      <c r="A3032" s="82" t="s">
        <v>711</v>
      </c>
      <c r="B3032" s="83">
        <v>795</v>
      </c>
      <c r="C3032" s="84" t="s">
        <v>167</v>
      </c>
      <c r="D3032" s="84" t="s">
        <v>27</v>
      </c>
      <c r="E3032" s="84" t="s">
        <v>710</v>
      </c>
      <c r="F3032" s="84"/>
      <c r="G3032" s="87">
        <f t="shared" si="798"/>
        <v>0</v>
      </c>
      <c r="H3032" s="87">
        <f t="shared" si="798"/>
        <v>0</v>
      </c>
      <c r="I3032" s="87">
        <f t="shared" si="798"/>
        <v>0</v>
      </c>
      <c r="J3032" s="173"/>
      <c r="K3032" s="202"/>
      <c r="L3032" s="202"/>
    </row>
    <row r="3033" spans="1:18" ht="26.4" hidden="1">
      <c r="A3033" s="82" t="s">
        <v>35</v>
      </c>
      <c r="B3033" s="83">
        <v>795</v>
      </c>
      <c r="C3033" s="84" t="s">
        <v>167</v>
      </c>
      <c r="D3033" s="84" t="s">
        <v>27</v>
      </c>
      <c r="E3033" s="84" t="s">
        <v>710</v>
      </c>
      <c r="F3033" s="84" t="s">
        <v>36</v>
      </c>
      <c r="G3033" s="87">
        <f t="shared" si="798"/>
        <v>0</v>
      </c>
      <c r="H3033" s="87">
        <f t="shared" si="798"/>
        <v>0</v>
      </c>
      <c r="I3033" s="87">
        <f t="shared" si="798"/>
        <v>0</v>
      </c>
      <c r="J3033" s="173"/>
      <c r="K3033" s="202"/>
      <c r="L3033" s="202"/>
    </row>
    <row r="3034" spans="1:18" ht="26.4" hidden="1">
      <c r="A3034" s="82" t="s">
        <v>37</v>
      </c>
      <c r="B3034" s="83">
        <v>795</v>
      </c>
      <c r="C3034" s="84" t="s">
        <v>167</v>
      </c>
      <c r="D3034" s="84" t="s">
        <v>27</v>
      </c>
      <c r="E3034" s="84" t="s">
        <v>710</v>
      </c>
      <c r="F3034" s="84" t="s">
        <v>38</v>
      </c>
      <c r="G3034" s="87"/>
      <c r="H3034" s="87"/>
      <c r="I3034" s="87"/>
      <c r="J3034" s="173"/>
      <c r="K3034" s="202"/>
      <c r="L3034" s="202"/>
    </row>
    <row r="3035" spans="1:18" s="3" customFormat="1" ht="67.5" hidden="1" customHeight="1">
      <c r="A3035" s="82" t="s">
        <v>313</v>
      </c>
      <c r="B3035" s="83">
        <v>795</v>
      </c>
      <c r="C3035" s="84" t="s">
        <v>167</v>
      </c>
      <c r="D3035" s="84" t="s">
        <v>27</v>
      </c>
      <c r="E3035" s="84" t="s">
        <v>314</v>
      </c>
      <c r="F3035" s="84"/>
      <c r="G3035" s="87">
        <f>G3037</f>
        <v>0</v>
      </c>
      <c r="H3035" s="87">
        <f>H3037</f>
        <v>0</v>
      </c>
      <c r="I3035" s="87">
        <f>I3037</f>
        <v>0</v>
      </c>
      <c r="J3035" s="173"/>
      <c r="K3035" s="202"/>
      <c r="L3035" s="202"/>
      <c r="M3035" s="194"/>
      <c r="N3035" s="194"/>
      <c r="O3035" s="194"/>
      <c r="P3035" s="194"/>
      <c r="Q3035" s="194"/>
      <c r="R3035" s="194"/>
    </row>
    <row r="3036" spans="1:18" hidden="1">
      <c r="A3036" s="82" t="s">
        <v>152</v>
      </c>
      <c r="B3036" s="83">
        <v>795</v>
      </c>
      <c r="C3036" s="84" t="s">
        <v>167</v>
      </c>
      <c r="D3036" s="84" t="s">
        <v>27</v>
      </c>
      <c r="E3036" s="84" t="s">
        <v>314</v>
      </c>
      <c r="F3036" s="84" t="s">
        <v>153</v>
      </c>
      <c r="G3036" s="87">
        <f>G3037</f>
        <v>0</v>
      </c>
      <c r="H3036" s="87">
        <f>H3037</f>
        <v>0</v>
      </c>
      <c r="I3036" s="87">
        <f>I3037</f>
        <v>0</v>
      </c>
      <c r="J3036" s="173"/>
      <c r="K3036" s="202"/>
      <c r="L3036" s="202"/>
    </row>
    <row r="3037" spans="1:18" hidden="1">
      <c r="A3037" s="82" t="s">
        <v>172</v>
      </c>
      <c r="B3037" s="83">
        <v>795</v>
      </c>
      <c r="C3037" s="84" t="s">
        <v>167</v>
      </c>
      <c r="D3037" s="84" t="s">
        <v>27</v>
      </c>
      <c r="E3037" s="84" t="s">
        <v>314</v>
      </c>
      <c r="F3037" s="84" t="s">
        <v>173</v>
      </c>
      <c r="G3037" s="87"/>
      <c r="H3037" s="87"/>
      <c r="I3037" s="87"/>
      <c r="J3037" s="173"/>
      <c r="K3037" s="202"/>
      <c r="L3037" s="202"/>
    </row>
    <row r="3038" spans="1:18" ht="44.25" hidden="1" customHeight="1">
      <c r="A3038" s="82" t="s">
        <v>774</v>
      </c>
      <c r="B3038" s="83">
        <v>795</v>
      </c>
      <c r="C3038" s="84" t="s">
        <v>167</v>
      </c>
      <c r="D3038" s="84" t="s">
        <v>27</v>
      </c>
      <c r="E3038" s="84" t="s">
        <v>773</v>
      </c>
      <c r="F3038" s="84"/>
      <c r="G3038" s="87">
        <f t="shared" ref="G3038:I3048" si="799">G3039</f>
        <v>0</v>
      </c>
      <c r="H3038" s="87">
        <f t="shared" si="799"/>
        <v>0</v>
      </c>
      <c r="I3038" s="87">
        <f t="shared" si="799"/>
        <v>0</v>
      </c>
      <c r="J3038" s="173"/>
      <c r="K3038" s="202"/>
      <c r="L3038" s="202"/>
    </row>
    <row r="3039" spans="1:18" ht="34.5" hidden="1" customHeight="1">
      <c r="A3039" s="82" t="s">
        <v>35</v>
      </c>
      <c r="B3039" s="83">
        <v>795</v>
      </c>
      <c r="C3039" s="84" t="s">
        <v>167</v>
      </c>
      <c r="D3039" s="84" t="s">
        <v>27</v>
      </c>
      <c r="E3039" s="84" t="s">
        <v>773</v>
      </c>
      <c r="F3039" s="84" t="s">
        <v>338</v>
      </c>
      <c r="G3039" s="87">
        <f t="shared" si="799"/>
        <v>0</v>
      </c>
      <c r="H3039" s="87">
        <f t="shared" si="799"/>
        <v>0</v>
      </c>
      <c r="I3039" s="87">
        <f t="shared" si="799"/>
        <v>0</v>
      </c>
      <c r="J3039" s="173"/>
      <c r="K3039" s="202"/>
      <c r="L3039" s="202"/>
    </row>
    <row r="3040" spans="1:18" ht="34.5" hidden="1" customHeight="1">
      <c r="A3040" s="82" t="s">
        <v>37</v>
      </c>
      <c r="B3040" s="83">
        <v>795</v>
      </c>
      <c r="C3040" s="84" t="s">
        <v>167</v>
      </c>
      <c r="D3040" s="84" t="s">
        <v>27</v>
      </c>
      <c r="E3040" s="84" t="s">
        <v>773</v>
      </c>
      <c r="F3040" s="84" t="s">
        <v>340</v>
      </c>
      <c r="G3040" s="87"/>
      <c r="H3040" s="87"/>
      <c r="I3040" s="87"/>
      <c r="J3040" s="173"/>
      <c r="K3040" s="202"/>
      <c r="L3040" s="202"/>
    </row>
    <row r="3041" spans="1:12" ht="44.25" hidden="1" customHeight="1">
      <c r="A3041" s="82" t="s">
        <v>776</v>
      </c>
      <c r="B3041" s="83">
        <v>795</v>
      </c>
      <c r="C3041" s="84" t="s">
        <v>167</v>
      </c>
      <c r="D3041" s="84" t="s">
        <v>27</v>
      </c>
      <c r="E3041" s="84" t="s">
        <v>775</v>
      </c>
      <c r="F3041" s="84"/>
      <c r="G3041" s="87">
        <f t="shared" si="799"/>
        <v>0</v>
      </c>
      <c r="H3041" s="87">
        <f t="shared" si="799"/>
        <v>0</v>
      </c>
      <c r="I3041" s="87">
        <f t="shared" si="799"/>
        <v>0</v>
      </c>
      <c r="J3041" s="173"/>
      <c r="K3041" s="202"/>
      <c r="L3041" s="202"/>
    </row>
    <row r="3042" spans="1:12" ht="34.5" hidden="1" customHeight="1">
      <c r="A3042" s="82" t="s">
        <v>35</v>
      </c>
      <c r="B3042" s="83">
        <v>795</v>
      </c>
      <c r="C3042" s="84" t="s">
        <v>167</v>
      </c>
      <c r="D3042" s="84" t="s">
        <v>27</v>
      </c>
      <c r="E3042" s="84" t="s">
        <v>775</v>
      </c>
      <c r="F3042" s="84" t="s">
        <v>338</v>
      </c>
      <c r="G3042" s="87">
        <f t="shared" si="799"/>
        <v>0</v>
      </c>
      <c r="H3042" s="87">
        <f t="shared" si="799"/>
        <v>0</v>
      </c>
      <c r="I3042" s="87">
        <f t="shared" si="799"/>
        <v>0</v>
      </c>
      <c r="J3042" s="173"/>
      <c r="K3042" s="202"/>
      <c r="L3042" s="202"/>
    </row>
    <row r="3043" spans="1:12" ht="34.5" hidden="1" customHeight="1">
      <c r="A3043" s="82" t="s">
        <v>37</v>
      </c>
      <c r="B3043" s="83">
        <v>795</v>
      </c>
      <c r="C3043" s="84" t="s">
        <v>167</v>
      </c>
      <c r="D3043" s="84" t="s">
        <v>27</v>
      </c>
      <c r="E3043" s="84" t="s">
        <v>775</v>
      </c>
      <c r="F3043" s="84" t="s">
        <v>340</v>
      </c>
      <c r="G3043" s="87"/>
      <c r="H3043" s="87"/>
      <c r="I3043" s="87"/>
      <c r="J3043" s="173"/>
      <c r="K3043" s="202"/>
      <c r="L3043" s="202"/>
    </row>
    <row r="3044" spans="1:12" ht="44.25" hidden="1" customHeight="1">
      <c r="A3044" s="82" t="s">
        <v>778</v>
      </c>
      <c r="B3044" s="83">
        <v>795</v>
      </c>
      <c r="C3044" s="84" t="s">
        <v>167</v>
      </c>
      <c r="D3044" s="84" t="s">
        <v>27</v>
      </c>
      <c r="E3044" s="84" t="s">
        <v>777</v>
      </c>
      <c r="F3044" s="84"/>
      <c r="G3044" s="87">
        <f t="shared" si="799"/>
        <v>0</v>
      </c>
      <c r="H3044" s="87">
        <f t="shared" si="799"/>
        <v>0</v>
      </c>
      <c r="I3044" s="87">
        <f t="shared" si="799"/>
        <v>0</v>
      </c>
      <c r="J3044" s="173"/>
      <c r="K3044" s="202"/>
      <c r="L3044" s="202"/>
    </row>
    <row r="3045" spans="1:12" ht="34.5" hidden="1" customHeight="1">
      <c r="A3045" s="82" t="s">
        <v>35</v>
      </c>
      <c r="B3045" s="83">
        <v>795</v>
      </c>
      <c r="C3045" s="84" t="s">
        <v>167</v>
      </c>
      <c r="D3045" s="84" t="s">
        <v>27</v>
      </c>
      <c r="E3045" s="84" t="s">
        <v>777</v>
      </c>
      <c r="F3045" s="84" t="s">
        <v>338</v>
      </c>
      <c r="G3045" s="87">
        <f t="shared" si="799"/>
        <v>0</v>
      </c>
      <c r="H3045" s="87">
        <f t="shared" si="799"/>
        <v>0</v>
      </c>
      <c r="I3045" s="87">
        <f t="shared" si="799"/>
        <v>0</v>
      </c>
      <c r="J3045" s="173"/>
      <c r="K3045" s="202"/>
      <c r="L3045" s="202"/>
    </row>
    <row r="3046" spans="1:12" ht="34.5" hidden="1" customHeight="1">
      <c r="A3046" s="82" t="s">
        <v>37</v>
      </c>
      <c r="B3046" s="83">
        <v>795</v>
      </c>
      <c r="C3046" s="84" t="s">
        <v>167</v>
      </c>
      <c r="D3046" s="84" t="s">
        <v>27</v>
      </c>
      <c r="E3046" s="84" t="s">
        <v>777</v>
      </c>
      <c r="F3046" s="84" t="s">
        <v>340</v>
      </c>
      <c r="G3046" s="87"/>
      <c r="H3046" s="87"/>
      <c r="I3046" s="87"/>
      <c r="J3046" s="173"/>
      <c r="K3046" s="202"/>
      <c r="L3046" s="202"/>
    </row>
    <row r="3047" spans="1:12" ht="57" hidden="1" customHeight="1">
      <c r="A3047" s="82" t="s">
        <v>780</v>
      </c>
      <c r="B3047" s="83">
        <v>795</v>
      </c>
      <c r="C3047" s="84" t="s">
        <v>167</v>
      </c>
      <c r="D3047" s="84" t="s">
        <v>27</v>
      </c>
      <c r="E3047" s="84" t="s">
        <v>779</v>
      </c>
      <c r="F3047" s="84"/>
      <c r="G3047" s="87">
        <f t="shared" si="799"/>
        <v>0</v>
      </c>
      <c r="H3047" s="87">
        <f t="shared" si="799"/>
        <v>0</v>
      </c>
      <c r="I3047" s="87">
        <f t="shared" si="799"/>
        <v>0</v>
      </c>
      <c r="J3047" s="173"/>
      <c r="K3047" s="202"/>
      <c r="L3047" s="202"/>
    </row>
    <row r="3048" spans="1:12" ht="34.5" hidden="1" customHeight="1">
      <c r="A3048" s="82" t="s">
        <v>35</v>
      </c>
      <c r="B3048" s="83">
        <v>795</v>
      </c>
      <c r="C3048" s="84" t="s">
        <v>167</v>
      </c>
      <c r="D3048" s="84" t="s">
        <v>27</v>
      </c>
      <c r="E3048" s="84" t="s">
        <v>779</v>
      </c>
      <c r="F3048" s="84" t="s">
        <v>338</v>
      </c>
      <c r="G3048" s="87">
        <f t="shared" si="799"/>
        <v>0</v>
      </c>
      <c r="H3048" s="87">
        <f t="shared" si="799"/>
        <v>0</v>
      </c>
      <c r="I3048" s="87">
        <f t="shared" si="799"/>
        <v>0</v>
      </c>
      <c r="J3048" s="173"/>
      <c r="K3048" s="202"/>
      <c r="L3048" s="202"/>
    </row>
    <row r="3049" spans="1:12" ht="34.5" hidden="1" customHeight="1">
      <c r="A3049" s="82" t="s">
        <v>37</v>
      </c>
      <c r="B3049" s="83">
        <v>795</v>
      </c>
      <c r="C3049" s="84" t="s">
        <v>167</v>
      </c>
      <c r="D3049" s="84" t="s">
        <v>27</v>
      </c>
      <c r="E3049" s="84" t="s">
        <v>779</v>
      </c>
      <c r="F3049" s="84" t="s">
        <v>340</v>
      </c>
      <c r="G3049" s="87"/>
      <c r="H3049" s="87"/>
      <c r="I3049" s="87"/>
      <c r="J3049" s="173"/>
      <c r="K3049" s="202"/>
      <c r="L3049" s="202"/>
    </row>
    <row r="3050" spans="1:12" ht="75" hidden="1" customHeight="1">
      <c r="A3050" s="82" t="s">
        <v>786</v>
      </c>
      <c r="B3050" s="83">
        <v>795</v>
      </c>
      <c r="C3050" s="84" t="s">
        <v>167</v>
      </c>
      <c r="D3050" s="84" t="s">
        <v>27</v>
      </c>
      <c r="E3050" s="84" t="s">
        <v>686</v>
      </c>
      <c r="F3050" s="84"/>
      <c r="G3050" s="87">
        <f>G3051+G3056</f>
        <v>0</v>
      </c>
      <c r="H3050" s="87">
        <f t="shared" ref="G3050:I3062" si="800">H3051</f>
        <v>0</v>
      </c>
      <c r="I3050" s="87">
        <f t="shared" si="800"/>
        <v>0</v>
      </c>
      <c r="J3050" s="173"/>
      <c r="K3050" s="202"/>
      <c r="L3050" s="202"/>
    </row>
    <row r="3051" spans="1:12" ht="34.5" hidden="1" customHeight="1">
      <c r="A3051" s="82" t="s">
        <v>35</v>
      </c>
      <c r="B3051" s="83">
        <v>795</v>
      </c>
      <c r="C3051" s="84" t="s">
        <v>167</v>
      </c>
      <c r="D3051" s="84" t="s">
        <v>27</v>
      </c>
      <c r="E3051" s="84" t="s">
        <v>686</v>
      </c>
      <c r="F3051" s="84" t="s">
        <v>338</v>
      </c>
      <c r="G3051" s="87">
        <f t="shared" si="800"/>
        <v>0</v>
      </c>
      <c r="H3051" s="87">
        <f t="shared" si="800"/>
        <v>0</v>
      </c>
      <c r="I3051" s="87">
        <f t="shared" si="800"/>
        <v>0</v>
      </c>
      <c r="J3051" s="173"/>
      <c r="K3051" s="202"/>
      <c r="L3051" s="202"/>
    </row>
    <row r="3052" spans="1:12" ht="34.5" hidden="1" customHeight="1">
      <c r="A3052" s="82" t="s">
        <v>37</v>
      </c>
      <c r="B3052" s="83">
        <v>795</v>
      </c>
      <c r="C3052" s="84" t="s">
        <v>167</v>
      </c>
      <c r="D3052" s="84" t="s">
        <v>27</v>
      </c>
      <c r="E3052" s="84" t="s">
        <v>686</v>
      </c>
      <c r="F3052" s="84" t="s">
        <v>340</v>
      </c>
      <c r="G3052" s="87">
        <f>675000-675000</f>
        <v>0</v>
      </c>
      <c r="H3052" s="87">
        <f>832780-832780</f>
        <v>0</v>
      </c>
      <c r="I3052" s="87">
        <v>0</v>
      </c>
      <c r="J3052" s="173"/>
      <c r="K3052" s="202"/>
      <c r="L3052" s="202"/>
    </row>
    <row r="3053" spans="1:12" ht="34.5" hidden="1" customHeight="1">
      <c r="A3053" s="82" t="s">
        <v>482</v>
      </c>
      <c r="B3053" s="83">
        <v>795</v>
      </c>
      <c r="C3053" s="84" t="s">
        <v>167</v>
      </c>
      <c r="D3053" s="84" t="s">
        <v>27</v>
      </c>
      <c r="E3053" s="84" t="s">
        <v>483</v>
      </c>
      <c r="F3053" s="84"/>
      <c r="G3053" s="87">
        <f t="shared" si="800"/>
        <v>0</v>
      </c>
      <c r="H3053" s="87">
        <f t="shared" si="800"/>
        <v>0</v>
      </c>
      <c r="I3053" s="87">
        <f t="shared" si="800"/>
        <v>0</v>
      </c>
      <c r="J3053" s="173"/>
      <c r="K3053" s="202"/>
      <c r="L3053" s="202"/>
    </row>
    <row r="3054" spans="1:12" ht="34.5" hidden="1" customHeight="1">
      <c r="A3054" s="82" t="s">
        <v>35</v>
      </c>
      <c r="B3054" s="83">
        <v>795</v>
      </c>
      <c r="C3054" s="84" t="s">
        <v>167</v>
      </c>
      <c r="D3054" s="84" t="s">
        <v>27</v>
      </c>
      <c r="E3054" s="84" t="s">
        <v>483</v>
      </c>
      <c r="F3054" s="84" t="s">
        <v>36</v>
      </c>
      <c r="G3054" s="87">
        <f t="shared" si="800"/>
        <v>0</v>
      </c>
      <c r="H3054" s="87">
        <f t="shared" si="800"/>
        <v>0</v>
      </c>
      <c r="I3054" s="87">
        <f t="shared" si="800"/>
        <v>0</v>
      </c>
      <c r="J3054" s="173"/>
      <c r="K3054" s="202"/>
      <c r="L3054" s="202"/>
    </row>
    <row r="3055" spans="1:12" ht="34.5" hidden="1" customHeight="1">
      <c r="A3055" s="82" t="s">
        <v>37</v>
      </c>
      <c r="B3055" s="83">
        <v>795</v>
      </c>
      <c r="C3055" s="84" t="s">
        <v>167</v>
      </c>
      <c r="D3055" s="84" t="s">
        <v>27</v>
      </c>
      <c r="E3055" s="84" t="s">
        <v>483</v>
      </c>
      <c r="F3055" s="84" t="s">
        <v>38</v>
      </c>
      <c r="G3055" s="87">
        <v>0</v>
      </c>
      <c r="H3055" s="87">
        <f>167220-167220</f>
        <v>0</v>
      </c>
      <c r="I3055" s="87"/>
      <c r="J3055" s="173"/>
      <c r="K3055" s="202"/>
      <c r="L3055" s="202"/>
    </row>
    <row r="3056" spans="1:12" ht="18" hidden="1" customHeight="1">
      <c r="A3056" s="82" t="s">
        <v>152</v>
      </c>
      <c r="B3056" s="83">
        <v>795</v>
      </c>
      <c r="C3056" s="84" t="s">
        <v>167</v>
      </c>
      <c r="D3056" s="84" t="s">
        <v>27</v>
      </c>
      <c r="E3056" s="84" t="s">
        <v>686</v>
      </c>
      <c r="F3056" s="84" t="s">
        <v>153</v>
      </c>
      <c r="G3056" s="87">
        <f>G3057</f>
        <v>0</v>
      </c>
      <c r="H3056" s="87">
        <f>H3057</f>
        <v>0</v>
      </c>
      <c r="I3056" s="87">
        <f>I3057</f>
        <v>0</v>
      </c>
      <c r="J3056" s="173"/>
      <c r="K3056" s="202"/>
      <c r="L3056" s="202"/>
    </row>
    <row r="3057" spans="1:12" ht="18" hidden="1" customHeight="1">
      <c r="A3057" s="82" t="s">
        <v>172</v>
      </c>
      <c r="B3057" s="83">
        <v>795</v>
      </c>
      <c r="C3057" s="84" t="s">
        <v>167</v>
      </c>
      <c r="D3057" s="84" t="s">
        <v>27</v>
      </c>
      <c r="E3057" s="84" t="s">
        <v>686</v>
      </c>
      <c r="F3057" s="84" t="s">
        <v>173</v>
      </c>
      <c r="G3057" s="87"/>
      <c r="H3057" s="87">
        <v>0</v>
      </c>
      <c r="I3057" s="87">
        <v>0</v>
      </c>
      <c r="J3057" s="173"/>
      <c r="K3057" s="202"/>
      <c r="L3057" s="202"/>
    </row>
    <row r="3058" spans="1:12" ht="34.5" hidden="1" customHeight="1">
      <c r="A3058" s="82" t="s">
        <v>508</v>
      </c>
      <c r="B3058" s="83">
        <v>795</v>
      </c>
      <c r="C3058" s="84" t="s">
        <v>167</v>
      </c>
      <c r="D3058" s="84" t="s">
        <v>27</v>
      </c>
      <c r="E3058" s="84" t="s">
        <v>507</v>
      </c>
      <c r="F3058" s="84"/>
      <c r="G3058" s="87">
        <f t="shared" si="800"/>
        <v>0</v>
      </c>
      <c r="H3058" s="87">
        <f t="shared" si="800"/>
        <v>0</v>
      </c>
      <c r="I3058" s="87">
        <f t="shared" si="800"/>
        <v>0</v>
      </c>
      <c r="J3058" s="173"/>
      <c r="K3058" s="202"/>
      <c r="L3058" s="202"/>
    </row>
    <row r="3059" spans="1:12" ht="34.5" hidden="1" customHeight="1">
      <c r="A3059" s="82" t="s">
        <v>35</v>
      </c>
      <c r="B3059" s="83">
        <v>795</v>
      </c>
      <c r="C3059" s="84" t="s">
        <v>167</v>
      </c>
      <c r="D3059" s="84" t="s">
        <v>27</v>
      </c>
      <c r="E3059" s="84" t="s">
        <v>507</v>
      </c>
      <c r="F3059" s="84" t="s">
        <v>36</v>
      </c>
      <c r="G3059" s="87">
        <f t="shared" si="800"/>
        <v>0</v>
      </c>
      <c r="H3059" s="87">
        <f t="shared" si="800"/>
        <v>0</v>
      </c>
      <c r="I3059" s="87">
        <f t="shared" si="800"/>
        <v>0</v>
      </c>
      <c r="J3059" s="173"/>
      <c r="K3059" s="202"/>
      <c r="L3059" s="202"/>
    </row>
    <row r="3060" spans="1:12" ht="34.5" hidden="1" customHeight="1">
      <c r="A3060" s="82" t="s">
        <v>37</v>
      </c>
      <c r="B3060" s="83">
        <v>795</v>
      </c>
      <c r="C3060" s="84" t="s">
        <v>167</v>
      </c>
      <c r="D3060" s="84" t="s">
        <v>27</v>
      </c>
      <c r="E3060" s="84" t="s">
        <v>507</v>
      </c>
      <c r="F3060" s="84" t="s">
        <v>38</v>
      </c>
      <c r="G3060" s="87"/>
      <c r="H3060" s="87"/>
      <c r="I3060" s="87"/>
      <c r="J3060" s="173"/>
      <c r="K3060" s="202"/>
      <c r="L3060" s="202"/>
    </row>
    <row r="3061" spans="1:12" ht="34.5" hidden="1" customHeight="1">
      <c r="A3061" s="82" t="s">
        <v>447</v>
      </c>
      <c r="B3061" s="83">
        <v>795</v>
      </c>
      <c r="C3061" s="84" t="s">
        <v>167</v>
      </c>
      <c r="D3061" s="84" t="s">
        <v>27</v>
      </c>
      <c r="E3061" s="84" t="s">
        <v>446</v>
      </c>
      <c r="F3061" s="84"/>
      <c r="G3061" s="87">
        <f t="shared" si="800"/>
        <v>0</v>
      </c>
      <c r="H3061" s="87">
        <f t="shared" si="800"/>
        <v>0</v>
      </c>
      <c r="I3061" s="87">
        <f t="shared" si="800"/>
        <v>0</v>
      </c>
      <c r="J3061" s="173"/>
      <c r="K3061" s="202"/>
      <c r="L3061" s="202"/>
    </row>
    <row r="3062" spans="1:12" ht="34.5" hidden="1" customHeight="1">
      <c r="A3062" s="82" t="s">
        <v>35</v>
      </c>
      <c r="B3062" s="83">
        <v>795</v>
      </c>
      <c r="C3062" s="84" t="s">
        <v>167</v>
      </c>
      <c r="D3062" s="84" t="s">
        <v>27</v>
      </c>
      <c r="E3062" s="84" t="s">
        <v>446</v>
      </c>
      <c r="F3062" s="84" t="s">
        <v>36</v>
      </c>
      <c r="G3062" s="87">
        <f t="shared" si="800"/>
        <v>0</v>
      </c>
      <c r="H3062" s="87">
        <f t="shared" si="800"/>
        <v>0</v>
      </c>
      <c r="I3062" s="87">
        <f t="shared" si="800"/>
        <v>0</v>
      </c>
      <c r="J3062" s="173"/>
      <c r="K3062" s="202"/>
      <c r="L3062" s="202"/>
    </row>
    <row r="3063" spans="1:12" ht="34.5" hidden="1" customHeight="1">
      <c r="A3063" s="82" t="s">
        <v>37</v>
      </c>
      <c r="B3063" s="83">
        <v>795</v>
      </c>
      <c r="C3063" s="84" t="s">
        <v>167</v>
      </c>
      <c r="D3063" s="84" t="s">
        <v>27</v>
      </c>
      <c r="E3063" s="84" t="s">
        <v>446</v>
      </c>
      <c r="F3063" s="84" t="s">
        <v>38</v>
      </c>
      <c r="G3063" s="87">
        <f>200000-200000</f>
        <v>0</v>
      </c>
      <c r="H3063" s="87"/>
      <c r="I3063" s="87"/>
      <c r="J3063" s="173"/>
      <c r="K3063" s="202"/>
      <c r="L3063" s="202"/>
    </row>
    <row r="3064" spans="1:12" ht="34.5" hidden="1" customHeight="1">
      <c r="A3064" s="82" t="s">
        <v>476</v>
      </c>
      <c r="B3064" s="83">
        <v>795</v>
      </c>
      <c r="C3064" s="84" t="s">
        <v>167</v>
      </c>
      <c r="D3064" s="84" t="s">
        <v>27</v>
      </c>
      <c r="E3064" s="84" t="s">
        <v>475</v>
      </c>
      <c r="F3064" s="84"/>
      <c r="G3064" s="87">
        <f>G3065</f>
        <v>0</v>
      </c>
      <c r="H3064" s="87">
        <f t="shared" ref="H3064:I3064" si="801">H3065</f>
        <v>0</v>
      </c>
      <c r="I3064" s="87">
        <f t="shared" si="801"/>
        <v>0</v>
      </c>
      <c r="J3064" s="173"/>
      <c r="K3064" s="202"/>
      <c r="L3064" s="202"/>
    </row>
    <row r="3065" spans="1:12" ht="34.5" hidden="1" customHeight="1">
      <c r="A3065" s="82" t="s">
        <v>94</v>
      </c>
      <c r="B3065" s="83">
        <v>795</v>
      </c>
      <c r="C3065" s="84" t="s">
        <v>167</v>
      </c>
      <c r="D3065" s="84" t="s">
        <v>27</v>
      </c>
      <c r="E3065" s="84" t="s">
        <v>475</v>
      </c>
      <c r="F3065" s="84" t="s">
        <v>338</v>
      </c>
      <c r="G3065" s="87">
        <f>G3066</f>
        <v>0</v>
      </c>
      <c r="H3065" s="87">
        <f t="shared" ref="H3065:I3065" si="802">H3066</f>
        <v>0</v>
      </c>
      <c r="I3065" s="87">
        <f t="shared" si="802"/>
        <v>0</v>
      </c>
      <c r="J3065" s="173"/>
      <c r="K3065" s="202"/>
      <c r="L3065" s="202"/>
    </row>
    <row r="3066" spans="1:12" ht="34.5" hidden="1" customHeight="1">
      <c r="A3066" s="82" t="s">
        <v>339</v>
      </c>
      <c r="B3066" s="83">
        <v>795</v>
      </c>
      <c r="C3066" s="84" t="s">
        <v>167</v>
      </c>
      <c r="D3066" s="84" t="s">
        <v>27</v>
      </c>
      <c r="E3066" s="84" t="s">
        <v>475</v>
      </c>
      <c r="F3066" s="84" t="s">
        <v>340</v>
      </c>
      <c r="G3066" s="87"/>
      <c r="H3066" s="87">
        <v>0</v>
      </c>
      <c r="I3066" s="87">
        <v>0</v>
      </c>
      <c r="J3066" s="173"/>
      <c r="K3066" s="202"/>
      <c r="L3066" s="202"/>
    </row>
    <row r="3067" spans="1:12" ht="34.5" hidden="1" customHeight="1">
      <c r="A3067" s="82" t="s">
        <v>511</v>
      </c>
      <c r="B3067" s="83">
        <v>795</v>
      </c>
      <c r="C3067" s="84" t="s">
        <v>167</v>
      </c>
      <c r="D3067" s="84" t="s">
        <v>27</v>
      </c>
      <c r="E3067" s="84" t="s">
        <v>512</v>
      </c>
      <c r="F3067" s="84"/>
      <c r="G3067" s="87">
        <f>G3068</f>
        <v>0</v>
      </c>
      <c r="H3067" s="87">
        <v>0</v>
      </c>
      <c r="I3067" s="87">
        <v>0</v>
      </c>
      <c r="J3067" s="173"/>
      <c r="K3067" s="202"/>
      <c r="L3067" s="202"/>
    </row>
    <row r="3068" spans="1:12" ht="34.5" hidden="1" customHeight="1">
      <c r="A3068" s="82" t="s">
        <v>94</v>
      </c>
      <c r="B3068" s="83">
        <v>795</v>
      </c>
      <c r="C3068" s="84" t="s">
        <v>167</v>
      </c>
      <c r="D3068" s="84" t="s">
        <v>27</v>
      </c>
      <c r="E3068" s="84" t="s">
        <v>512</v>
      </c>
      <c r="F3068" s="84" t="s">
        <v>338</v>
      </c>
      <c r="G3068" s="87">
        <f>G3069</f>
        <v>0</v>
      </c>
      <c r="H3068" s="87">
        <v>0</v>
      </c>
      <c r="I3068" s="87">
        <v>0</v>
      </c>
      <c r="J3068" s="173"/>
      <c r="K3068" s="202"/>
      <c r="L3068" s="202"/>
    </row>
    <row r="3069" spans="1:12" ht="34.5" hidden="1" customHeight="1">
      <c r="A3069" s="82" t="s">
        <v>339</v>
      </c>
      <c r="B3069" s="83">
        <v>795</v>
      </c>
      <c r="C3069" s="84" t="s">
        <v>167</v>
      </c>
      <c r="D3069" s="84" t="s">
        <v>27</v>
      </c>
      <c r="E3069" s="84" t="s">
        <v>512</v>
      </c>
      <c r="F3069" s="84" t="s">
        <v>340</v>
      </c>
      <c r="G3069" s="87"/>
      <c r="H3069" s="87">
        <v>0</v>
      </c>
      <c r="I3069" s="87">
        <v>0</v>
      </c>
      <c r="J3069" s="173"/>
      <c r="K3069" s="202"/>
      <c r="L3069" s="202"/>
    </row>
    <row r="3070" spans="1:12" ht="20.25" hidden="1" customHeight="1">
      <c r="A3070" s="82" t="s">
        <v>604</v>
      </c>
      <c r="B3070" s="83">
        <v>795</v>
      </c>
      <c r="C3070" s="84" t="s">
        <v>167</v>
      </c>
      <c r="D3070" s="84" t="s">
        <v>27</v>
      </c>
      <c r="E3070" s="84" t="s">
        <v>603</v>
      </c>
      <c r="F3070" s="84"/>
      <c r="G3070" s="87">
        <f t="shared" ref="G3070:I3071" si="803">G3071</f>
        <v>0</v>
      </c>
      <c r="H3070" s="87">
        <f t="shared" si="803"/>
        <v>0</v>
      </c>
      <c r="I3070" s="87">
        <f t="shared" si="803"/>
        <v>0</v>
      </c>
      <c r="J3070" s="173"/>
      <c r="K3070" s="202"/>
      <c r="L3070" s="202"/>
    </row>
    <row r="3071" spans="1:12" ht="34.5" hidden="1" customHeight="1">
      <c r="A3071" s="82" t="s">
        <v>35</v>
      </c>
      <c r="B3071" s="83">
        <v>795</v>
      </c>
      <c r="C3071" s="84" t="s">
        <v>167</v>
      </c>
      <c r="D3071" s="84" t="s">
        <v>27</v>
      </c>
      <c r="E3071" s="84" t="s">
        <v>603</v>
      </c>
      <c r="F3071" s="84" t="s">
        <v>36</v>
      </c>
      <c r="G3071" s="87">
        <f t="shared" si="803"/>
        <v>0</v>
      </c>
      <c r="H3071" s="87">
        <f t="shared" si="803"/>
        <v>0</v>
      </c>
      <c r="I3071" s="87">
        <f t="shared" si="803"/>
        <v>0</v>
      </c>
      <c r="J3071" s="173"/>
      <c r="K3071" s="202"/>
      <c r="L3071" s="202"/>
    </row>
    <row r="3072" spans="1:12" ht="34.5" hidden="1" customHeight="1">
      <c r="A3072" s="82" t="s">
        <v>37</v>
      </c>
      <c r="B3072" s="83">
        <v>795</v>
      </c>
      <c r="C3072" s="84" t="s">
        <v>167</v>
      </c>
      <c r="D3072" s="84" t="s">
        <v>27</v>
      </c>
      <c r="E3072" s="84" t="s">
        <v>603</v>
      </c>
      <c r="F3072" s="84" t="s">
        <v>38</v>
      </c>
      <c r="G3072" s="87"/>
      <c r="H3072" s="87"/>
      <c r="I3072" s="87"/>
      <c r="J3072" s="173"/>
      <c r="K3072" s="202"/>
      <c r="L3072" s="202"/>
    </row>
    <row r="3073" spans="1:18" s="18" customFormat="1" ht="26.4" hidden="1">
      <c r="A3073" s="82" t="s">
        <v>454</v>
      </c>
      <c r="B3073" s="83">
        <v>795</v>
      </c>
      <c r="C3073" s="84" t="s">
        <v>167</v>
      </c>
      <c r="D3073" s="84" t="s">
        <v>27</v>
      </c>
      <c r="E3073" s="84" t="s">
        <v>257</v>
      </c>
      <c r="F3073" s="84"/>
      <c r="G3073" s="87">
        <f>G3074</f>
        <v>0</v>
      </c>
      <c r="H3073" s="87">
        <f>H3074</f>
        <v>0</v>
      </c>
      <c r="I3073" s="87">
        <f>I3074</f>
        <v>0</v>
      </c>
      <c r="J3073" s="173"/>
      <c r="K3073" s="197"/>
      <c r="L3073" s="197"/>
      <c r="M3073" s="195"/>
      <c r="N3073" s="195"/>
      <c r="O3073" s="195"/>
      <c r="P3073" s="195"/>
      <c r="Q3073" s="195"/>
      <c r="R3073" s="195"/>
    </row>
    <row r="3074" spans="1:18" s="18" customFormat="1" ht="51.75" hidden="1" customHeight="1">
      <c r="A3074" s="82" t="s">
        <v>525</v>
      </c>
      <c r="B3074" s="83">
        <v>795</v>
      </c>
      <c r="C3074" s="84" t="s">
        <v>167</v>
      </c>
      <c r="D3074" s="84" t="s">
        <v>27</v>
      </c>
      <c r="E3074" s="84" t="s">
        <v>524</v>
      </c>
      <c r="F3074" s="84"/>
      <c r="G3074" s="87">
        <f>G3075</f>
        <v>0</v>
      </c>
      <c r="H3074" s="87">
        <f t="shared" ref="H3074:I3074" si="804">H3075</f>
        <v>0</v>
      </c>
      <c r="I3074" s="87">
        <f t="shared" si="804"/>
        <v>0</v>
      </c>
      <c r="J3074" s="173"/>
      <c r="K3074" s="197"/>
      <c r="L3074" s="197"/>
      <c r="M3074" s="195"/>
      <c r="N3074" s="195"/>
      <c r="O3074" s="195"/>
      <c r="P3074" s="195"/>
      <c r="Q3074" s="195"/>
      <c r="R3074" s="195"/>
    </row>
    <row r="3075" spans="1:18" s="18" customFormat="1" ht="25.5" hidden="1" customHeight="1">
      <c r="A3075" s="82" t="s">
        <v>490</v>
      </c>
      <c r="B3075" s="83">
        <v>795</v>
      </c>
      <c r="C3075" s="84" t="s">
        <v>167</v>
      </c>
      <c r="D3075" s="84" t="s">
        <v>27</v>
      </c>
      <c r="E3075" s="84" t="s">
        <v>524</v>
      </c>
      <c r="F3075" s="84"/>
      <c r="G3075" s="87">
        <f>G3076</f>
        <v>0</v>
      </c>
      <c r="H3075" s="87">
        <f t="shared" ref="H3075:I3076" si="805">H3076</f>
        <v>0</v>
      </c>
      <c r="I3075" s="87">
        <f t="shared" si="805"/>
        <v>0</v>
      </c>
      <c r="J3075" s="173"/>
      <c r="K3075" s="197"/>
      <c r="L3075" s="197"/>
      <c r="M3075" s="195"/>
      <c r="N3075" s="195"/>
      <c r="O3075" s="195"/>
      <c r="P3075" s="195"/>
      <c r="Q3075" s="195"/>
      <c r="R3075" s="195"/>
    </row>
    <row r="3076" spans="1:18" s="18" customFormat="1" hidden="1">
      <c r="A3076" s="82" t="s">
        <v>152</v>
      </c>
      <c r="B3076" s="83">
        <v>795</v>
      </c>
      <c r="C3076" s="84" t="s">
        <v>167</v>
      </c>
      <c r="D3076" s="84" t="s">
        <v>27</v>
      </c>
      <c r="E3076" s="84" t="s">
        <v>524</v>
      </c>
      <c r="F3076" s="84" t="s">
        <v>153</v>
      </c>
      <c r="G3076" s="87">
        <f>G3077</f>
        <v>0</v>
      </c>
      <c r="H3076" s="87">
        <f t="shared" si="805"/>
        <v>0</v>
      </c>
      <c r="I3076" s="87">
        <f t="shared" si="805"/>
        <v>0</v>
      </c>
      <c r="J3076" s="173"/>
      <c r="K3076" s="197"/>
      <c r="L3076" s="197"/>
      <c r="M3076" s="195"/>
      <c r="N3076" s="195"/>
      <c r="O3076" s="195"/>
      <c r="P3076" s="195"/>
      <c r="Q3076" s="195"/>
      <c r="R3076" s="195"/>
    </row>
    <row r="3077" spans="1:18" s="18" customFormat="1" hidden="1">
      <c r="A3077" s="82" t="s">
        <v>164</v>
      </c>
      <c r="B3077" s="83">
        <v>795</v>
      </c>
      <c r="C3077" s="84" t="s">
        <v>167</v>
      </c>
      <c r="D3077" s="84" t="s">
        <v>27</v>
      </c>
      <c r="E3077" s="84" t="s">
        <v>524</v>
      </c>
      <c r="F3077" s="84" t="s">
        <v>165</v>
      </c>
      <c r="G3077" s="87"/>
      <c r="H3077" s="87">
        <v>0</v>
      </c>
      <c r="I3077" s="87">
        <v>0</v>
      </c>
      <c r="J3077" s="173"/>
      <c r="K3077" s="197"/>
      <c r="L3077" s="197"/>
      <c r="M3077" s="195"/>
      <c r="N3077" s="195"/>
      <c r="O3077" s="195"/>
      <c r="P3077" s="195"/>
      <c r="Q3077" s="195"/>
      <c r="R3077" s="195"/>
    </row>
    <row r="3078" spans="1:18" ht="30.75" hidden="1" customHeight="1">
      <c r="A3078" s="82" t="s">
        <v>267</v>
      </c>
      <c r="B3078" s="83">
        <v>795</v>
      </c>
      <c r="C3078" s="84" t="s">
        <v>167</v>
      </c>
      <c r="D3078" s="84" t="s">
        <v>27</v>
      </c>
      <c r="E3078" s="84" t="s">
        <v>544</v>
      </c>
      <c r="F3078" s="84"/>
      <c r="G3078" s="87">
        <f>G3079</f>
        <v>0</v>
      </c>
      <c r="H3078" s="87">
        <v>0</v>
      </c>
      <c r="I3078" s="87">
        <v>0</v>
      </c>
      <c r="J3078" s="173"/>
      <c r="K3078" s="202"/>
      <c r="L3078" s="202"/>
    </row>
    <row r="3079" spans="1:18" ht="30.75" hidden="1" customHeight="1">
      <c r="A3079" s="82" t="s">
        <v>35</v>
      </c>
      <c r="B3079" s="83">
        <v>795</v>
      </c>
      <c r="C3079" s="84" t="s">
        <v>167</v>
      </c>
      <c r="D3079" s="84" t="s">
        <v>27</v>
      </c>
      <c r="E3079" s="84" t="s">
        <v>544</v>
      </c>
      <c r="F3079" s="84" t="s">
        <v>36</v>
      </c>
      <c r="G3079" s="87">
        <f>G3080</f>
        <v>0</v>
      </c>
      <c r="H3079" s="87">
        <v>0</v>
      </c>
      <c r="I3079" s="87">
        <v>0</v>
      </c>
      <c r="J3079" s="173"/>
      <c r="K3079" s="202"/>
      <c r="L3079" s="202"/>
    </row>
    <row r="3080" spans="1:18" ht="1.5" hidden="1" customHeight="1">
      <c r="A3080" s="82" t="s">
        <v>37</v>
      </c>
      <c r="B3080" s="83">
        <v>795</v>
      </c>
      <c r="C3080" s="84" t="s">
        <v>167</v>
      </c>
      <c r="D3080" s="84" t="s">
        <v>27</v>
      </c>
      <c r="E3080" s="84" t="s">
        <v>544</v>
      </c>
      <c r="F3080" s="84" t="s">
        <v>38</v>
      </c>
      <c r="G3080" s="87"/>
      <c r="H3080" s="87">
        <v>0</v>
      </c>
      <c r="I3080" s="87">
        <v>0</v>
      </c>
      <c r="J3080" s="173"/>
      <c r="K3080" s="202"/>
      <c r="L3080" s="202"/>
    </row>
    <row r="3081" spans="1:18" ht="30.75" hidden="1" customHeight="1">
      <c r="A3081" s="82" t="s">
        <v>267</v>
      </c>
      <c r="B3081" s="83">
        <v>795</v>
      </c>
      <c r="C3081" s="84" t="s">
        <v>167</v>
      </c>
      <c r="D3081" s="84" t="s">
        <v>27</v>
      </c>
      <c r="E3081" s="84" t="s">
        <v>543</v>
      </c>
      <c r="F3081" s="84"/>
      <c r="G3081" s="87">
        <f>G3082</f>
        <v>0</v>
      </c>
      <c r="H3081" s="87">
        <v>0</v>
      </c>
      <c r="I3081" s="87">
        <v>0</v>
      </c>
      <c r="J3081" s="173"/>
      <c r="K3081" s="202"/>
      <c r="L3081" s="202"/>
    </row>
    <row r="3082" spans="1:18" ht="30.75" hidden="1" customHeight="1">
      <c r="A3082" s="82" t="s">
        <v>267</v>
      </c>
      <c r="B3082" s="83">
        <v>795</v>
      </c>
      <c r="C3082" s="84" t="s">
        <v>167</v>
      </c>
      <c r="D3082" s="84" t="s">
        <v>27</v>
      </c>
      <c r="E3082" s="84" t="s">
        <v>544</v>
      </c>
      <c r="F3082" s="84"/>
      <c r="G3082" s="87">
        <f>G3089+G3091</f>
        <v>0</v>
      </c>
      <c r="H3082" s="87">
        <v>0</v>
      </c>
      <c r="I3082" s="87">
        <v>0</v>
      </c>
      <c r="J3082" s="173"/>
      <c r="K3082" s="202"/>
      <c r="L3082" s="202"/>
    </row>
    <row r="3083" spans="1:18" ht="30.75" hidden="1" customHeight="1">
      <c r="A3083" s="82" t="s">
        <v>35</v>
      </c>
      <c r="B3083" s="83">
        <v>795</v>
      </c>
      <c r="C3083" s="84" t="s">
        <v>167</v>
      </c>
      <c r="D3083" s="84" t="s">
        <v>27</v>
      </c>
      <c r="E3083" s="84" t="s">
        <v>544</v>
      </c>
      <c r="F3083" s="84" t="s">
        <v>36</v>
      </c>
      <c r="G3083" s="87" t="e">
        <f>G3084</f>
        <v>#REF!</v>
      </c>
      <c r="H3083" s="87">
        <v>0</v>
      </c>
      <c r="I3083" s="87">
        <v>0</v>
      </c>
      <c r="J3083" s="173"/>
      <c r="K3083" s="202"/>
      <c r="L3083" s="202"/>
    </row>
    <row r="3084" spans="1:18" ht="30.75" hidden="1" customHeight="1">
      <c r="A3084" s="82" t="s">
        <v>37</v>
      </c>
      <c r="B3084" s="83">
        <v>795</v>
      </c>
      <c r="C3084" s="84" t="s">
        <v>167</v>
      </c>
      <c r="D3084" s="84" t="s">
        <v>27</v>
      </c>
      <c r="E3084" s="84" t="s">
        <v>544</v>
      </c>
      <c r="F3084" s="84" t="s">
        <v>38</v>
      </c>
      <c r="G3084" s="87" t="e">
        <f>прил4!#REF!</f>
        <v>#REF!</v>
      </c>
      <c r="H3084" s="87">
        <v>0</v>
      </c>
      <c r="I3084" s="87">
        <v>0</v>
      </c>
      <c r="J3084" s="173"/>
      <c r="K3084" s="202"/>
      <c r="L3084" s="202"/>
    </row>
    <row r="3085" spans="1:18" ht="23.25" hidden="1" customHeight="1">
      <c r="A3085" s="82" t="s">
        <v>144</v>
      </c>
      <c r="B3085" s="83">
        <v>795</v>
      </c>
      <c r="C3085" s="84" t="s">
        <v>167</v>
      </c>
      <c r="D3085" s="84" t="s">
        <v>27</v>
      </c>
      <c r="E3085" s="84" t="s">
        <v>544</v>
      </c>
      <c r="F3085" s="84" t="s">
        <v>145</v>
      </c>
      <c r="G3085" s="87">
        <f>G3086</f>
        <v>0</v>
      </c>
      <c r="H3085" s="87">
        <v>0</v>
      </c>
      <c r="I3085" s="87">
        <v>0</v>
      </c>
      <c r="J3085" s="173"/>
      <c r="K3085" s="202"/>
      <c r="L3085" s="202"/>
    </row>
    <row r="3086" spans="1:18" ht="30.75" hidden="1" customHeight="1">
      <c r="A3086" s="82" t="s">
        <v>146</v>
      </c>
      <c r="B3086" s="83">
        <v>795</v>
      </c>
      <c r="C3086" s="84" t="s">
        <v>167</v>
      </c>
      <c r="D3086" s="84" t="s">
        <v>27</v>
      </c>
      <c r="E3086" s="84" t="s">
        <v>544</v>
      </c>
      <c r="F3086" s="84" t="s">
        <v>147</v>
      </c>
      <c r="G3086" s="87">
        <f>прил4!G3027</f>
        <v>0</v>
      </c>
      <c r="H3086" s="87">
        <v>0</v>
      </c>
      <c r="I3086" s="87">
        <v>0</v>
      </c>
      <c r="J3086" s="173"/>
      <c r="K3086" s="202"/>
      <c r="L3086" s="202"/>
    </row>
    <row r="3087" spans="1:18" ht="21.75" hidden="1" customHeight="1">
      <c r="A3087" s="82" t="s">
        <v>152</v>
      </c>
      <c r="B3087" s="83">
        <v>795</v>
      </c>
      <c r="C3087" s="84" t="s">
        <v>167</v>
      </c>
      <c r="D3087" s="84" t="s">
        <v>27</v>
      </c>
      <c r="E3087" s="84" t="s">
        <v>544</v>
      </c>
      <c r="F3087" s="84" t="s">
        <v>153</v>
      </c>
      <c r="G3087" s="87">
        <f>G3088</f>
        <v>0</v>
      </c>
      <c r="H3087" s="87">
        <v>0</v>
      </c>
      <c r="I3087" s="87">
        <v>0</v>
      </c>
      <c r="J3087" s="173"/>
      <c r="K3087" s="202"/>
      <c r="L3087" s="202"/>
    </row>
    <row r="3088" spans="1:18" ht="22.5" hidden="1" customHeight="1">
      <c r="A3088" s="82" t="s">
        <v>172</v>
      </c>
      <c r="B3088" s="83">
        <v>795</v>
      </c>
      <c r="C3088" s="84" t="s">
        <v>167</v>
      </c>
      <c r="D3088" s="84" t="s">
        <v>27</v>
      </c>
      <c r="E3088" s="84" t="s">
        <v>544</v>
      </c>
      <c r="F3088" s="84" t="s">
        <v>173</v>
      </c>
      <c r="G3088" s="87"/>
      <c r="H3088" s="87">
        <v>0</v>
      </c>
      <c r="I3088" s="87">
        <v>0</v>
      </c>
      <c r="J3088" s="173"/>
      <c r="K3088" s="202"/>
      <c r="L3088" s="202"/>
    </row>
    <row r="3089" spans="1:18" ht="26.4" hidden="1">
      <c r="A3089" s="82" t="s">
        <v>35</v>
      </c>
      <c r="B3089" s="83">
        <v>795</v>
      </c>
      <c r="C3089" s="84" t="s">
        <v>167</v>
      </c>
      <c r="D3089" s="84" t="s">
        <v>27</v>
      </c>
      <c r="E3089" s="84" t="s">
        <v>544</v>
      </c>
      <c r="F3089" s="84" t="s">
        <v>36</v>
      </c>
      <c r="G3089" s="85">
        <f t="shared" ref="G3089:I3091" si="806">G3090</f>
        <v>0</v>
      </c>
      <c r="H3089" s="85">
        <f t="shared" si="806"/>
        <v>0</v>
      </c>
      <c r="I3089" s="85">
        <f t="shared" si="806"/>
        <v>0</v>
      </c>
      <c r="J3089" s="174"/>
      <c r="K3089" s="202"/>
      <c r="L3089" s="202"/>
    </row>
    <row r="3090" spans="1:18" ht="26.4" hidden="1">
      <c r="A3090" s="82" t="s">
        <v>37</v>
      </c>
      <c r="B3090" s="83">
        <v>795</v>
      </c>
      <c r="C3090" s="84" t="s">
        <v>167</v>
      </c>
      <c r="D3090" s="84" t="s">
        <v>27</v>
      </c>
      <c r="E3090" s="84" t="s">
        <v>544</v>
      </c>
      <c r="F3090" s="84" t="s">
        <v>38</v>
      </c>
      <c r="G3090" s="85"/>
      <c r="H3090" s="85"/>
      <c r="I3090" s="85"/>
      <c r="J3090" s="174"/>
      <c r="K3090" s="202"/>
      <c r="L3090" s="202"/>
    </row>
    <row r="3091" spans="1:18" ht="26.4" hidden="1">
      <c r="A3091" s="82" t="s">
        <v>94</v>
      </c>
      <c r="B3091" s="83">
        <v>795</v>
      </c>
      <c r="C3091" s="84" t="s">
        <v>167</v>
      </c>
      <c r="D3091" s="84" t="s">
        <v>27</v>
      </c>
      <c r="E3091" s="84" t="s">
        <v>544</v>
      </c>
      <c r="F3091" s="84" t="s">
        <v>338</v>
      </c>
      <c r="G3091" s="85">
        <f t="shared" si="806"/>
        <v>0</v>
      </c>
      <c r="H3091" s="85">
        <f t="shared" si="806"/>
        <v>0</v>
      </c>
      <c r="I3091" s="85">
        <f t="shared" si="806"/>
        <v>0</v>
      </c>
      <c r="J3091" s="174"/>
      <c r="K3091" s="202"/>
      <c r="L3091" s="202"/>
    </row>
    <row r="3092" spans="1:18" hidden="1">
      <c r="A3092" s="82" t="s">
        <v>339</v>
      </c>
      <c r="B3092" s="83">
        <v>795</v>
      </c>
      <c r="C3092" s="84" t="s">
        <v>167</v>
      </c>
      <c r="D3092" s="84" t="s">
        <v>27</v>
      </c>
      <c r="E3092" s="84" t="s">
        <v>544</v>
      </c>
      <c r="F3092" s="84" t="s">
        <v>340</v>
      </c>
      <c r="G3092" s="85"/>
      <c r="H3092" s="85"/>
      <c r="I3092" s="85"/>
      <c r="J3092" s="174"/>
      <c r="K3092" s="202"/>
      <c r="L3092" s="202"/>
    </row>
    <row r="3093" spans="1:18" s="28" customFormat="1" ht="24.75" hidden="1" customHeight="1">
      <c r="A3093" s="136" t="s">
        <v>163</v>
      </c>
      <c r="B3093" s="145">
        <v>793</v>
      </c>
      <c r="C3093" s="84" t="s">
        <v>167</v>
      </c>
      <c r="D3093" s="84" t="s">
        <v>27</v>
      </c>
      <c r="E3093" s="84" t="s">
        <v>228</v>
      </c>
      <c r="F3093" s="164"/>
      <c r="G3093" s="87">
        <f t="shared" ref="G3093:I3093" si="807">G3094</f>
        <v>0</v>
      </c>
      <c r="H3093" s="87">
        <f t="shared" si="807"/>
        <v>0</v>
      </c>
      <c r="I3093" s="87">
        <f t="shared" si="807"/>
        <v>0</v>
      </c>
      <c r="J3093" s="173"/>
      <c r="K3093" s="210"/>
      <c r="L3093" s="210"/>
      <c r="M3093" s="199"/>
      <c r="N3093" s="199"/>
      <c r="O3093" s="199"/>
      <c r="P3093" s="199"/>
      <c r="Q3093" s="199"/>
      <c r="R3093" s="199"/>
    </row>
    <row r="3094" spans="1:18" ht="26.4" hidden="1">
      <c r="A3094" s="136" t="s">
        <v>163</v>
      </c>
      <c r="B3094" s="83">
        <v>795</v>
      </c>
      <c r="C3094" s="84" t="s">
        <v>167</v>
      </c>
      <c r="D3094" s="84" t="s">
        <v>27</v>
      </c>
      <c r="E3094" s="84" t="s">
        <v>270</v>
      </c>
      <c r="F3094" s="84"/>
      <c r="G3094" s="87">
        <f>G3095+G3097</f>
        <v>0</v>
      </c>
      <c r="H3094" s="87">
        <f>H3095+H3097</f>
        <v>0</v>
      </c>
      <c r="I3094" s="87">
        <f>I3095+I3097</f>
        <v>0</v>
      </c>
      <c r="J3094" s="173"/>
      <c r="K3094" s="202"/>
      <c r="L3094" s="202"/>
    </row>
    <row r="3095" spans="1:18" hidden="1">
      <c r="A3095" s="82"/>
      <c r="B3095" s="83"/>
      <c r="C3095" s="84" t="s">
        <v>167</v>
      </c>
      <c r="D3095" s="84" t="s">
        <v>27</v>
      </c>
      <c r="E3095" s="84" t="s">
        <v>270</v>
      </c>
      <c r="F3095" s="84"/>
      <c r="G3095" s="87"/>
      <c r="H3095" s="87"/>
      <c r="I3095" s="87"/>
      <c r="J3095" s="173"/>
      <c r="K3095" s="202"/>
      <c r="L3095" s="202"/>
    </row>
    <row r="3096" spans="1:18" ht="30.75" hidden="1" customHeight="1">
      <c r="A3096" s="82"/>
      <c r="B3096" s="83"/>
      <c r="C3096" s="84" t="s">
        <v>167</v>
      </c>
      <c r="D3096" s="84" t="s">
        <v>27</v>
      </c>
      <c r="E3096" s="84" t="s">
        <v>270</v>
      </c>
      <c r="F3096" s="84"/>
      <c r="G3096" s="87"/>
      <c r="H3096" s="87"/>
      <c r="I3096" s="87"/>
      <c r="J3096" s="173"/>
      <c r="K3096" s="202"/>
      <c r="L3096" s="202"/>
    </row>
    <row r="3097" spans="1:18" ht="30.75" hidden="1" customHeight="1">
      <c r="A3097" s="82" t="s">
        <v>35</v>
      </c>
      <c r="B3097" s="83">
        <v>795</v>
      </c>
      <c r="C3097" s="84" t="s">
        <v>167</v>
      </c>
      <c r="D3097" s="84" t="s">
        <v>27</v>
      </c>
      <c r="E3097" s="84" t="s">
        <v>270</v>
      </c>
      <c r="F3097" s="84" t="s">
        <v>36</v>
      </c>
      <c r="G3097" s="87">
        <f>G3098</f>
        <v>0</v>
      </c>
      <c r="H3097" s="87">
        <f>H3098</f>
        <v>0</v>
      </c>
      <c r="I3097" s="87">
        <f>I3098</f>
        <v>0</v>
      </c>
      <c r="J3097" s="173"/>
      <c r="K3097" s="202"/>
      <c r="L3097" s="202"/>
    </row>
    <row r="3098" spans="1:18" ht="35.25" hidden="1" customHeight="1">
      <c r="A3098" s="82" t="s">
        <v>37</v>
      </c>
      <c r="B3098" s="83">
        <v>795</v>
      </c>
      <c r="C3098" s="84" t="s">
        <v>167</v>
      </c>
      <c r="D3098" s="84" t="s">
        <v>27</v>
      </c>
      <c r="E3098" s="84" t="s">
        <v>270</v>
      </c>
      <c r="F3098" s="84" t="s">
        <v>38</v>
      </c>
      <c r="G3098" s="87"/>
      <c r="H3098" s="87"/>
      <c r="I3098" s="87"/>
      <c r="J3098" s="173"/>
      <c r="K3098" s="202"/>
      <c r="L3098" s="202"/>
    </row>
    <row r="3099" spans="1:18" s="22" customFormat="1" ht="17.25" hidden="1" customHeight="1">
      <c r="A3099" s="150" t="s">
        <v>278</v>
      </c>
      <c r="B3099" s="264">
        <v>795</v>
      </c>
      <c r="C3099" s="152" t="s">
        <v>167</v>
      </c>
      <c r="D3099" s="152" t="s">
        <v>69</v>
      </c>
      <c r="E3099" s="152"/>
      <c r="F3099" s="152"/>
      <c r="G3099" s="153">
        <f>G3100+G3115</f>
        <v>0</v>
      </c>
      <c r="H3099" s="153">
        <f t="shared" ref="H3099:I3099" si="808">H3100+H3115</f>
        <v>0</v>
      </c>
      <c r="I3099" s="153">
        <f t="shared" si="808"/>
        <v>0</v>
      </c>
      <c r="J3099" s="191"/>
      <c r="K3099" s="202"/>
      <c r="L3099" s="202"/>
      <c r="M3099" s="202"/>
      <c r="N3099" s="202"/>
      <c r="O3099" s="202"/>
      <c r="P3099" s="202"/>
      <c r="Q3099" s="202"/>
      <c r="R3099" s="202"/>
    </row>
    <row r="3100" spans="1:18" ht="52.8" hidden="1">
      <c r="A3100" s="82" t="s">
        <v>467</v>
      </c>
      <c r="B3100" s="83">
        <v>795</v>
      </c>
      <c r="C3100" s="84" t="s">
        <v>167</v>
      </c>
      <c r="D3100" s="84" t="s">
        <v>69</v>
      </c>
      <c r="E3100" s="84" t="s">
        <v>289</v>
      </c>
      <c r="F3100" s="84"/>
      <c r="G3100" s="87">
        <f>G3101+G3104+G3109+G3112</f>
        <v>0</v>
      </c>
      <c r="H3100" s="87">
        <f t="shared" ref="H3100:I3100" si="809">H3101+H3104+H3109+H3112</f>
        <v>0</v>
      </c>
      <c r="I3100" s="87">
        <f t="shared" si="809"/>
        <v>0</v>
      </c>
      <c r="J3100" s="173"/>
      <c r="K3100" s="202"/>
      <c r="L3100" s="202"/>
    </row>
    <row r="3101" spans="1:18" s="46" customFormat="1" ht="17.25" hidden="1" customHeight="1">
      <c r="A3101" s="82" t="s">
        <v>368</v>
      </c>
      <c r="B3101" s="83">
        <v>795</v>
      </c>
      <c r="C3101" s="84" t="s">
        <v>167</v>
      </c>
      <c r="D3101" s="84" t="s">
        <v>69</v>
      </c>
      <c r="E3101" s="84" t="s">
        <v>367</v>
      </c>
      <c r="F3101" s="84"/>
      <c r="G3101" s="87">
        <f t="shared" ref="G3101:I3102" si="810">G3102</f>
        <v>0</v>
      </c>
      <c r="H3101" s="87">
        <f t="shared" si="810"/>
        <v>0</v>
      </c>
      <c r="I3101" s="87">
        <f t="shared" si="810"/>
        <v>0</v>
      </c>
      <c r="J3101" s="173"/>
      <c r="K3101" s="202"/>
      <c r="L3101" s="202"/>
      <c r="M3101" s="215"/>
      <c r="N3101" s="215"/>
      <c r="O3101" s="215"/>
      <c r="P3101" s="215"/>
      <c r="Q3101" s="215"/>
      <c r="R3101" s="215"/>
    </row>
    <row r="3102" spans="1:18" s="46" customFormat="1" ht="17.25" hidden="1" customHeight="1">
      <c r="A3102" s="82" t="s">
        <v>316</v>
      </c>
      <c r="B3102" s="83">
        <v>795</v>
      </c>
      <c r="C3102" s="84" t="s">
        <v>167</v>
      </c>
      <c r="D3102" s="84" t="s">
        <v>69</v>
      </c>
      <c r="E3102" s="84" t="s">
        <v>367</v>
      </c>
      <c r="F3102" s="84" t="s">
        <v>36</v>
      </c>
      <c r="G3102" s="87">
        <f t="shared" si="810"/>
        <v>0</v>
      </c>
      <c r="H3102" s="87">
        <f t="shared" si="810"/>
        <v>0</v>
      </c>
      <c r="I3102" s="87">
        <f t="shared" si="810"/>
        <v>0</v>
      </c>
      <c r="J3102" s="173"/>
      <c r="K3102" s="202"/>
      <c r="L3102" s="202"/>
      <c r="M3102" s="215"/>
      <c r="N3102" s="215"/>
      <c r="O3102" s="215"/>
      <c r="P3102" s="215"/>
      <c r="Q3102" s="215"/>
      <c r="R3102" s="215"/>
    </row>
    <row r="3103" spans="1:18" s="46" customFormat="1" ht="32.25" hidden="1" customHeight="1">
      <c r="A3103" s="82" t="s">
        <v>37</v>
      </c>
      <c r="B3103" s="83">
        <v>795</v>
      </c>
      <c r="C3103" s="84" t="s">
        <v>167</v>
      </c>
      <c r="D3103" s="84" t="s">
        <v>69</v>
      </c>
      <c r="E3103" s="84" t="s">
        <v>367</v>
      </c>
      <c r="F3103" s="84" t="s">
        <v>38</v>
      </c>
      <c r="G3103" s="87"/>
      <c r="H3103" s="87"/>
      <c r="I3103" s="87"/>
      <c r="J3103" s="173"/>
      <c r="K3103" s="202"/>
      <c r="L3103" s="202"/>
      <c r="M3103" s="215"/>
      <c r="N3103" s="215"/>
      <c r="O3103" s="215"/>
      <c r="P3103" s="215"/>
      <c r="Q3103" s="215"/>
      <c r="R3103" s="215"/>
    </row>
    <row r="3104" spans="1:18" hidden="1">
      <c r="A3104" s="82" t="s">
        <v>78</v>
      </c>
      <c r="B3104" s="83">
        <v>795</v>
      </c>
      <c r="C3104" s="84" t="s">
        <v>167</v>
      </c>
      <c r="D3104" s="84" t="s">
        <v>69</v>
      </c>
      <c r="E3104" s="84" t="s">
        <v>97</v>
      </c>
      <c r="F3104" s="84"/>
      <c r="G3104" s="87">
        <f>G3105+G3107</f>
        <v>0</v>
      </c>
      <c r="H3104" s="87">
        <f>H3105+H3107</f>
        <v>0</v>
      </c>
      <c r="I3104" s="87">
        <f>I3105+I3107</f>
        <v>0</v>
      </c>
      <c r="J3104" s="173"/>
      <c r="K3104" s="202"/>
      <c r="L3104" s="202"/>
    </row>
    <row r="3105" spans="1:18" ht="26.4" hidden="1">
      <c r="A3105" s="82" t="s">
        <v>35</v>
      </c>
      <c r="B3105" s="83">
        <v>795</v>
      </c>
      <c r="C3105" s="84" t="s">
        <v>167</v>
      </c>
      <c r="D3105" s="84" t="s">
        <v>69</v>
      </c>
      <c r="E3105" s="84" t="s">
        <v>97</v>
      </c>
      <c r="F3105" s="84" t="s">
        <v>36</v>
      </c>
      <c r="G3105" s="87">
        <f>G3106</f>
        <v>0</v>
      </c>
      <c r="H3105" s="87">
        <f>H3106</f>
        <v>0</v>
      </c>
      <c r="I3105" s="87">
        <f>I3106</f>
        <v>0</v>
      </c>
      <c r="J3105" s="173"/>
      <c r="K3105" s="202"/>
      <c r="L3105" s="202"/>
    </row>
    <row r="3106" spans="1:18" ht="30.75" hidden="1" customHeight="1">
      <c r="A3106" s="82" t="s">
        <v>37</v>
      </c>
      <c r="B3106" s="83">
        <v>795</v>
      </c>
      <c r="C3106" s="84" t="s">
        <v>167</v>
      </c>
      <c r="D3106" s="84" t="s">
        <v>69</v>
      </c>
      <c r="E3106" s="84" t="s">
        <v>97</v>
      </c>
      <c r="F3106" s="84" t="s">
        <v>38</v>
      </c>
      <c r="G3106" s="87"/>
      <c r="H3106" s="87"/>
      <c r="I3106" s="87"/>
      <c r="J3106" s="173"/>
      <c r="K3106" s="202"/>
      <c r="L3106" s="202"/>
    </row>
    <row r="3107" spans="1:18" ht="18" hidden="1" customHeight="1">
      <c r="A3107" s="82" t="s">
        <v>152</v>
      </c>
      <c r="B3107" s="83">
        <v>795</v>
      </c>
      <c r="C3107" s="84" t="s">
        <v>167</v>
      </c>
      <c r="D3107" s="84" t="s">
        <v>69</v>
      </c>
      <c r="E3107" s="84" t="s">
        <v>97</v>
      </c>
      <c r="F3107" s="84" t="s">
        <v>153</v>
      </c>
      <c r="G3107" s="87">
        <f>G3108</f>
        <v>0</v>
      </c>
      <c r="H3107" s="87">
        <f>H3108</f>
        <v>0</v>
      </c>
      <c r="I3107" s="87">
        <f>I3108</f>
        <v>0</v>
      </c>
      <c r="J3107" s="173"/>
      <c r="K3107" s="202"/>
      <c r="L3107" s="202"/>
    </row>
    <row r="3108" spans="1:18" ht="18" hidden="1" customHeight="1">
      <c r="A3108" s="82" t="s">
        <v>172</v>
      </c>
      <c r="B3108" s="83">
        <v>795</v>
      </c>
      <c r="C3108" s="84" t="s">
        <v>167</v>
      </c>
      <c r="D3108" s="84" t="s">
        <v>69</v>
      </c>
      <c r="E3108" s="84" t="s">
        <v>97</v>
      </c>
      <c r="F3108" s="84" t="s">
        <v>173</v>
      </c>
      <c r="G3108" s="87"/>
      <c r="H3108" s="87"/>
      <c r="I3108" s="87"/>
      <c r="J3108" s="173"/>
      <c r="K3108" s="202"/>
      <c r="L3108" s="202"/>
    </row>
    <row r="3109" spans="1:18" ht="26.25" hidden="1" customHeight="1">
      <c r="A3109" s="82" t="s">
        <v>76</v>
      </c>
      <c r="B3109" s="83">
        <v>795</v>
      </c>
      <c r="C3109" s="84" t="s">
        <v>167</v>
      </c>
      <c r="D3109" s="84" t="s">
        <v>69</v>
      </c>
      <c r="E3109" s="84" t="s">
        <v>77</v>
      </c>
      <c r="F3109" s="84"/>
      <c r="G3109" s="87">
        <f t="shared" ref="G3109:I3110" si="811">G3110</f>
        <v>0</v>
      </c>
      <c r="H3109" s="87">
        <f t="shared" si="811"/>
        <v>0</v>
      </c>
      <c r="I3109" s="87">
        <f t="shared" si="811"/>
        <v>0</v>
      </c>
      <c r="J3109" s="173"/>
      <c r="K3109" s="202"/>
      <c r="L3109" s="202"/>
    </row>
    <row r="3110" spans="1:18" ht="26.25" hidden="1" customHeight="1">
      <c r="A3110" s="82" t="s">
        <v>35</v>
      </c>
      <c r="B3110" s="83">
        <v>795</v>
      </c>
      <c r="C3110" s="84" t="s">
        <v>167</v>
      </c>
      <c r="D3110" s="84" t="s">
        <v>69</v>
      </c>
      <c r="E3110" s="84" t="s">
        <v>77</v>
      </c>
      <c r="F3110" s="84" t="s">
        <v>36</v>
      </c>
      <c r="G3110" s="87">
        <f t="shared" si="811"/>
        <v>0</v>
      </c>
      <c r="H3110" s="87">
        <f t="shared" si="811"/>
        <v>0</v>
      </c>
      <c r="I3110" s="87">
        <f t="shared" si="811"/>
        <v>0</v>
      </c>
      <c r="J3110" s="173"/>
      <c r="K3110" s="202"/>
      <c r="L3110" s="202"/>
    </row>
    <row r="3111" spans="1:18" ht="26.4" hidden="1">
      <c r="A3111" s="82" t="s">
        <v>37</v>
      </c>
      <c r="B3111" s="83">
        <v>795</v>
      </c>
      <c r="C3111" s="84" t="s">
        <v>167</v>
      </c>
      <c r="D3111" s="84" t="s">
        <v>69</v>
      </c>
      <c r="E3111" s="84" t="s">
        <v>77</v>
      </c>
      <c r="F3111" s="84" t="s">
        <v>38</v>
      </c>
      <c r="G3111" s="87"/>
      <c r="H3111" s="87"/>
      <c r="I3111" s="87"/>
      <c r="J3111" s="173"/>
      <c r="K3111" s="202"/>
      <c r="L3111" s="202"/>
    </row>
    <row r="3112" spans="1:18" ht="30.75" hidden="1" customHeight="1">
      <c r="A3112" s="82" t="s">
        <v>669</v>
      </c>
      <c r="B3112" s="83">
        <v>795</v>
      </c>
      <c r="C3112" s="84" t="s">
        <v>167</v>
      </c>
      <c r="D3112" s="84" t="s">
        <v>69</v>
      </c>
      <c r="E3112" s="84" t="s">
        <v>404</v>
      </c>
      <c r="F3112" s="84"/>
      <c r="G3112" s="87">
        <f t="shared" ref="G3112:I3113" si="812">G3113</f>
        <v>0</v>
      </c>
      <c r="H3112" s="87">
        <f t="shared" si="812"/>
        <v>0</v>
      </c>
      <c r="I3112" s="87">
        <f t="shared" si="812"/>
        <v>0</v>
      </c>
      <c r="J3112" s="173"/>
      <c r="K3112" s="202"/>
      <c r="L3112" s="202"/>
    </row>
    <row r="3113" spans="1:18" ht="30.75" hidden="1" customHeight="1">
      <c r="A3113" s="82" t="s">
        <v>35</v>
      </c>
      <c r="B3113" s="83">
        <v>795</v>
      </c>
      <c r="C3113" s="84" t="s">
        <v>167</v>
      </c>
      <c r="D3113" s="84" t="s">
        <v>69</v>
      </c>
      <c r="E3113" s="84" t="s">
        <v>404</v>
      </c>
      <c r="F3113" s="84" t="s">
        <v>36</v>
      </c>
      <c r="G3113" s="87">
        <f t="shared" si="812"/>
        <v>0</v>
      </c>
      <c r="H3113" s="87">
        <f t="shared" si="812"/>
        <v>0</v>
      </c>
      <c r="I3113" s="87">
        <f t="shared" si="812"/>
        <v>0</v>
      </c>
      <c r="J3113" s="173"/>
      <c r="K3113" s="202"/>
      <c r="L3113" s="202"/>
    </row>
    <row r="3114" spans="1:18" ht="30.75" hidden="1" customHeight="1">
      <c r="A3114" s="82" t="s">
        <v>37</v>
      </c>
      <c r="B3114" s="83">
        <v>795</v>
      </c>
      <c r="C3114" s="84" t="s">
        <v>167</v>
      </c>
      <c r="D3114" s="84" t="s">
        <v>69</v>
      </c>
      <c r="E3114" s="84" t="s">
        <v>404</v>
      </c>
      <c r="F3114" s="84" t="s">
        <v>38</v>
      </c>
      <c r="G3114" s="87"/>
      <c r="H3114" s="87"/>
      <c r="I3114" s="87"/>
      <c r="J3114" s="173"/>
      <c r="K3114" s="202"/>
      <c r="L3114" s="202"/>
    </row>
    <row r="3115" spans="1:18" ht="44.25" hidden="1" customHeight="1">
      <c r="A3115" s="82" t="s">
        <v>451</v>
      </c>
      <c r="B3115" s="83">
        <v>795</v>
      </c>
      <c r="C3115" s="84" t="s">
        <v>167</v>
      </c>
      <c r="D3115" s="84" t="s">
        <v>69</v>
      </c>
      <c r="E3115" s="84" t="s">
        <v>135</v>
      </c>
      <c r="F3115" s="84"/>
      <c r="G3115" s="87">
        <f>G3116+G3119</f>
        <v>0</v>
      </c>
      <c r="H3115" s="87">
        <f t="shared" ref="H3115:I3115" si="813">H3116+H3119</f>
        <v>0</v>
      </c>
      <c r="I3115" s="87">
        <f t="shared" si="813"/>
        <v>0</v>
      </c>
      <c r="J3115" s="173"/>
      <c r="K3115" s="202"/>
      <c r="L3115" s="202"/>
    </row>
    <row r="3116" spans="1:18" s="22" customFormat="1" ht="36" hidden="1" customHeight="1">
      <c r="A3116" s="82" t="s">
        <v>616</v>
      </c>
      <c r="B3116" s="145">
        <v>795</v>
      </c>
      <c r="C3116" s="84" t="s">
        <v>167</v>
      </c>
      <c r="D3116" s="84" t="s">
        <v>69</v>
      </c>
      <c r="E3116" s="84" t="s">
        <v>617</v>
      </c>
      <c r="F3116" s="152"/>
      <c r="G3116" s="87">
        <f>G3117</f>
        <v>0</v>
      </c>
      <c r="H3116" s="87">
        <f t="shared" ref="H3116:I3117" si="814">H3117</f>
        <v>0</v>
      </c>
      <c r="I3116" s="87">
        <f t="shared" si="814"/>
        <v>0</v>
      </c>
      <c r="J3116" s="173"/>
      <c r="K3116" s="202"/>
      <c r="L3116" s="202"/>
      <c r="M3116" s="202"/>
      <c r="N3116" s="202"/>
      <c r="O3116" s="202"/>
      <c r="P3116" s="202"/>
      <c r="Q3116" s="202"/>
      <c r="R3116" s="202"/>
    </row>
    <row r="3117" spans="1:18" s="22" customFormat="1" ht="24" hidden="1" customHeight="1">
      <c r="A3117" s="82" t="s">
        <v>152</v>
      </c>
      <c r="B3117" s="145">
        <v>795</v>
      </c>
      <c r="C3117" s="84" t="s">
        <v>167</v>
      </c>
      <c r="D3117" s="84" t="s">
        <v>69</v>
      </c>
      <c r="E3117" s="84" t="s">
        <v>617</v>
      </c>
      <c r="F3117" s="84" t="s">
        <v>153</v>
      </c>
      <c r="G3117" s="87">
        <f>G3118</f>
        <v>0</v>
      </c>
      <c r="H3117" s="87">
        <f t="shared" si="814"/>
        <v>0</v>
      </c>
      <c r="I3117" s="87">
        <f t="shared" si="814"/>
        <v>0</v>
      </c>
      <c r="J3117" s="173"/>
      <c r="K3117" s="202"/>
      <c r="L3117" s="202"/>
      <c r="M3117" s="202"/>
      <c r="N3117" s="202"/>
      <c r="O3117" s="202"/>
      <c r="P3117" s="202"/>
      <c r="Q3117" s="202"/>
      <c r="R3117" s="202"/>
    </row>
    <row r="3118" spans="1:18" s="22" customFormat="1" ht="24" hidden="1" customHeight="1">
      <c r="A3118" s="82" t="s">
        <v>172</v>
      </c>
      <c r="B3118" s="145">
        <v>795</v>
      </c>
      <c r="C3118" s="84" t="s">
        <v>167</v>
      </c>
      <c r="D3118" s="84" t="s">
        <v>69</v>
      </c>
      <c r="E3118" s="84" t="s">
        <v>617</v>
      </c>
      <c r="F3118" s="84" t="s">
        <v>173</v>
      </c>
      <c r="G3118" s="87"/>
      <c r="H3118" s="87">
        <v>0</v>
      </c>
      <c r="I3118" s="87">
        <v>0</v>
      </c>
      <c r="J3118" s="173"/>
      <c r="K3118" s="202"/>
      <c r="L3118" s="202"/>
      <c r="M3118" s="202"/>
      <c r="N3118" s="202"/>
      <c r="O3118" s="202"/>
      <c r="P3118" s="202"/>
      <c r="Q3118" s="202"/>
      <c r="R3118" s="202"/>
    </row>
    <row r="3119" spans="1:18" ht="50.25" hidden="1" customHeight="1">
      <c r="A3119" s="82" t="s">
        <v>390</v>
      </c>
      <c r="B3119" s="83">
        <v>795</v>
      </c>
      <c r="C3119" s="84" t="s">
        <v>167</v>
      </c>
      <c r="D3119" s="84" t="s">
        <v>69</v>
      </c>
      <c r="E3119" s="84" t="s">
        <v>389</v>
      </c>
      <c r="F3119" s="84"/>
      <c r="G3119" s="87">
        <f>G3120</f>
        <v>0</v>
      </c>
      <c r="H3119" s="87">
        <f t="shared" ref="H3119:I3120" si="815">H3120</f>
        <v>0</v>
      </c>
      <c r="I3119" s="87">
        <f t="shared" si="815"/>
        <v>0</v>
      </c>
      <c r="J3119" s="173"/>
      <c r="K3119" s="202"/>
      <c r="L3119" s="202"/>
    </row>
    <row r="3120" spans="1:18" ht="23.25" hidden="1" customHeight="1">
      <c r="A3120" s="82" t="s">
        <v>152</v>
      </c>
      <c r="B3120" s="83">
        <v>795</v>
      </c>
      <c r="C3120" s="84" t="s">
        <v>167</v>
      </c>
      <c r="D3120" s="84" t="s">
        <v>69</v>
      </c>
      <c r="E3120" s="84" t="s">
        <v>389</v>
      </c>
      <c r="F3120" s="84" t="s">
        <v>153</v>
      </c>
      <c r="G3120" s="87">
        <f>G3121</f>
        <v>0</v>
      </c>
      <c r="H3120" s="87">
        <f t="shared" si="815"/>
        <v>0</v>
      </c>
      <c r="I3120" s="87">
        <f t="shared" si="815"/>
        <v>0</v>
      </c>
      <c r="J3120" s="173"/>
      <c r="K3120" s="202"/>
      <c r="L3120" s="202"/>
    </row>
    <row r="3121" spans="1:18" ht="23.25" hidden="1" customHeight="1">
      <c r="A3121" s="82" t="s">
        <v>172</v>
      </c>
      <c r="B3121" s="83">
        <v>795</v>
      </c>
      <c r="C3121" s="84" t="s">
        <v>167</v>
      </c>
      <c r="D3121" s="84" t="s">
        <v>69</v>
      </c>
      <c r="E3121" s="84" t="s">
        <v>389</v>
      </c>
      <c r="F3121" s="84" t="s">
        <v>173</v>
      </c>
      <c r="G3121" s="87"/>
      <c r="H3121" s="85"/>
      <c r="I3121" s="85"/>
      <c r="J3121" s="174"/>
      <c r="K3121" s="202"/>
      <c r="L3121" s="202"/>
    </row>
    <row r="3122" spans="1:18" s="22" customFormat="1" ht="26.4" hidden="1">
      <c r="A3122" s="150" t="s">
        <v>560</v>
      </c>
      <c r="B3122" s="264">
        <v>795</v>
      </c>
      <c r="C3122" s="152" t="s">
        <v>167</v>
      </c>
      <c r="D3122" s="152" t="s">
        <v>167</v>
      </c>
      <c r="E3122" s="152"/>
      <c r="F3122" s="152"/>
      <c r="G3122" s="153">
        <f>G3123+G3146</f>
        <v>0</v>
      </c>
      <c r="H3122" s="153">
        <f t="shared" ref="H3122:I3122" si="816">H3123</f>
        <v>0</v>
      </c>
      <c r="I3122" s="153">
        <f t="shared" si="816"/>
        <v>0</v>
      </c>
      <c r="J3122" s="191"/>
      <c r="K3122" s="202"/>
      <c r="L3122" s="202"/>
      <c r="M3122" s="202"/>
      <c r="N3122" s="202"/>
      <c r="O3122" s="202"/>
      <c r="P3122" s="202"/>
      <c r="Q3122" s="202"/>
      <c r="R3122" s="202"/>
    </row>
    <row r="3123" spans="1:18" ht="54" hidden="1" customHeight="1">
      <c r="A3123" s="82" t="s">
        <v>467</v>
      </c>
      <c r="B3123" s="83">
        <v>795</v>
      </c>
      <c r="C3123" s="84" t="s">
        <v>167</v>
      </c>
      <c r="D3123" s="84" t="s">
        <v>167</v>
      </c>
      <c r="E3123" s="84" t="s">
        <v>289</v>
      </c>
      <c r="F3123" s="84"/>
      <c r="G3123" s="87">
        <f>G3124+G3131+G3136+G3147</f>
        <v>0</v>
      </c>
      <c r="H3123" s="87">
        <f t="shared" ref="H3123:I3123" si="817">H3127+H3136+H3141+H3124</f>
        <v>0</v>
      </c>
      <c r="I3123" s="87">
        <f t="shared" si="817"/>
        <v>0</v>
      </c>
      <c r="J3123" s="173"/>
      <c r="K3123" s="202"/>
      <c r="L3123" s="202"/>
    </row>
    <row r="3124" spans="1:18" ht="73.5" hidden="1" customHeight="1">
      <c r="A3124" s="136" t="s">
        <v>680</v>
      </c>
      <c r="B3124" s="83">
        <v>795</v>
      </c>
      <c r="C3124" s="84" t="s">
        <v>167</v>
      </c>
      <c r="D3124" s="84" t="s">
        <v>167</v>
      </c>
      <c r="E3124" s="84" t="s">
        <v>687</v>
      </c>
      <c r="F3124" s="84"/>
      <c r="G3124" s="87">
        <f>G3125</f>
        <v>0</v>
      </c>
      <c r="H3124" s="85">
        <v>0</v>
      </c>
      <c r="I3124" s="85">
        <v>0</v>
      </c>
      <c r="J3124" s="174"/>
      <c r="K3124" s="202"/>
      <c r="L3124" s="202"/>
    </row>
    <row r="3125" spans="1:18" ht="21" hidden="1" customHeight="1">
      <c r="A3125" s="82" t="s">
        <v>152</v>
      </c>
      <c r="B3125" s="83">
        <v>795</v>
      </c>
      <c r="C3125" s="84" t="s">
        <v>167</v>
      </c>
      <c r="D3125" s="84" t="s">
        <v>167</v>
      </c>
      <c r="E3125" s="84" t="s">
        <v>687</v>
      </c>
      <c r="F3125" s="84" t="s">
        <v>153</v>
      </c>
      <c r="G3125" s="87">
        <f>G3126</f>
        <v>0</v>
      </c>
      <c r="H3125" s="85">
        <v>0</v>
      </c>
      <c r="I3125" s="85">
        <v>0</v>
      </c>
      <c r="J3125" s="174"/>
      <c r="K3125" s="202"/>
      <c r="L3125" s="202"/>
    </row>
    <row r="3126" spans="1:18" ht="20.25" hidden="1" customHeight="1">
      <c r="A3126" s="82" t="s">
        <v>164</v>
      </c>
      <c r="B3126" s="83">
        <v>795</v>
      </c>
      <c r="C3126" s="84" t="s">
        <v>167</v>
      </c>
      <c r="D3126" s="84" t="s">
        <v>167</v>
      </c>
      <c r="E3126" s="84" t="s">
        <v>687</v>
      </c>
      <c r="F3126" s="84" t="s">
        <v>165</v>
      </c>
      <c r="G3126" s="87"/>
      <c r="H3126" s="85"/>
      <c r="I3126" s="85"/>
      <c r="J3126" s="174"/>
      <c r="K3126" s="202"/>
      <c r="L3126" s="202"/>
    </row>
    <row r="3127" spans="1:18" ht="25.5" hidden="1" customHeight="1">
      <c r="A3127" s="136" t="s">
        <v>599</v>
      </c>
      <c r="B3127" s="83">
        <v>795</v>
      </c>
      <c r="C3127" s="84" t="s">
        <v>167</v>
      </c>
      <c r="D3127" s="84" t="s">
        <v>167</v>
      </c>
      <c r="E3127" s="84" t="s">
        <v>596</v>
      </c>
      <c r="F3127" s="84"/>
      <c r="G3127" s="87">
        <f>G3128</f>
        <v>0</v>
      </c>
      <c r="H3127" s="85">
        <v>0</v>
      </c>
      <c r="I3127" s="85">
        <v>0</v>
      </c>
      <c r="J3127" s="174"/>
      <c r="K3127" s="202"/>
      <c r="L3127" s="202"/>
    </row>
    <row r="3128" spans="1:18" ht="39.75" hidden="1" customHeight="1">
      <c r="A3128" s="136" t="s">
        <v>598</v>
      </c>
      <c r="B3128" s="83">
        <v>795</v>
      </c>
      <c r="C3128" s="84" t="s">
        <v>167</v>
      </c>
      <c r="D3128" s="84" t="s">
        <v>167</v>
      </c>
      <c r="E3128" s="84" t="s">
        <v>597</v>
      </c>
      <c r="F3128" s="84"/>
      <c r="G3128" s="87">
        <f>G3129</f>
        <v>0</v>
      </c>
      <c r="H3128" s="85">
        <v>0</v>
      </c>
      <c r="I3128" s="85">
        <v>0</v>
      </c>
      <c r="J3128" s="174"/>
      <c r="K3128" s="202"/>
      <c r="L3128" s="202"/>
    </row>
    <row r="3129" spans="1:18" ht="30.75" hidden="1" customHeight="1">
      <c r="A3129" s="82" t="s">
        <v>94</v>
      </c>
      <c r="B3129" s="83">
        <v>795</v>
      </c>
      <c r="C3129" s="84" t="s">
        <v>167</v>
      </c>
      <c r="D3129" s="84" t="s">
        <v>167</v>
      </c>
      <c r="E3129" s="84" t="s">
        <v>597</v>
      </c>
      <c r="F3129" s="84" t="s">
        <v>338</v>
      </c>
      <c r="G3129" s="87">
        <f>G3130</f>
        <v>0</v>
      </c>
      <c r="H3129" s="85">
        <v>0</v>
      </c>
      <c r="I3129" s="85">
        <v>0</v>
      </c>
      <c r="J3129" s="174"/>
      <c r="K3129" s="202"/>
      <c r="L3129" s="202"/>
    </row>
    <row r="3130" spans="1:18" ht="30.75" hidden="1" customHeight="1">
      <c r="A3130" s="82" t="s">
        <v>339</v>
      </c>
      <c r="B3130" s="83">
        <v>795</v>
      </c>
      <c r="C3130" s="84" t="s">
        <v>167</v>
      </c>
      <c r="D3130" s="84" t="s">
        <v>167</v>
      </c>
      <c r="E3130" s="84" t="s">
        <v>597</v>
      </c>
      <c r="F3130" s="84" t="s">
        <v>340</v>
      </c>
      <c r="G3130" s="87"/>
      <c r="H3130" s="85">
        <v>0</v>
      </c>
      <c r="I3130" s="85">
        <v>0</v>
      </c>
      <c r="J3130" s="174"/>
      <c r="K3130" s="202"/>
      <c r="L3130" s="202"/>
    </row>
    <row r="3131" spans="1:18" ht="55.5" hidden="1" customHeight="1">
      <c r="A3131" s="136" t="s">
        <v>704</v>
      </c>
      <c r="B3131" s="83">
        <v>795</v>
      </c>
      <c r="C3131" s="84" t="s">
        <v>167</v>
      </c>
      <c r="D3131" s="84" t="s">
        <v>167</v>
      </c>
      <c r="E3131" s="84" t="s">
        <v>688</v>
      </c>
      <c r="F3131" s="84"/>
      <c r="G3131" s="87">
        <f>G3132+G3134</f>
        <v>0</v>
      </c>
      <c r="H3131" s="87">
        <f t="shared" ref="H3131:I3131" si="818">H3132+H3134</f>
        <v>0</v>
      </c>
      <c r="I3131" s="87">
        <f t="shared" si="818"/>
        <v>0</v>
      </c>
      <c r="J3131" s="173"/>
      <c r="K3131" s="202"/>
      <c r="L3131" s="202"/>
    </row>
    <row r="3132" spans="1:18" ht="27" hidden="1" customHeight="1">
      <c r="A3132" s="82" t="s">
        <v>94</v>
      </c>
      <c r="B3132" s="83">
        <v>795</v>
      </c>
      <c r="C3132" s="84" t="s">
        <v>167</v>
      </c>
      <c r="D3132" s="84" t="s">
        <v>167</v>
      </c>
      <c r="E3132" s="84" t="s">
        <v>582</v>
      </c>
      <c r="F3132" s="84" t="s">
        <v>338</v>
      </c>
      <c r="G3132" s="87">
        <f>G3133</f>
        <v>0</v>
      </c>
      <c r="H3132" s="85">
        <f>H3133</f>
        <v>0</v>
      </c>
      <c r="I3132" s="85">
        <v>0</v>
      </c>
      <c r="J3132" s="174"/>
      <c r="K3132" s="202"/>
      <c r="L3132" s="202"/>
    </row>
    <row r="3133" spans="1:18" ht="18.75" hidden="1" customHeight="1">
      <c r="A3133" s="82" t="s">
        <v>339</v>
      </c>
      <c r="B3133" s="83">
        <v>795</v>
      </c>
      <c r="C3133" s="84" t="s">
        <v>167</v>
      </c>
      <c r="D3133" s="84" t="s">
        <v>167</v>
      </c>
      <c r="E3133" s="84" t="s">
        <v>582</v>
      </c>
      <c r="F3133" s="84" t="s">
        <v>340</v>
      </c>
      <c r="G3133" s="87"/>
      <c r="H3133" s="85"/>
      <c r="I3133" s="85">
        <v>0</v>
      </c>
      <c r="J3133" s="174"/>
      <c r="K3133" s="202"/>
      <c r="L3133" s="202"/>
    </row>
    <row r="3134" spans="1:18" ht="39.75" hidden="1" customHeight="1">
      <c r="A3134" s="82" t="s">
        <v>35</v>
      </c>
      <c r="B3134" s="83">
        <v>795</v>
      </c>
      <c r="C3134" s="84" t="s">
        <v>167</v>
      </c>
      <c r="D3134" s="84" t="s">
        <v>167</v>
      </c>
      <c r="E3134" s="84" t="s">
        <v>689</v>
      </c>
      <c r="F3134" s="84" t="s">
        <v>338</v>
      </c>
      <c r="G3134" s="87">
        <f>G3135</f>
        <v>0</v>
      </c>
      <c r="H3134" s="85"/>
      <c r="I3134" s="85"/>
      <c r="J3134" s="174"/>
      <c r="K3134" s="202"/>
      <c r="L3134" s="202"/>
    </row>
    <row r="3135" spans="1:18" ht="39" hidden="1" customHeight="1">
      <c r="A3135" s="82" t="s">
        <v>37</v>
      </c>
      <c r="B3135" s="83">
        <v>795</v>
      </c>
      <c r="C3135" s="84" t="s">
        <v>167</v>
      </c>
      <c r="D3135" s="84" t="s">
        <v>167</v>
      </c>
      <c r="E3135" s="84" t="s">
        <v>688</v>
      </c>
      <c r="F3135" s="84" t="s">
        <v>340</v>
      </c>
      <c r="G3135" s="87">
        <f>358104.72+400000-758104.72</f>
        <v>0</v>
      </c>
      <c r="H3135" s="85"/>
      <c r="I3135" s="85"/>
      <c r="J3135" s="174"/>
      <c r="K3135" s="202"/>
      <c r="L3135" s="202"/>
    </row>
    <row r="3136" spans="1:18" ht="57" hidden="1" customHeight="1">
      <c r="A3136" s="136" t="s">
        <v>704</v>
      </c>
      <c r="B3136" s="83">
        <v>795</v>
      </c>
      <c r="C3136" s="84" t="s">
        <v>167</v>
      </c>
      <c r="D3136" s="84" t="s">
        <v>167</v>
      </c>
      <c r="E3136" s="84" t="s">
        <v>582</v>
      </c>
      <c r="F3136" s="84"/>
      <c r="G3136" s="87">
        <f>G3137+G3139</f>
        <v>0</v>
      </c>
      <c r="H3136" s="87">
        <f t="shared" ref="H3136:I3136" si="819">H3137+H3139</f>
        <v>0</v>
      </c>
      <c r="I3136" s="87">
        <f t="shared" si="819"/>
        <v>0</v>
      </c>
      <c r="J3136" s="173"/>
      <c r="K3136" s="202"/>
      <c r="L3136" s="202"/>
    </row>
    <row r="3137" spans="1:18" ht="27" hidden="1" customHeight="1">
      <c r="A3137" s="82" t="s">
        <v>94</v>
      </c>
      <c r="B3137" s="83">
        <v>795</v>
      </c>
      <c r="C3137" s="84" t="s">
        <v>167</v>
      </c>
      <c r="D3137" s="84" t="s">
        <v>167</v>
      </c>
      <c r="E3137" s="84" t="s">
        <v>582</v>
      </c>
      <c r="F3137" s="84" t="s">
        <v>338</v>
      </c>
      <c r="G3137" s="87">
        <f>G3138</f>
        <v>0</v>
      </c>
      <c r="H3137" s="85">
        <f>H3138</f>
        <v>0</v>
      </c>
      <c r="I3137" s="85">
        <v>0</v>
      </c>
      <c r="J3137" s="174"/>
      <c r="K3137" s="202"/>
      <c r="L3137" s="202"/>
    </row>
    <row r="3138" spans="1:18" ht="18.75" hidden="1" customHeight="1">
      <c r="A3138" s="82" t="s">
        <v>339</v>
      </c>
      <c r="B3138" s="83">
        <v>795</v>
      </c>
      <c r="C3138" s="84" t="s">
        <v>167</v>
      </c>
      <c r="D3138" s="84" t="s">
        <v>167</v>
      </c>
      <c r="E3138" s="84" t="s">
        <v>582</v>
      </c>
      <c r="F3138" s="84" t="s">
        <v>340</v>
      </c>
      <c r="G3138" s="87"/>
      <c r="H3138" s="85"/>
      <c r="I3138" s="85">
        <v>0</v>
      </c>
      <c r="J3138" s="174"/>
      <c r="K3138" s="202"/>
      <c r="L3138" s="202"/>
    </row>
    <row r="3139" spans="1:18" ht="30" hidden="1" customHeight="1">
      <c r="A3139" s="82" t="s">
        <v>35</v>
      </c>
      <c r="B3139" s="83">
        <v>795</v>
      </c>
      <c r="C3139" s="84" t="s">
        <v>167</v>
      </c>
      <c r="D3139" s="84" t="s">
        <v>167</v>
      </c>
      <c r="E3139" s="84" t="s">
        <v>582</v>
      </c>
      <c r="F3139" s="84" t="s">
        <v>338</v>
      </c>
      <c r="G3139" s="87">
        <f>G3140</f>
        <v>0</v>
      </c>
      <c r="H3139" s="85">
        <v>0</v>
      </c>
      <c r="I3139" s="85">
        <v>0</v>
      </c>
      <c r="J3139" s="174"/>
      <c r="K3139" s="202"/>
      <c r="L3139" s="202"/>
    </row>
    <row r="3140" spans="1:18" ht="30.75" hidden="1" customHeight="1">
      <c r="A3140" s="82" t="s">
        <v>37</v>
      </c>
      <c r="B3140" s="83">
        <v>795</v>
      </c>
      <c r="C3140" s="84" t="s">
        <v>167</v>
      </c>
      <c r="D3140" s="84" t="s">
        <v>167</v>
      </c>
      <c r="E3140" s="84" t="s">
        <v>582</v>
      </c>
      <c r="F3140" s="84" t="s">
        <v>340</v>
      </c>
      <c r="G3140" s="87"/>
      <c r="H3140" s="85"/>
      <c r="I3140" s="85"/>
      <c r="J3140" s="174"/>
      <c r="K3140" s="202"/>
      <c r="L3140" s="202"/>
    </row>
    <row r="3141" spans="1:18" s="3" customFormat="1" ht="33.75" hidden="1" customHeight="1">
      <c r="A3141" s="82" t="s">
        <v>482</v>
      </c>
      <c r="B3141" s="83">
        <v>795</v>
      </c>
      <c r="C3141" s="84" t="s">
        <v>167</v>
      </c>
      <c r="D3141" s="84" t="s">
        <v>167</v>
      </c>
      <c r="E3141" s="84" t="s">
        <v>483</v>
      </c>
      <c r="F3141" s="84"/>
      <c r="G3141" s="87">
        <f>G3142</f>
        <v>0</v>
      </c>
      <c r="H3141" s="85">
        <v>0</v>
      </c>
      <c r="I3141" s="85">
        <v>0</v>
      </c>
      <c r="J3141" s="174"/>
      <c r="K3141" s="202"/>
      <c r="L3141" s="202"/>
      <c r="M3141" s="194"/>
      <c r="N3141" s="194"/>
      <c r="O3141" s="194"/>
      <c r="P3141" s="194"/>
      <c r="Q3141" s="194"/>
      <c r="R3141" s="194"/>
    </row>
    <row r="3142" spans="1:18" s="3" customFormat="1" ht="38.25" hidden="1" customHeight="1">
      <c r="A3142" s="82" t="s">
        <v>35</v>
      </c>
      <c r="B3142" s="83">
        <v>795</v>
      </c>
      <c r="C3142" s="84" t="s">
        <v>167</v>
      </c>
      <c r="D3142" s="84" t="s">
        <v>167</v>
      </c>
      <c r="E3142" s="84" t="s">
        <v>483</v>
      </c>
      <c r="F3142" s="84" t="s">
        <v>36</v>
      </c>
      <c r="G3142" s="87">
        <f>G3143</f>
        <v>0</v>
      </c>
      <c r="H3142" s="85">
        <v>0</v>
      </c>
      <c r="I3142" s="85">
        <v>0</v>
      </c>
      <c r="J3142" s="174"/>
      <c r="K3142" s="202"/>
      <c r="L3142" s="202"/>
      <c r="M3142" s="194"/>
      <c r="N3142" s="194"/>
      <c r="O3142" s="194"/>
      <c r="P3142" s="194"/>
      <c r="Q3142" s="194"/>
      <c r="R3142" s="194"/>
    </row>
    <row r="3143" spans="1:18" s="3" customFormat="1" ht="38.25" hidden="1" customHeight="1">
      <c r="A3143" s="82" t="s">
        <v>37</v>
      </c>
      <c r="B3143" s="83">
        <v>795</v>
      </c>
      <c r="C3143" s="84" t="s">
        <v>167</v>
      </c>
      <c r="D3143" s="84" t="s">
        <v>167</v>
      </c>
      <c r="E3143" s="84" t="s">
        <v>483</v>
      </c>
      <c r="F3143" s="84" t="s">
        <v>38</v>
      </c>
      <c r="G3143" s="87"/>
      <c r="H3143" s="85">
        <v>0</v>
      </c>
      <c r="I3143" s="85">
        <v>0</v>
      </c>
      <c r="J3143" s="174"/>
      <c r="K3143" s="202"/>
      <c r="L3143" s="202"/>
      <c r="M3143" s="194"/>
      <c r="N3143" s="194"/>
      <c r="O3143" s="194"/>
      <c r="P3143" s="194"/>
      <c r="Q3143" s="194"/>
      <c r="R3143" s="194"/>
    </row>
    <row r="3144" spans="1:18" ht="57" hidden="1" customHeight="1">
      <c r="A3144" s="136" t="s">
        <v>833</v>
      </c>
      <c r="B3144" s="83">
        <v>795</v>
      </c>
      <c r="C3144" s="84" t="s">
        <v>167</v>
      </c>
      <c r="D3144" s="84" t="s">
        <v>167</v>
      </c>
      <c r="E3144" s="84" t="s">
        <v>832</v>
      </c>
      <c r="F3144" s="84"/>
      <c r="G3144" s="87">
        <f>G3145</f>
        <v>0</v>
      </c>
      <c r="H3144" s="87">
        <f t="shared" ref="H3144:I3144" si="820">H3145+H3147</f>
        <v>0</v>
      </c>
      <c r="I3144" s="87">
        <f t="shared" si="820"/>
        <v>0</v>
      </c>
      <c r="J3144" s="173"/>
      <c r="K3144" s="202"/>
      <c r="L3144" s="202"/>
    </row>
    <row r="3145" spans="1:18" ht="27" hidden="1" customHeight="1">
      <c r="A3145" s="82" t="s">
        <v>62</v>
      </c>
      <c r="B3145" s="83">
        <v>795</v>
      </c>
      <c r="C3145" s="84" t="s">
        <v>167</v>
      </c>
      <c r="D3145" s="84" t="s">
        <v>167</v>
      </c>
      <c r="E3145" s="84" t="s">
        <v>832</v>
      </c>
      <c r="F3145" s="84" t="s">
        <v>63</v>
      </c>
      <c r="G3145" s="87">
        <f>G3146</f>
        <v>0</v>
      </c>
      <c r="H3145" s="85">
        <f>H3146</f>
        <v>0</v>
      </c>
      <c r="I3145" s="85">
        <v>0</v>
      </c>
      <c r="J3145" s="174"/>
      <c r="K3145" s="202"/>
      <c r="L3145" s="202"/>
    </row>
    <row r="3146" spans="1:18" ht="18.75" hidden="1" customHeight="1">
      <c r="A3146" s="82" t="s">
        <v>174</v>
      </c>
      <c r="B3146" s="83">
        <v>795</v>
      </c>
      <c r="C3146" s="84" t="s">
        <v>167</v>
      </c>
      <c r="D3146" s="84" t="s">
        <v>167</v>
      </c>
      <c r="E3146" s="84" t="s">
        <v>832</v>
      </c>
      <c r="F3146" s="84" t="s">
        <v>175</v>
      </c>
      <c r="G3146" s="87"/>
      <c r="H3146" s="85"/>
      <c r="I3146" s="85">
        <v>0</v>
      </c>
      <c r="J3146" s="174"/>
      <c r="K3146" s="202"/>
      <c r="L3146" s="202"/>
    </row>
    <row r="3147" spans="1:18" s="3" customFormat="1" ht="72" hidden="1" customHeight="1">
      <c r="A3147" s="82" t="s">
        <v>786</v>
      </c>
      <c r="B3147" s="83">
        <v>795</v>
      </c>
      <c r="C3147" s="84" t="s">
        <v>167</v>
      </c>
      <c r="D3147" s="84" t="s">
        <v>167</v>
      </c>
      <c r="E3147" s="84" t="s">
        <v>686</v>
      </c>
      <c r="F3147" s="84"/>
      <c r="G3147" s="87"/>
      <c r="H3147" s="85">
        <f>H3148</f>
        <v>0</v>
      </c>
      <c r="I3147" s="85">
        <f>I3148</f>
        <v>0</v>
      </c>
      <c r="J3147" s="174"/>
      <c r="K3147" s="202"/>
      <c r="L3147" s="202"/>
      <c r="M3147" s="194"/>
      <c r="N3147" s="194"/>
      <c r="O3147" s="194"/>
      <c r="P3147" s="194"/>
      <c r="Q3147" s="194"/>
      <c r="R3147" s="194"/>
    </row>
    <row r="3148" spans="1:18" s="3" customFormat="1" ht="38.25" hidden="1" customHeight="1">
      <c r="A3148" s="82" t="s">
        <v>152</v>
      </c>
      <c r="B3148" s="83">
        <v>795</v>
      </c>
      <c r="C3148" s="84" t="s">
        <v>167</v>
      </c>
      <c r="D3148" s="84" t="s">
        <v>167</v>
      </c>
      <c r="E3148" s="84" t="s">
        <v>686</v>
      </c>
      <c r="F3148" s="84" t="s">
        <v>153</v>
      </c>
      <c r="G3148" s="87">
        <f>G3149</f>
        <v>0</v>
      </c>
      <c r="H3148" s="85">
        <f>H3149</f>
        <v>0</v>
      </c>
      <c r="I3148" s="85">
        <f>I3149</f>
        <v>0</v>
      </c>
      <c r="J3148" s="174"/>
      <c r="K3148" s="202"/>
      <c r="L3148" s="202"/>
      <c r="M3148" s="194"/>
      <c r="N3148" s="194"/>
      <c r="O3148" s="194"/>
      <c r="P3148" s="194"/>
      <c r="Q3148" s="194"/>
      <c r="R3148" s="194"/>
    </row>
    <row r="3149" spans="1:18" s="3" customFormat="1" ht="38.25" hidden="1" customHeight="1">
      <c r="A3149" s="82" t="s">
        <v>172</v>
      </c>
      <c r="B3149" s="83">
        <v>795</v>
      </c>
      <c r="C3149" s="84" t="s">
        <v>167</v>
      </c>
      <c r="D3149" s="84" t="s">
        <v>167</v>
      </c>
      <c r="E3149" s="84" t="s">
        <v>686</v>
      </c>
      <c r="F3149" s="84" t="s">
        <v>173</v>
      </c>
      <c r="G3149" s="87"/>
      <c r="H3149" s="85"/>
      <c r="I3149" s="85"/>
      <c r="J3149" s="174"/>
      <c r="K3149" s="202"/>
      <c r="L3149" s="202"/>
      <c r="M3149" s="194"/>
      <c r="N3149" s="194"/>
      <c r="O3149" s="194"/>
      <c r="P3149" s="194"/>
      <c r="Q3149" s="194"/>
      <c r="R3149" s="194"/>
    </row>
    <row r="3150" spans="1:18" s="22" customFormat="1" ht="22.5" hidden="1" customHeight="1">
      <c r="A3150" s="150" t="s">
        <v>2</v>
      </c>
      <c r="B3150" s="264">
        <v>795</v>
      </c>
      <c r="C3150" s="152" t="s">
        <v>157</v>
      </c>
      <c r="D3150" s="152"/>
      <c r="E3150" s="152"/>
      <c r="F3150" s="152"/>
      <c r="G3150" s="153">
        <f t="shared" ref="G3150:I3151" si="821">G3151</f>
        <v>0</v>
      </c>
      <c r="H3150" s="153">
        <f t="shared" si="821"/>
        <v>0</v>
      </c>
      <c r="I3150" s="153">
        <f t="shared" si="821"/>
        <v>0</v>
      </c>
      <c r="J3150" s="191"/>
      <c r="K3150" s="202"/>
      <c r="L3150" s="202"/>
      <c r="M3150" s="202"/>
      <c r="N3150" s="202"/>
      <c r="O3150" s="202"/>
      <c r="P3150" s="202"/>
      <c r="Q3150" s="202"/>
      <c r="R3150" s="202"/>
    </row>
    <row r="3151" spans="1:18" s="3" customFormat="1" ht="24.75" hidden="1" customHeight="1">
      <c r="A3151" s="82" t="s">
        <v>342</v>
      </c>
      <c r="B3151" s="83">
        <v>795</v>
      </c>
      <c r="C3151" s="84" t="s">
        <v>157</v>
      </c>
      <c r="D3151" s="84" t="s">
        <v>167</v>
      </c>
      <c r="E3151" s="84"/>
      <c r="F3151" s="84"/>
      <c r="G3151" s="87">
        <f t="shared" si="821"/>
        <v>0</v>
      </c>
      <c r="H3151" s="87">
        <f t="shared" si="821"/>
        <v>0</v>
      </c>
      <c r="I3151" s="87">
        <f t="shared" si="821"/>
        <v>0</v>
      </c>
      <c r="J3151" s="173"/>
      <c r="K3151" s="202"/>
      <c r="L3151" s="202"/>
      <c r="M3151" s="194"/>
      <c r="N3151" s="194"/>
      <c r="O3151" s="194"/>
      <c r="P3151" s="194"/>
      <c r="Q3151" s="194"/>
      <c r="R3151" s="194"/>
    </row>
    <row r="3152" spans="1:18" s="3" customFormat="1" ht="38.25" hidden="1" customHeight="1">
      <c r="A3152" s="82" t="s">
        <v>457</v>
      </c>
      <c r="B3152" s="83">
        <v>795</v>
      </c>
      <c r="C3152" s="84" t="s">
        <v>157</v>
      </c>
      <c r="D3152" s="84" t="s">
        <v>167</v>
      </c>
      <c r="E3152" s="84" t="s">
        <v>256</v>
      </c>
      <c r="F3152" s="84"/>
      <c r="G3152" s="87">
        <f>G3159+G3162+G3165+G3168+G3179+G3153+G3191+G3182+G3185+G3171+G3176+G3190+G3194+G3156+G3197</f>
        <v>0</v>
      </c>
      <c r="H3152" s="87">
        <f t="shared" ref="H3152:I3152" si="822">H3159+H3162+H3165+H3168+H3179+H3153+H3191+H3182+H3185+H3171+H3176+H3190+H3194+H3156+H3197</f>
        <v>0</v>
      </c>
      <c r="I3152" s="87">
        <f t="shared" si="822"/>
        <v>0</v>
      </c>
      <c r="J3152" s="173"/>
      <c r="K3152" s="202"/>
      <c r="L3152" s="202"/>
      <c r="M3152" s="194"/>
      <c r="N3152" s="194"/>
      <c r="O3152" s="194"/>
      <c r="P3152" s="194"/>
      <c r="Q3152" s="194"/>
      <c r="R3152" s="194"/>
    </row>
    <row r="3153" spans="1:18" s="3" customFormat="1" ht="38.25" hidden="1" customHeight="1">
      <c r="A3153" s="82" t="s">
        <v>505</v>
      </c>
      <c r="B3153" s="83">
        <v>795</v>
      </c>
      <c r="C3153" s="84" t="s">
        <v>157</v>
      </c>
      <c r="D3153" s="84" t="s">
        <v>167</v>
      </c>
      <c r="E3153" s="84" t="s">
        <v>506</v>
      </c>
      <c r="F3153" s="84"/>
      <c r="G3153" s="87">
        <f>G3154</f>
        <v>0</v>
      </c>
      <c r="H3153" s="85">
        <v>0</v>
      </c>
      <c r="I3153" s="85">
        <v>0</v>
      </c>
      <c r="J3153" s="174"/>
      <c r="K3153" s="202"/>
      <c r="L3153" s="202"/>
      <c r="M3153" s="194"/>
      <c r="N3153" s="194"/>
      <c r="O3153" s="194"/>
      <c r="P3153" s="194"/>
      <c r="Q3153" s="194"/>
      <c r="R3153" s="194"/>
    </row>
    <row r="3154" spans="1:18" s="3" customFormat="1" ht="38.25" hidden="1" customHeight="1">
      <c r="A3154" s="82" t="s">
        <v>35</v>
      </c>
      <c r="B3154" s="83">
        <v>795</v>
      </c>
      <c r="C3154" s="84" t="s">
        <v>157</v>
      </c>
      <c r="D3154" s="84" t="s">
        <v>167</v>
      </c>
      <c r="E3154" s="84" t="s">
        <v>506</v>
      </c>
      <c r="F3154" s="84" t="s">
        <v>36</v>
      </c>
      <c r="G3154" s="87">
        <f>G3155</f>
        <v>0</v>
      </c>
      <c r="H3154" s="85">
        <v>0</v>
      </c>
      <c r="I3154" s="85">
        <v>0</v>
      </c>
      <c r="J3154" s="174"/>
      <c r="K3154" s="202"/>
      <c r="L3154" s="202"/>
      <c r="M3154" s="194"/>
      <c r="N3154" s="194"/>
      <c r="O3154" s="194"/>
      <c r="P3154" s="194"/>
      <c r="Q3154" s="194"/>
      <c r="R3154" s="194"/>
    </row>
    <row r="3155" spans="1:18" s="3" customFormat="1" ht="38.25" hidden="1" customHeight="1">
      <c r="A3155" s="82" t="s">
        <v>37</v>
      </c>
      <c r="B3155" s="83">
        <v>795</v>
      </c>
      <c r="C3155" s="84" t="s">
        <v>157</v>
      </c>
      <c r="D3155" s="84" t="s">
        <v>167</v>
      </c>
      <c r="E3155" s="84" t="s">
        <v>506</v>
      </c>
      <c r="F3155" s="84" t="s">
        <v>38</v>
      </c>
      <c r="G3155" s="87"/>
      <c r="H3155" s="85">
        <v>0</v>
      </c>
      <c r="I3155" s="85">
        <v>0</v>
      </c>
      <c r="J3155" s="174"/>
      <c r="K3155" s="202"/>
      <c r="L3155" s="202"/>
      <c r="M3155" s="194"/>
      <c r="N3155" s="194"/>
      <c r="O3155" s="194"/>
      <c r="P3155" s="194"/>
      <c r="Q3155" s="194"/>
      <c r="R3155" s="194"/>
    </row>
    <row r="3156" spans="1:18" s="3" customFormat="1" ht="38.25" hidden="1" customHeight="1">
      <c r="A3156" s="82" t="s">
        <v>723</v>
      </c>
      <c r="B3156" s="83">
        <v>795</v>
      </c>
      <c r="C3156" s="84" t="s">
        <v>157</v>
      </c>
      <c r="D3156" s="84" t="s">
        <v>167</v>
      </c>
      <c r="E3156" s="84" t="s">
        <v>722</v>
      </c>
      <c r="F3156" s="84"/>
      <c r="G3156" s="87">
        <f t="shared" ref="G3156:I3157" si="823">G3157</f>
        <v>0</v>
      </c>
      <c r="H3156" s="87">
        <f t="shared" si="823"/>
        <v>0</v>
      </c>
      <c r="I3156" s="87">
        <f t="shared" si="823"/>
        <v>0</v>
      </c>
      <c r="J3156" s="173"/>
      <c r="K3156" s="202"/>
      <c r="L3156" s="202"/>
      <c r="M3156" s="194"/>
      <c r="N3156" s="194"/>
      <c r="O3156" s="194"/>
      <c r="P3156" s="194"/>
      <c r="Q3156" s="194"/>
      <c r="R3156" s="194"/>
    </row>
    <row r="3157" spans="1:18" s="3" customFormat="1" ht="38.25" hidden="1" customHeight="1">
      <c r="A3157" s="82" t="s">
        <v>35</v>
      </c>
      <c r="B3157" s="83">
        <v>795</v>
      </c>
      <c r="C3157" s="84" t="s">
        <v>157</v>
      </c>
      <c r="D3157" s="84" t="s">
        <v>167</v>
      </c>
      <c r="E3157" s="84" t="s">
        <v>722</v>
      </c>
      <c r="F3157" s="84" t="s">
        <v>36</v>
      </c>
      <c r="G3157" s="87">
        <f t="shared" si="823"/>
        <v>0</v>
      </c>
      <c r="H3157" s="87">
        <f t="shared" si="823"/>
        <v>0</v>
      </c>
      <c r="I3157" s="87">
        <f t="shared" si="823"/>
        <v>0</v>
      </c>
      <c r="J3157" s="173"/>
      <c r="K3157" s="202"/>
      <c r="L3157" s="202"/>
      <c r="M3157" s="194"/>
      <c r="N3157" s="194"/>
      <c r="O3157" s="194"/>
      <c r="P3157" s="194"/>
      <c r="Q3157" s="194"/>
      <c r="R3157" s="194"/>
    </row>
    <row r="3158" spans="1:18" s="3" customFormat="1" ht="38.25" hidden="1" customHeight="1">
      <c r="A3158" s="82" t="s">
        <v>37</v>
      </c>
      <c r="B3158" s="83">
        <v>795</v>
      </c>
      <c r="C3158" s="84" t="s">
        <v>157</v>
      </c>
      <c r="D3158" s="84" t="s">
        <v>167</v>
      </c>
      <c r="E3158" s="84" t="s">
        <v>722</v>
      </c>
      <c r="F3158" s="84" t="s">
        <v>38</v>
      </c>
      <c r="G3158" s="87"/>
      <c r="H3158" s="87"/>
      <c r="I3158" s="87"/>
      <c r="J3158" s="173"/>
      <c r="K3158" s="202"/>
      <c r="L3158" s="202"/>
      <c r="M3158" s="194"/>
      <c r="N3158" s="194"/>
      <c r="O3158" s="194"/>
      <c r="P3158" s="194"/>
      <c r="Q3158" s="194"/>
      <c r="R3158" s="194"/>
    </row>
    <row r="3159" spans="1:18" s="3" customFormat="1" ht="38.25" hidden="1" customHeight="1">
      <c r="A3159" s="82" t="s">
        <v>461</v>
      </c>
      <c r="B3159" s="83">
        <v>795</v>
      </c>
      <c r="C3159" s="84" t="s">
        <v>157</v>
      </c>
      <c r="D3159" s="84" t="s">
        <v>167</v>
      </c>
      <c r="E3159" s="84" t="s">
        <v>363</v>
      </c>
      <c r="F3159" s="84"/>
      <c r="G3159" s="87">
        <f t="shared" ref="G3159:I3160" si="824">G3160</f>
        <v>0</v>
      </c>
      <c r="H3159" s="87">
        <f t="shared" si="824"/>
        <v>0</v>
      </c>
      <c r="I3159" s="87">
        <f t="shared" si="824"/>
        <v>0</v>
      </c>
      <c r="J3159" s="173"/>
      <c r="K3159" s="202"/>
      <c r="L3159" s="202"/>
      <c r="M3159" s="194"/>
      <c r="N3159" s="194"/>
      <c r="O3159" s="194"/>
      <c r="P3159" s="194"/>
      <c r="Q3159" s="194"/>
      <c r="R3159" s="194"/>
    </row>
    <row r="3160" spans="1:18" s="3" customFormat="1" ht="38.25" hidden="1" customHeight="1">
      <c r="A3160" s="82" t="s">
        <v>35</v>
      </c>
      <c r="B3160" s="83">
        <v>795</v>
      </c>
      <c r="C3160" s="84" t="s">
        <v>157</v>
      </c>
      <c r="D3160" s="84" t="s">
        <v>167</v>
      </c>
      <c r="E3160" s="84" t="s">
        <v>363</v>
      </c>
      <c r="F3160" s="84" t="s">
        <v>36</v>
      </c>
      <c r="G3160" s="87">
        <f t="shared" si="824"/>
        <v>0</v>
      </c>
      <c r="H3160" s="87">
        <f t="shared" si="824"/>
        <v>0</v>
      </c>
      <c r="I3160" s="87">
        <f t="shared" si="824"/>
        <v>0</v>
      </c>
      <c r="J3160" s="173"/>
      <c r="K3160" s="202"/>
      <c r="L3160" s="202"/>
      <c r="M3160" s="194"/>
      <c r="N3160" s="194"/>
      <c r="O3160" s="194"/>
      <c r="P3160" s="194"/>
      <c r="Q3160" s="194"/>
      <c r="R3160" s="194"/>
    </row>
    <row r="3161" spans="1:18" s="3" customFormat="1" ht="38.25" hidden="1" customHeight="1">
      <c r="A3161" s="82" t="s">
        <v>37</v>
      </c>
      <c r="B3161" s="83">
        <v>795</v>
      </c>
      <c r="C3161" s="84" t="s">
        <v>157</v>
      </c>
      <c r="D3161" s="84" t="s">
        <v>167</v>
      </c>
      <c r="E3161" s="84" t="s">
        <v>363</v>
      </c>
      <c r="F3161" s="84" t="s">
        <v>38</v>
      </c>
      <c r="G3161" s="87"/>
      <c r="H3161" s="87"/>
      <c r="I3161" s="87"/>
      <c r="J3161" s="173"/>
      <c r="K3161" s="202"/>
      <c r="L3161" s="202"/>
      <c r="M3161" s="194"/>
      <c r="N3161" s="194"/>
      <c r="O3161" s="194"/>
      <c r="P3161" s="194"/>
      <c r="Q3161" s="194"/>
      <c r="R3161" s="194"/>
    </row>
    <row r="3162" spans="1:18" s="3" customFormat="1" ht="38.25" hidden="1" customHeight="1">
      <c r="A3162" s="82" t="s">
        <v>366</v>
      </c>
      <c r="B3162" s="83">
        <v>795</v>
      </c>
      <c r="C3162" s="84" t="s">
        <v>157</v>
      </c>
      <c r="D3162" s="84" t="s">
        <v>167</v>
      </c>
      <c r="E3162" s="84" t="s">
        <v>364</v>
      </c>
      <c r="F3162" s="84"/>
      <c r="G3162" s="87">
        <f t="shared" ref="G3162:I3163" si="825">G3163</f>
        <v>0</v>
      </c>
      <c r="H3162" s="87">
        <f t="shared" si="825"/>
        <v>0</v>
      </c>
      <c r="I3162" s="87">
        <f t="shared" si="825"/>
        <v>0</v>
      </c>
      <c r="J3162" s="173"/>
      <c r="K3162" s="202"/>
      <c r="L3162" s="202"/>
      <c r="M3162" s="194"/>
      <c r="N3162" s="194"/>
      <c r="O3162" s="194"/>
      <c r="P3162" s="194"/>
      <c r="Q3162" s="194"/>
      <c r="R3162" s="194"/>
    </row>
    <row r="3163" spans="1:18" s="3" customFormat="1" ht="38.25" hidden="1" customHeight="1">
      <c r="A3163" s="82" t="s">
        <v>35</v>
      </c>
      <c r="B3163" s="83">
        <v>795</v>
      </c>
      <c r="C3163" s="84" t="s">
        <v>157</v>
      </c>
      <c r="D3163" s="84" t="s">
        <v>167</v>
      </c>
      <c r="E3163" s="84" t="s">
        <v>364</v>
      </c>
      <c r="F3163" s="84" t="s">
        <v>36</v>
      </c>
      <c r="G3163" s="87">
        <f t="shared" si="825"/>
        <v>0</v>
      </c>
      <c r="H3163" s="87">
        <f t="shared" si="825"/>
        <v>0</v>
      </c>
      <c r="I3163" s="87">
        <f t="shared" si="825"/>
        <v>0</v>
      </c>
      <c r="J3163" s="173"/>
      <c r="K3163" s="202"/>
      <c r="L3163" s="202"/>
      <c r="M3163" s="194"/>
      <c r="N3163" s="194"/>
      <c r="O3163" s="194"/>
      <c r="P3163" s="194"/>
      <c r="Q3163" s="194"/>
      <c r="R3163" s="194"/>
    </row>
    <row r="3164" spans="1:18" s="3" customFormat="1" ht="39.75" hidden="1" customHeight="1">
      <c r="A3164" s="82" t="s">
        <v>37</v>
      </c>
      <c r="B3164" s="83">
        <v>795</v>
      </c>
      <c r="C3164" s="84" t="s">
        <v>157</v>
      </c>
      <c r="D3164" s="84" t="s">
        <v>167</v>
      </c>
      <c r="E3164" s="84" t="s">
        <v>364</v>
      </c>
      <c r="F3164" s="84" t="s">
        <v>38</v>
      </c>
      <c r="G3164" s="87"/>
      <c r="H3164" s="87"/>
      <c r="I3164" s="87"/>
      <c r="J3164" s="173"/>
      <c r="K3164" s="202"/>
      <c r="L3164" s="202"/>
      <c r="M3164" s="194"/>
      <c r="N3164" s="194"/>
      <c r="O3164" s="194"/>
      <c r="P3164" s="194"/>
      <c r="Q3164" s="194"/>
      <c r="R3164" s="194"/>
    </row>
    <row r="3165" spans="1:18" s="3" customFormat="1" ht="35.25" hidden="1" customHeight="1">
      <c r="A3165" s="82" t="s">
        <v>125</v>
      </c>
      <c r="B3165" s="83">
        <v>795</v>
      </c>
      <c r="C3165" s="84" t="s">
        <v>157</v>
      </c>
      <c r="D3165" s="84" t="s">
        <v>167</v>
      </c>
      <c r="E3165" s="84" t="s">
        <v>279</v>
      </c>
      <c r="F3165" s="84"/>
      <c r="G3165" s="87">
        <f>G3167</f>
        <v>0</v>
      </c>
      <c r="H3165" s="87">
        <f>H3167</f>
        <v>0</v>
      </c>
      <c r="I3165" s="87">
        <f>I3167</f>
        <v>0</v>
      </c>
      <c r="J3165" s="173"/>
      <c r="K3165" s="202"/>
      <c r="L3165" s="202"/>
      <c r="M3165" s="194"/>
      <c r="N3165" s="194"/>
      <c r="O3165" s="194"/>
      <c r="P3165" s="194"/>
      <c r="Q3165" s="194"/>
      <c r="R3165" s="194"/>
    </row>
    <row r="3166" spans="1:18" s="3" customFormat="1" ht="38.25" hidden="1" customHeight="1">
      <c r="A3166" s="82" t="s">
        <v>35</v>
      </c>
      <c r="B3166" s="83">
        <v>795</v>
      </c>
      <c r="C3166" s="84" t="s">
        <v>157</v>
      </c>
      <c r="D3166" s="84" t="s">
        <v>167</v>
      </c>
      <c r="E3166" s="84" t="s">
        <v>279</v>
      </c>
      <c r="F3166" s="84" t="s">
        <v>36</v>
      </c>
      <c r="G3166" s="87">
        <f>G3167</f>
        <v>0</v>
      </c>
      <c r="H3166" s="87">
        <f>H3167</f>
        <v>0</v>
      </c>
      <c r="I3166" s="87">
        <f>I3167</f>
        <v>0</v>
      </c>
      <c r="J3166" s="173"/>
      <c r="K3166" s="202"/>
      <c r="L3166" s="202"/>
      <c r="M3166" s="194"/>
      <c r="N3166" s="194"/>
      <c r="O3166" s="194"/>
      <c r="P3166" s="194"/>
      <c r="Q3166" s="194"/>
      <c r="R3166" s="194"/>
    </row>
    <row r="3167" spans="1:18" s="3" customFormat="1" ht="38.25" hidden="1" customHeight="1">
      <c r="A3167" s="82" t="s">
        <v>37</v>
      </c>
      <c r="B3167" s="83">
        <v>795</v>
      </c>
      <c r="C3167" s="84" t="s">
        <v>157</v>
      </c>
      <c r="D3167" s="84" t="s">
        <v>167</v>
      </c>
      <c r="E3167" s="84" t="s">
        <v>279</v>
      </c>
      <c r="F3167" s="84" t="s">
        <v>38</v>
      </c>
      <c r="G3167" s="87"/>
      <c r="H3167" s="87"/>
      <c r="I3167" s="87"/>
      <c r="J3167" s="173"/>
      <c r="K3167" s="202"/>
      <c r="L3167" s="202"/>
      <c r="M3167" s="194"/>
      <c r="N3167" s="194"/>
      <c r="O3167" s="194"/>
      <c r="P3167" s="194"/>
      <c r="Q3167" s="194"/>
      <c r="R3167" s="194"/>
    </row>
    <row r="3168" spans="1:18" s="3" customFormat="1" ht="31.5" hidden="1" customHeight="1">
      <c r="A3168" s="82" t="s">
        <v>505</v>
      </c>
      <c r="B3168" s="83">
        <v>795</v>
      </c>
      <c r="C3168" s="84" t="s">
        <v>157</v>
      </c>
      <c r="D3168" s="84" t="s">
        <v>167</v>
      </c>
      <c r="E3168" s="84" t="s">
        <v>506</v>
      </c>
      <c r="F3168" s="84"/>
      <c r="G3168" s="87">
        <f>G3169</f>
        <v>0</v>
      </c>
      <c r="H3168" s="87">
        <f t="shared" ref="H3168:I3168" si="826">H3169</f>
        <v>0</v>
      </c>
      <c r="I3168" s="87">
        <f t="shared" si="826"/>
        <v>0</v>
      </c>
      <c r="J3168" s="173"/>
      <c r="K3168" s="202"/>
      <c r="L3168" s="202"/>
      <c r="M3168" s="194"/>
      <c r="N3168" s="194"/>
      <c r="O3168" s="194"/>
      <c r="P3168" s="194"/>
      <c r="Q3168" s="194"/>
      <c r="R3168" s="194"/>
    </row>
    <row r="3169" spans="1:18" s="3" customFormat="1" ht="38.25" hidden="1" customHeight="1">
      <c r="A3169" s="82" t="s">
        <v>35</v>
      </c>
      <c r="B3169" s="83">
        <v>795</v>
      </c>
      <c r="C3169" s="84" t="s">
        <v>157</v>
      </c>
      <c r="D3169" s="84" t="s">
        <v>167</v>
      </c>
      <c r="E3169" s="84" t="s">
        <v>506</v>
      </c>
      <c r="F3169" s="84" t="s">
        <v>36</v>
      </c>
      <c r="G3169" s="87">
        <f>G3170</f>
        <v>0</v>
      </c>
      <c r="H3169" s="87">
        <f t="shared" ref="H3169:I3169" si="827">H3170</f>
        <v>0</v>
      </c>
      <c r="I3169" s="87">
        <f t="shared" si="827"/>
        <v>0</v>
      </c>
      <c r="J3169" s="173"/>
      <c r="K3169" s="202"/>
      <c r="L3169" s="202"/>
      <c r="M3169" s="194"/>
      <c r="N3169" s="194"/>
      <c r="O3169" s="194"/>
      <c r="P3169" s="194"/>
      <c r="Q3169" s="194"/>
      <c r="R3169" s="194"/>
    </row>
    <row r="3170" spans="1:18" s="3" customFormat="1" ht="38.25" hidden="1" customHeight="1">
      <c r="A3170" s="82" t="s">
        <v>37</v>
      </c>
      <c r="B3170" s="83">
        <v>795</v>
      </c>
      <c r="C3170" s="84" t="s">
        <v>157</v>
      </c>
      <c r="D3170" s="84" t="s">
        <v>167</v>
      </c>
      <c r="E3170" s="84" t="s">
        <v>506</v>
      </c>
      <c r="F3170" s="84" t="s">
        <v>38</v>
      </c>
      <c r="G3170" s="87"/>
      <c r="H3170" s="87"/>
      <c r="I3170" s="87"/>
      <c r="J3170" s="173"/>
      <c r="K3170" s="202"/>
      <c r="L3170" s="202"/>
      <c r="M3170" s="194"/>
      <c r="N3170" s="194"/>
      <c r="O3170" s="194"/>
      <c r="P3170" s="194"/>
      <c r="Q3170" s="194"/>
      <c r="R3170" s="194"/>
    </row>
    <row r="3171" spans="1:18" s="3" customFormat="1" ht="38.25" hidden="1" customHeight="1">
      <c r="A3171" s="82" t="s">
        <v>505</v>
      </c>
      <c r="B3171" s="83">
        <v>795</v>
      </c>
      <c r="C3171" s="84" t="s">
        <v>157</v>
      </c>
      <c r="D3171" s="84" t="s">
        <v>167</v>
      </c>
      <c r="E3171" s="84" t="s">
        <v>534</v>
      </c>
      <c r="F3171" s="84"/>
      <c r="G3171" s="87">
        <f>G3172+G3174</f>
        <v>0</v>
      </c>
      <c r="H3171" s="87">
        <f t="shared" ref="H3171:I3177" si="828">H3172</f>
        <v>0</v>
      </c>
      <c r="I3171" s="87">
        <f t="shared" si="828"/>
        <v>0</v>
      </c>
      <c r="J3171" s="173"/>
      <c r="K3171" s="202"/>
      <c r="L3171" s="202"/>
      <c r="M3171" s="194"/>
      <c r="N3171" s="194"/>
      <c r="O3171" s="194"/>
      <c r="P3171" s="194"/>
      <c r="Q3171" s="194"/>
      <c r="R3171" s="194"/>
    </row>
    <row r="3172" spans="1:18" s="3" customFormat="1" ht="38.25" hidden="1" customHeight="1">
      <c r="A3172" s="82" t="s">
        <v>35</v>
      </c>
      <c r="B3172" s="83">
        <v>795</v>
      </c>
      <c r="C3172" s="84" t="s">
        <v>157</v>
      </c>
      <c r="D3172" s="84" t="s">
        <v>167</v>
      </c>
      <c r="E3172" s="84" t="s">
        <v>534</v>
      </c>
      <c r="F3172" s="84" t="s">
        <v>36</v>
      </c>
      <c r="G3172" s="87">
        <f>G3173</f>
        <v>0</v>
      </c>
      <c r="H3172" s="87">
        <f t="shared" si="828"/>
        <v>0</v>
      </c>
      <c r="I3172" s="87">
        <f t="shared" si="828"/>
        <v>0</v>
      </c>
      <c r="J3172" s="173"/>
      <c r="K3172" s="202"/>
      <c r="L3172" s="202"/>
      <c r="M3172" s="194"/>
      <c r="N3172" s="194"/>
      <c r="O3172" s="194"/>
      <c r="P3172" s="194"/>
      <c r="Q3172" s="194"/>
      <c r="R3172" s="194"/>
    </row>
    <row r="3173" spans="1:18" s="3" customFormat="1" ht="38.25" hidden="1" customHeight="1">
      <c r="A3173" s="82" t="s">
        <v>37</v>
      </c>
      <c r="B3173" s="83">
        <v>795</v>
      </c>
      <c r="C3173" s="84" t="s">
        <v>157</v>
      </c>
      <c r="D3173" s="84" t="s">
        <v>167</v>
      </c>
      <c r="E3173" s="84" t="s">
        <v>534</v>
      </c>
      <c r="F3173" s="84" t="s">
        <v>38</v>
      </c>
      <c r="G3173" s="87"/>
      <c r="H3173" s="87">
        <v>0</v>
      </c>
      <c r="I3173" s="87">
        <v>0</v>
      </c>
      <c r="J3173" s="173"/>
      <c r="K3173" s="202"/>
      <c r="L3173" s="202"/>
      <c r="M3173" s="194"/>
      <c r="N3173" s="194"/>
      <c r="O3173" s="194"/>
      <c r="P3173" s="194"/>
      <c r="Q3173" s="194"/>
      <c r="R3173" s="194"/>
    </row>
    <row r="3174" spans="1:18" s="3" customFormat="1" ht="24.75" hidden="1" customHeight="1">
      <c r="A3174" s="82" t="s">
        <v>152</v>
      </c>
      <c r="B3174" s="83">
        <v>795</v>
      </c>
      <c r="C3174" s="84" t="s">
        <v>157</v>
      </c>
      <c r="D3174" s="84" t="s">
        <v>167</v>
      </c>
      <c r="E3174" s="84" t="s">
        <v>534</v>
      </c>
      <c r="F3174" s="84" t="s">
        <v>153</v>
      </c>
      <c r="G3174" s="87">
        <f>G3175</f>
        <v>0</v>
      </c>
      <c r="H3174" s="87">
        <v>0</v>
      </c>
      <c r="I3174" s="87">
        <v>0</v>
      </c>
      <c r="J3174" s="173"/>
      <c r="K3174" s="202"/>
      <c r="L3174" s="202"/>
      <c r="M3174" s="194"/>
      <c r="N3174" s="194"/>
      <c r="O3174" s="194"/>
      <c r="P3174" s="194"/>
      <c r="Q3174" s="194"/>
      <c r="R3174" s="194"/>
    </row>
    <row r="3175" spans="1:18" s="3" customFormat="1" ht="32.25" hidden="1" customHeight="1">
      <c r="A3175" s="82" t="s">
        <v>164</v>
      </c>
      <c r="B3175" s="83">
        <v>795</v>
      </c>
      <c r="C3175" s="84" t="s">
        <v>157</v>
      </c>
      <c r="D3175" s="84" t="s">
        <v>167</v>
      </c>
      <c r="E3175" s="84" t="s">
        <v>534</v>
      </c>
      <c r="F3175" s="84" t="s">
        <v>165</v>
      </c>
      <c r="G3175" s="87"/>
      <c r="H3175" s="87">
        <v>0</v>
      </c>
      <c r="I3175" s="87">
        <v>0</v>
      </c>
      <c r="J3175" s="173"/>
      <c r="K3175" s="202"/>
      <c r="L3175" s="202"/>
      <c r="M3175" s="194"/>
      <c r="N3175" s="194"/>
      <c r="O3175" s="194"/>
      <c r="P3175" s="194"/>
      <c r="Q3175" s="194"/>
      <c r="R3175" s="194"/>
    </row>
    <row r="3176" spans="1:18" s="3" customFormat="1" ht="38.25" hidden="1" customHeight="1">
      <c r="A3176" s="82" t="s">
        <v>536</v>
      </c>
      <c r="B3176" s="83">
        <v>795</v>
      </c>
      <c r="C3176" s="84" t="s">
        <v>157</v>
      </c>
      <c r="D3176" s="84" t="s">
        <v>167</v>
      </c>
      <c r="E3176" s="84" t="s">
        <v>535</v>
      </c>
      <c r="F3176" s="84"/>
      <c r="G3176" s="87">
        <f>G3177</f>
        <v>0</v>
      </c>
      <c r="H3176" s="87">
        <f t="shared" si="828"/>
        <v>0</v>
      </c>
      <c r="I3176" s="87">
        <f t="shared" si="828"/>
        <v>0</v>
      </c>
      <c r="J3176" s="173"/>
      <c r="K3176" s="202"/>
      <c r="L3176" s="202"/>
      <c r="M3176" s="194"/>
      <c r="N3176" s="194"/>
      <c r="O3176" s="194"/>
      <c r="P3176" s="194"/>
      <c r="Q3176" s="194"/>
      <c r="R3176" s="194"/>
    </row>
    <row r="3177" spans="1:18" s="3" customFormat="1" ht="38.25" hidden="1" customHeight="1">
      <c r="A3177" s="82" t="s">
        <v>35</v>
      </c>
      <c r="B3177" s="83">
        <v>795</v>
      </c>
      <c r="C3177" s="84" t="s">
        <v>157</v>
      </c>
      <c r="D3177" s="84" t="s">
        <v>167</v>
      </c>
      <c r="E3177" s="84" t="s">
        <v>535</v>
      </c>
      <c r="F3177" s="84" t="s">
        <v>36</v>
      </c>
      <c r="G3177" s="87">
        <f>G3178</f>
        <v>0</v>
      </c>
      <c r="H3177" s="87">
        <f t="shared" si="828"/>
        <v>0</v>
      </c>
      <c r="I3177" s="87">
        <f t="shared" si="828"/>
        <v>0</v>
      </c>
      <c r="J3177" s="173"/>
      <c r="K3177" s="202"/>
      <c r="L3177" s="202"/>
      <c r="M3177" s="194"/>
      <c r="N3177" s="194"/>
      <c r="O3177" s="194"/>
      <c r="P3177" s="194"/>
      <c r="Q3177" s="194"/>
      <c r="R3177" s="194"/>
    </row>
    <row r="3178" spans="1:18" s="3" customFormat="1" ht="38.25" hidden="1" customHeight="1">
      <c r="A3178" s="82" t="s">
        <v>37</v>
      </c>
      <c r="B3178" s="83">
        <v>795</v>
      </c>
      <c r="C3178" s="84" t="s">
        <v>157</v>
      </c>
      <c r="D3178" s="84" t="s">
        <v>167</v>
      </c>
      <c r="E3178" s="84" t="s">
        <v>535</v>
      </c>
      <c r="F3178" s="84" t="s">
        <v>38</v>
      </c>
      <c r="G3178" s="87"/>
      <c r="H3178" s="87">
        <v>0</v>
      </c>
      <c r="I3178" s="87">
        <v>0</v>
      </c>
      <c r="J3178" s="173"/>
      <c r="K3178" s="202"/>
      <c r="L3178" s="202"/>
      <c r="M3178" s="194"/>
      <c r="N3178" s="194"/>
      <c r="O3178" s="194"/>
      <c r="P3178" s="194"/>
      <c r="Q3178" s="194"/>
      <c r="R3178" s="194"/>
    </row>
    <row r="3179" spans="1:18" s="3" customFormat="1" ht="38.25" hidden="1" customHeight="1">
      <c r="A3179" s="82" t="s">
        <v>443</v>
      </c>
      <c r="B3179" s="83">
        <v>795</v>
      </c>
      <c r="C3179" s="84" t="s">
        <v>157</v>
      </c>
      <c r="D3179" s="84" t="s">
        <v>167</v>
      </c>
      <c r="E3179" s="84" t="s">
        <v>444</v>
      </c>
      <c r="F3179" s="84"/>
      <c r="G3179" s="87">
        <f>G3180</f>
        <v>0</v>
      </c>
      <c r="H3179" s="87">
        <f>H3180</f>
        <v>0</v>
      </c>
      <c r="I3179" s="87">
        <f>I3180</f>
        <v>0</v>
      </c>
      <c r="J3179" s="173"/>
      <c r="K3179" s="202"/>
      <c r="L3179" s="202"/>
      <c r="M3179" s="194"/>
      <c r="N3179" s="194"/>
      <c r="O3179" s="194"/>
      <c r="P3179" s="194"/>
      <c r="Q3179" s="194"/>
      <c r="R3179" s="194"/>
    </row>
    <row r="3180" spans="1:18" s="3" customFormat="1" ht="31.5" hidden="1" customHeight="1">
      <c r="A3180" s="82" t="s">
        <v>35</v>
      </c>
      <c r="B3180" s="83">
        <v>795</v>
      </c>
      <c r="C3180" s="84" t="s">
        <v>157</v>
      </c>
      <c r="D3180" s="84" t="s">
        <v>167</v>
      </c>
      <c r="E3180" s="84" t="s">
        <v>444</v>
      </c>
      <c r="F3180" s="84" t="s">
        <v>36</v>
      </c>
      <c r="G3180" s="87">
        <f>G3181</f>
        <v>0</v>
      </c>
      <c r="H3180" s="87">
        <v>0</v>
      </c>
      <c r="I3180" s="87">
        <v>0</v>
      </c>
      <c r="J3180" s="173"/>
      <c r="K3180" s="202"/>
      <c r="L3180" s="202"/>
      <c r="M3180" s="194"/>
      <c r="N3180" s="194"/>
      <c r="O3180" s="194"/>
      <c r="P3180" s="194"/>
      <c r="Q3180" s="194"/>
      <c r="R3180" s="194"/>
    </row>
    <row r="3181" spans="1:18" s="3" customFormat="1" ht="33.75" hidden="1" customHeight="1">
      <c r="A3181" s="82" t="s">
        <v>37</v>
      </c>
      <c r="B3181" s="83">
        <v>795</v>
      </c>
      <c r="C3181" s="84" t="s">
        <v>157</v>
      </c>
      <c r="D3181" s="84" t="s">
        <v>167</v>
      </c>
      <c r="E3181" s="84" t="s">
        <v>444</v>
      </c>
      <c r="F3181" s="84" t="s">
        <v>38</v>
      </c>
      <c r="G3181" s="87"/>
      <c r="H3181" s="87">
        <v>0</v>
      </c>
      <c r="I3181" s="87">
        <v>0</v>
      </c>
      <c r="J3181" s="173"/>
      <c r="K3181" s="202"/>
      <c r="L3181" s="202"/>
      <c r="M3181" s="194"/>
      <c r="N3181" s="194"/>
      <c r="O3181" s="194"/>
      <c r="P3181" s="194"/>
      <c r="Q3181" s="194"/>
      <c r="R3181" s="194"/>
    </row>
    <row r="3182" spans="1:18" s="3" customFormat="1" ht="38.25" hidden="1" customHeight="1">
      <c r="A3182" s="82" t="s">
        <v>533</v>
      </c>
      <c r="B3182" s="83">
        <v>795</v>
      </c>
      <c r="C3182" s="84" t="s">
        <v>157</v>
      </c>
      <c r="D3182" s="84" t="s">
        <v>167</v>
      </c>
      <c r="E3182" s="84" t="s">
        <v>532</v>
      </c>
      <c r="F3182" s="84"/>
      <c r="G3182" s="87">
        <f>G3183</f>
        <v>0</v>
      </c>
      <c r="H3182" s="87">
        <f t="shared" ref="H3182:I3186" si="829">H3183</f>
        <v>0</v>
      </c>
      <c r="I3182" s="87">
        <f t="shared" si="829"/>
        <v>0</v>
      </c>
      <c r="J3182" s="173"/>
      <c r="K3182" s="202"/>
      <c r="L3182" s="202"/>
      <c r="M3182" s="194"/>
      <c r="N3182" s="194"/>
      <c r="O3182" s="194"/>
      <c r="P3182" s="194"/>
      <c r="Q3182" s="194"/>
      <c r="R3182" s="194"/>
    </row>
    <row r="3183" spans="1:18" s="3" customFormat="1" ht="38.25" hidden="1" customHeight="1">
      <c r="A3183" s="82" t="s">
        <v>35</v>
      </c>
      <c r="B3183" s="83">
        <v>795</v>
      </c>
      <c r="C3183" s="84" t="s">
        <v>157</v>
      </c>
      <c r="D3183" s="84" t="s">
        <v>167</v>
      </c>
      <c r="E3183" s="84" t="s">
        <v>532</v>
      </c>
      <c r="F3183" s="84" t="s">
        <v>36</v>
      </c>
      <c r="G3183" s="87">
        <f>G3184</f>
        <v>0</v>
      </c>
      <c r="H3183" s="87">
        <f t="shared" si="829"/>
        <v>0</v>
      </c>
      <c r="I3183" s="87">
        <f t="shared" si="829"/>
        <v>0</v>
      </c>
      <c r="J3183" s="173"/>
      <c r="K3183" s="202"/>
      <c r="L3183" s="202"/>
      <c r="M3183" s="194"/>
      <c r="N3183" s="194"/>
      <c r="O3183" s="194"/>
      <c r="P3183" s="194"/>
      <c r="Q3183" s="194"/>
      <c r="R3183" s="194"/>
    </row>
    <row r="3184" spans="1:18" s="3" customFormat="1" ht="38.25" hidden="1" customHeight="1">
      <c r="A3184" s="82" t="s">
        <v>37</v>
      </c>
      <c r="B3184" s="83">
        <v>795</v>
      </c>
      <c r="C3184" s="84" t="s">
        <v>157</v>
      </c>
      <c r="D3184" s="84" t="s">
        <v>167</v>
      </c>
      <c r="E3184" s="84" t="s">
        <v>532</v>
      </c>
      <c r="F3184" s="84" t="s">
        <v>38</v>
      </c>
      <c r="G3184" s="87"/>
      <c r="H3184" s="87">
        <v>0</v>
      </c>
      <c r="I3184" s="87">
        <v>0</v>
      </c>
      <c r="J3184" s="173"/>
      <c r="K3184" s="202"/>
      <c r="L3184" s="202"/>
      <c r="M3184" s="194"/>
      <c r="N3184" s="194"/>
      <c r="O3184" s="194"/>
      <c r="P3184" s="194"/>
      <c r="Q3184" s="194"/>
      <c r="R3184" s="194"/>
    </row>
    <row r="3185" spans="1:18" s="3" customFormat="1" ht="38.25" hidden="1" customHeight="1">
      <c r="A3185" s="82" t="s">
        <v>531</v>
      </c>
      <c r="B3185" s="83">
        <v>795</v>
      </c>
      <c r="C3185" s="84" t="s">
        <v>157</v>
      </c>
      <c r="D3185" s="84" t="s">
        <v>167</v>
      </c>
      <c r="E3185" s="84" t="s">
        <v>530</v>
      </c>
      <c r="F3185" s="84"/>
      <c r="G3185" s="87">
        <f>G3186</f>
        <v>0</v>
      </c>
      <c r="H3185" s="87">
        <f t="shared" si="829"/>
        <v>0</v>
      </c>
      <c r="I3185" s="87">
        <f t="shared" si="829"/>
        <v>0</v>
      </c>
      <c r="J3185" s="173"/>
      <c r="K3185" s="202"/>
      <c r="L3185" s="202"/>
      <c r="M3185" s="194"/>
      <c r="N3185" s="194"/>
      <c r="O3185" s="194"/>
      <c r="P3185" s="194"/>
      <c r="Q3185" s="194"/>
      <c r="R3185" s="194"/>
    </row>
    <row r="3186" spans="1:18" s="3" customFormat="1" ht="38.25" hidden="1" customHeight="1">
      <c r="A3186" s="82" t="s">
        <v>35</v>
      </c>
      <c r="B3186" s="83">
        <v>795</v>
      </c>
      <c r="C3186" s="84" t="s">
        <v>157</v>
      </c>
      <c r="D3186" s="84" t="s">
        <v>167</v>
      </c>
      <c r="E3186" s="84" t="s">
        <v>530</v>
      </c>
      <c r="F3186" s="84" t="s">
        <v>36</v>
      </c>
      <c r="G3186" s="87">
        <f>G3187</f>
        <v>0</v>
      </c>
      <c r="H3186" s="87">
        <f t="shared" si="829"/>
        <v>0</v>
      </c>
      <c r="I3186" s="87">
        <f t="shared" si="829"/>
        <v>0</v>
      </c>
      <c r="J3186" s="173"/>
      <c r="K3186" s="202"/>
      <c r="L3186" s="202"/>
      <c r="M3186" s="194"/>
      <c r="N3186" s="194"/>
      <c r="O3186" s="194"/>
      <c r="P3186" s="194"/>
      <c r="Q3186" s="194"/>
      <c r="R3186" s="194"/>
    </row>
    <row r="3187" spans="1:18" s="3" customFormat="1" ht="38.25" hidden="1" customHeight="1">
      <c r="A3187" s="82" t="s">
        <v>37</v>
      </c>
      <c r="B3187" s="83">
        <v>795</v>
      </c>
      <c r="C3187" s="84" t="s">
        <v>157</v>
      </c>
      <c r="D3187" s="84" t="s">
        <v>167</v>
      </c>
      <c r="E3187" s="84" t="s">
        <v>530</v>
      </c>
      <c r="F3187" s="84" t="s">
        <v>38</v>
      </c>
      <c r="G3187" s="87"/>
      <c r="H3187" s="87">
        <v>0</v>
      </c>
      <c r="I3187" s="87">
        <v>0</v>
      </c>
      <c r="J3187" s="173"/>
      <c r="K3187" s="202"/>
      <c r="L3187" s="202"/>
      <c r="M3187" s="194"/>
      <c r="N3187" s="194"/>
      <c r="O3187" s="194"/>
      <c r="P3187" s="194"/>
      <c r="Q3187" s="194"/>
      <c r="R3187" s="194"/>
    </row>
    <row r="3188" spans="1:18" s="3" customFormat="1" ht="38.25" hidden="1" customHeight="1">
      <c r="A3188" s="82" t="s">
        <v>529</v>
      </c>
      <c r="B3188" s="83">
        <v>795</v>
      </c>
      <c r="C3188" s="84" t="s">
        <v>157</v>
      </c>
      <c r="D3188" s="84" t="s">
        <v>167</v>
      </c>
      <c r="E3188" s="84" t="s">
        <v>528</v>
      </c>
      <c r="F3188" s="84"/>
      <c r="G3188" s="87">
        <f>G3189</f>
        <v>0</v>
      </c>
      <c r="H3188" s="87">
        <f t="shared" ref="H3188:I3188" si="830">H3189</f>
        <v>0</v>
      </c>
      <c r="I3188" s="87">
        <f t="shared" si="830"/>
        <v>0</v>
      </c>
      <c r="J3188" s="173"/>
      <c r="K3188" s="202"/>
      <c r="L3188" s="202"/>
      <c r="M3188" s="194"/>
      <c r="N3188" s="194"/>
      <c r="O3188" s="194"/>
      <c r="P3188" s="194"/>
      <c r="Q3188" s="194"/>
      <c r="R3188" s="194"/>
    </row>
    <row r="3189" spans="1:18" s="3" customFormat="1" ht="38.25" hidden="1" customHeight="1">
      <c r="A3189" s="82" t="s">
        <v>152</v>
      </c>
      <c r="B3189" s="83">
        <v>795</v>
      </c>
      <c r="C3189" s="84" t="s">
        <v>157</v>
      </c>
      <c r="D3189" s="84" t="s">
        <v>167</v>
      </c>
      <c r="E3189" s="84" t="s">
        <v>528</v>
      </c>
      <c r="F3189" s="84" t="s">
        <v>153</v>
      </c>
      <c r="G3189" s="87">
        <f>G3190</f>
        <v>0</v>
      </c>
      <c r="H3189" s="87">
        <f t="shared" ref="H3189:I3192" si="831">H3190</f>
        <v>0</v>
      </c>
      <c r="I3189" s="87">
        <f t="shared" si="831"/>
        <v>0</v>
      </c>
      <c r="J3189" s="173"/>
      <c r="K3189" s="202"/>
      <c r="L3189" s="202"/>
      <c r="M3189" s="194"/>
      <c r="N3189" s="194"/>
      <c r="O3189" s="194"/>
      <c r="P3189" s="194"/>
      <c r="Q3189" s="194"/>
      <c r="R3189" s="194"/>
    </row>
    <row r="3190" spans="1:18" s="3" customFormat="1" ht="38.25" hidden="1" customHeight="1">
      <c r="A3190" s="82" t="s">
        <v>164</v>
      </c>
      <c r="B3190" s="83">
        <v>795</v>
      </c>
      <c r="C3190" s="84" t="s">
        <v>157</v>
      </c>
      <c r="D3190" s="84" t="s">
        <v>167</v>
      </c>
      <c r="E3190" s="84" t="s">
        <v>528</v>
      </c>
      <c r="F3190" s="84" t="s">
        <v>165</v>
      </c>
      <c r="G3190" s="87"/>
      <c r="H3190" s="87">
        <v>0</v>
      </c>
      <c r="I3190" s="87">
        <v>0</v>
      </c>
      <c r="J3190" s="173"/>
      <c r="K3190" s="202"/>
      <c r="L3190" s="202"/>
      <c r="M3190" s="194"/>
      <c r="N3190" s="194"/>
      <c r="O3190" s="194"/>
      <c r="P3190" s="194"/>
      <c r="Q3190" s="194"/>
      <c r="R3190" s="194"/>
    </row>
    <row r="3191" spans="1:18" s="3" customFormat="1" ht="38.25" hidden="1" customHeight="1">
      <c r="A3191" s="82" t="s">
        <v>527</v>
      </c>
      <c r="B3191" s="83">
        <v>795</v>
      </c>
      <c r="C3191" s="84" t="s">
        <v>157</v>
      </c>
      <c r="D3191" s="84" t="s">
        <v>167</v>
      </c>
      <c r="E3191" s="84" t="s">
        <v>526</v>
      </c>
      <c r="F3191" s="84"/>
      <c r="G3191" s="87">
        <f>G3192</f>
        <v>0</v>
      </c>
      <c r="H3191" s="87">
        <f t="shared" ref="H3191:I3191" si="832">H3192</f>
        <v>0</v>
      </c>
      <c r="I3191" s="87">
        <f t="shared" si="832"/>
        <v>0</v>
      </c>
      <c r="J3191" s="173"/>
      <c r="K3191" s="202"/>
      <c r="L3191" s="202"/>
      <c r="M3191" s="194"/>
      <c r="N3191" s="194"/>
      <c r="O3191" s="194"/>
      <c r="P3191" s="194"/>
      <c r="Q3191" s="194"/>
      <c r="R3191" s="194"/>
    </row>
    <row r="3192" spans="1:18" s="3" customFormat="1" ht="38.25" hidden="1" customHeight="1">
      <c r="A3192" s="82" t="s">
        <v>152</v>
      </c>
      <c r="B3192" s="83">
        <v>795</v>
      </c>
      <c r="C3192" s="84" t="s">
        <v>157</v>
      </c>
      <c r="D3192" s="84" t="s">
        <v>167</v>
      </c>
      <c r="E3192" s="84" t="s">
        <v>526</v>
      </c>
      <c r="F3192" s="84" t="s">
        <v>153</v>
      </c>
      <c r="G3192" s="87">
        <f>G3193</f>
        <v>0</v>
      </c>
      <c r="H3192" s="87">
        <f t="shared" si="831"/>
        <v>0</v>
      </c>
      <c r="I3192" s="87">
        <f t="shared" si="831"/>
        <v>0</v>
      </c>
      <c r="J3192" s="173"/>
      <c r="K3192" s="202"/>
      <c r="L3192" s="202"/>
      <c r="M3192" s="194"/>
      <c r="N3192" s="194"/>
      <c r="O3192" s="194"/>
      <c r="P3192" s="194"/>
      <c r="Q3192" s="194"/>
      <c r="R3192" s="194"/>
    </row>
    <row r="3193" spans="1:18" s="3" customFormat="1" ht="38.25" hidden="1" customHeight="1">
      <c r="A3193" s="82" t="s">
        <v>164</v>
      </c>
      <c r="B3193" s="83">
        <v>795</v>
      </c>
      <c r="C3193" s="84" t="s">
        <v>157</v>
      </c>
      <c r="D3193" s="84" t="s">
        <v>167</v>
      </c>
      <c r="E3193" s="84" t="s">
        <v>526</v>
      </c>
      <c r="F3193" s="84" t="s">
        <v>165</v>
      </c>
      <c r="G3193" s="87"/>
      <c r="H3193" s="87">
        <v>0</v>
      </c>
      <c r="I3193" s="87">
        <v>0</v>
      </c>
      <c r="J3193" s="173"/>
      <c r="K3193" s="202"/>
      <c r="L3193" s="202"/>
      <c r="M3193" s="194"/>
      <c r="N3193" s="194"/>
      <c r="O3193" s="194"/>
      <c r="P3193" s="194"/>
      <c r="Q3193" s="194"/>
      <c r="R3193" s="194"/>
    </row>
    <row r="3194" spans="1:18" s="3" customFormat="1" ht="38.25" hidden="1" customHeight="1">
      <c r="A3194" s="82" t="s">
        <v>671</v>
      </c>
      <c r="B3194" s="83">
        <v>795</v>
      </c>
      <c r="C3194" s="84" t="s">
        <v>157</v>
      </c>
      <c r="D3194" s="84" t="s">
        <v>167</v>
      </c>
      <c r="E3194" s="84" t="s">
        <v>670</v>
      </c>
      <c r="F3194" s="84"/>
      <c r="G3194" s="87">
        <f>G3195</f>
        <v>0</v>
      </c>
      <c r="H3194" s="87">
        <f t="shared" ref="H3194:I3198" si="833">H3195</f>
        <v>0</v>
      </c>
      <c r="I3194" s="87">
        <f t="shared" si="833"/>
        <v>0</v>
      </c>
      <c r="J3194" s="173"/>
      <c r="K3194" s="202"/>
      <c r="L3194" s="202"/>
      <c r="M3194" s="194"/>
      <c r="N3194" s="194"/>
      <c r="O3194" s="194"/>
      <c r="P3194" s="194"/>
      <c r="Q3194" s="194"/>
      <c r="R3194" s="194"/>
    </row>
    <row r="3195" spans="1:18" s="3" customFormat="1" ht="38.25" hidden="1" customHeight="1">
      <c r="A3195" s="82" t="s">
        <v>35</v>
      </c>
      <c r="B3195" s="83">
        <v>795</v>
      </c>
      <c r="C3195" s="84" t="s">
        <v>157</v>
      </c>
      <c r="D3195" s="84" t="s">
        <v>167</v>
      </c>
      <c r="E3195" s="84" t="s">
        <v>670</v>
      </c>
      <c r="F3195" s="84" t="s">
        <v>36</v>
      </c>
      <c r="G3195" s="87">
        <f>G3196</f>
        <v>0</v>
      </c>
      <c r="H3195" s="87">
        <f t="shared" si="833"/>
        <v>0</v>
      </c>
      <c r="I3195" s="87">
        <f t="shared" si="833"/>
        <v>0</v>
      </c>
      <c r="J3195" s="173"/>
      <c r="K3195" s="202"/>
      <c r="L3195" s="202"/>
      <c r="M3195" s="194"/>
      <c r="N3195" s="194"/>
      <c r="O3195" s="194"/>
      <c r="P3195" s="194"/>
      <c r="Q3195" s="194"/>
      <c r="R3195" s="194"/>
    </row>
    <row r="3196" spans="1:18" s="3" customFormat="1" ht="38.25" hidden="1" customHeight="1">
      <c r="A3196" s="82" t="s">
        <v>37</v>
      </c>
      <c r="B3196" s="83">
        <v>795</v>
      </c>
      <c r="C3196" s="84" t="s">
        <v>157</v>
      </c>
      <c r="D3196" s="84" t="s">
        <v>167</v>
      </c>
      <c r="E3196" s="84" t="s">
        <v>670</v>
      </c>
      <c r="F3196" s="84" t="s">
        <v>38</v>
      </c>
      <c r="G3196" s="87"/>
      <c r="H3196" s="87"/>
      <c r="I3196" s="87"/>
      <c r="J3196" s="173"/>
      <c r="K3196" s="202"/>
      <c r="L3196" s="202"/>
      <c r="M3196" s="194"/>
      <c r="N3196" s="194"/>
      <c r="O3196" s="194"/>
      <c r="P3196" s="194"/>
      <c r="Q3196" s="194"/>
      <c r="R3196" s="194"/>
    </row>
    <row r="3197" spans="1:18" s="3" customFormat="1" ht="63" hidden="1" customHeight="1">
      <c r="A3197" s="82" t="s">
        <v>744</v>
      </c>
      <c r="B3197" s="83">
        <v>795</v>
      </c>
      <c r="C3197" s="84" t="s">
        <v>157</v>
      </c>
      <c r="D3197" s="84" t="s">
        <v>167</v>
      </c>
      <c r="E3197" s="84" t="s">
        <v>743</v>
      </c>
      <c r="F3197" s="84"/>
      <c r="G3197" s="87">
        <f>G3198</f>
        <v>0</v>
      </c>
      <c r="H3197" s="87">
        <f t="shared" si="833"/>
        <v>0</v>
      </c>
      <c r="I3197" s="87">
        <f t="shared" si="833"/>
        <v>0</v>
      </c>
      <c r="J3197" s="173"/>
      <c r="K3197" s="202"/>
      <c r="L3197" s="202"/>
      <c r="M3197" s="194"/>
      <c r="N3197" s="194"/>
      <c r="O3197" s="194"/>
      <c r="P3197" s="194"/>
      <c r="Q3197" s="194"/>
      <c r="R3197" s="194"/>
    </row>
    <row r="3198" spans="1:18" s="3" customFormat="1" ht="38.25" hidden="1" customHeight="1">
      <c r="A3198" s="82" t="s">
        <v>35</v>
      </c>
      <c r="B3198" s="83">
        <v>795</v>
      </c>
      <c r="C3198" s="84" t="s">
        <v>157</v>
      </c>
      <c r="D3198" s="84" t="s">
        <v>167</v>
      </c>
      <c r="E3198" s="84" t="s">
        <v>743</v>
      </c>
      <c r="F3198" s="84" t="s">
        <v>36</v>
      </c>
      <c r="G3198" s="87">
        <f>G3199</f>
        <v>0</v>
      </c>
      <c r="H3198" s="87">
        <f t="shared" si="833"/>
        <v>0</v>
      </c>
      <c r="I3198" s="87">
        <f t="shared" si="833"/>
        <v>0</v>
      </c>
      <c r="J3198" s="173"/>
      <c r="K3198" s="202"/>
      <c r="L3198" s="202"/>
      <c r="M3198" s="194"/>
      <c r="N3198" s="194"/>
      <c r="O3198" s="194"/>
      <c r="P3198" s="194"/>
      <c r="Q3198" s="194"/>
      <c r="R3198" s="194"/>
    </row>
    <row r="3199" spans="1:18" s="3" customFormat="1" ht="38.25" hidden="1" customHeight="1">
      <c r="A3199" s="82" t="s">
        <v>37</v>
      </c>
      <c r="B3199" s="83">
        <v>795</v>
      </c>
      <c r="C3199" s="84" t="s">
        <v>157</v>
      </c>
      <c r="D3199" s="84" t="s">
        <v>167</v>
      </c>
      <c r="E3199" s="84" t="s">
        <v>743</v>
      </c>
      <c r="F3199" s="84" t="s">
        <v>38</v>
      </c>
      <c r="G3199" s="87"/>
      <c r="H3199" s="87"/>
      <c r="I3199" s="87"/>
      <c r="J3199" s="173"/>
      <c r="K3199" s="202"/>
      <c r="L3199" s="202"/>
      <c r="M3199" s="194"/>
      <c r="N3199" s="194"/>
      <c r="O3199" s="194"/>
      <c r="P3199" s="194"/>
      <c r="Q3199" s="194"/>
      <c r="R3199" s="194"/>
    </row>
    <row r="3200" spans="1:18" s="122" customFormat="1" ht="20.25" hidden="1" customHeight="1">
      <c r="A3200" s="273" t="s">
        <v>73</v>
      </c>
      <c r="B3200" s="264"/>
      <c r="C3200" s="152"/>
      <c r="D3200" s="152"/>
      <c r="E3200" s="152"/>
      <c r="F3200" s="152"/>
      <c r="G3200" s="153">
        <f>G2897+G2992+G3150+G2891</f>
        <v>0</v>
      </c>
      <c r="H3200" s="153">
        <f t="shared" ref="H3200:I3200" si="834">H2897+H2992+H3150+H2891</f>
        <v>0</v>
      </c>
      <c r="I3200" s="153">
        <f t="shared" si="834"/>
        <v>0</v>
      </c>
      <c r="J3200" s="191"/>
      <c r="K3200" s="202"/>
      <c r="L3200" s="202"/>
      <c r="M3200" s="202"/>
      <c r="N3200" s="202"/>
      <c r="O3200" s="202"/>
      <c r="P3200" s="202"/>
      <c r="Q3200" s="202"/>
      <c r="R3200" s="202"/>
    </row>
    <row r="3201" spans="1:18" s="90" customFormat="1" ht="39.6" hidden="1">
      <c r="A3201" s="268" t="s">
        <v>930</v>
      </c>
      <c r="B3201" s="257">
        <v>795</v>
      </c>
      <c r="C3201" s="275"/>
      <c r="D3201" s="275"/>
      <c r="E3201" s="275"/>
      <c r="F3201" s="275"/>
      <c r="G3201" s="269"/>
      <c r="H3201" s="269"/>
      <c r="I3201" s="269"/>
      <c r="J3201" s="192"/>
      <c r="K3201" s="204"/>
      <c r="L3201" s="181"/>
      <c r="M3201" s="181"/>
      <c r="N3201" s="181"/>
      <c r="O3201" s="181"/>
      <c r="P3201" s="181"/>
      <c r="Q3201" s="181"/>
      <c r="R3201" s="181"/>
    </row>
    <row r="3202" spans="1:18" s="122" customFormat="1" ht="16.8" hidden="1">
      <c r="A3202" s="256" t="s">
        <v>17</v>
      </c>
      <c r="B3202" s="288">
        <v>795</v>
      </c>
      <c r="C3202" s="289" t="s">
        <v>18</v>
      </c>
      <c r="D3202" s="290"/>
      <c r="E3202" s="290"/>
      <c r="F3202" s="290"/>
      <c r="G3202" s="293">
        <f>G3203</f>
        <v>0</v>
      </c>
      <c r="H3202" s="291"/>
      <c r="I3202" s="291"/>
      <c r="J3202" s="292"/>
      <c r="K3202" s="203"/>
      <c r="L3202" s="202"/>
      <c r="M3202" s="202"/>
      <c r="N3202" s="202"/>
      <c r="O3202" s="202"/>
      <c r="P3202" s="202"/>
      <c r="Q3202" s="202"/>
      <c r="R3202" s="202"/>
    </row>
    <row r="3203" spans="1:18" s="146" customFormat="1" ht="16.8" hidden="1">
      <c r="A3203" s="285" t="s">
        <v>21</v>
      </c>
      <c r="B3203" s="284">
        <v>795</v>
      </c>
      <c r="C3203" s="283" t="s">
        <v>18</v>
      </c>
      <c r="D3203" s="283" t="s">
        <v>22</v>
      </c>
      <c r="E3203" s="282"/>
      <c r="F3203" s="282"/>
      <c r="G3203" s="294">
        <f>G3204</f>
        <v>0</v>
      </c>
      <c r="H3203" s="286"/>
      <c r="I3203" s="286"/>
      <c r="J3203" s="287"/>
      <c r="K3203" s="207"/>
      <c r="L3203" s="215"/>
      <c r="M3203" s="215"/>
      <c r="N3203" s="215"/>
      <c r="O3203" s="215"/>
      <c r="P3203" s="215"/>
      <c r="Q3203" s="215"/>
      <c r="R3203" s="215"/>
    </row>
    <row r="3204" spans="1:18" s="146" customFormat="1" ht="26.4" hidden="1">
      <c r="A3204" s="285" t="s">
        <v>158</v>
      </c>
      <c r="B3204" s="284">
        <v>795</v>
      </c>
      <c r="C3204" s="283" t="s">
        <v>18</v>
      </c>
      <c r="D3204" s="283" t="s">
        <v>22</v>
      </c>
      <c r="E3204" s="284" t="s">
        <v>204</v>
      </c>
      <c r="F3204" s="282"/>
      <c r="G3204" s="294">
        <f>G3205</f>
        <v>0</v>
      </c>
      <c r="H3204" s="286"/>
      <c r="I3204" s="286"/>
      <c r="J3204" s="287"/>
      <c r="K3204" s="207"/>
      <c r="L3204" s="215"/>
      <c r="M3204" s="215"/>
      <c r="N3204" s="215"/>
      <c r="O3204" s="215"/>
      <c r="P3204" s="215"/>
      <c r="Q3204" s="215"/>
      <c r="R3204" s="215"/>
    </row>
    <row r="3205" spans="1:18" s="146" customFormat="1" ht="26.4" hidden="1">
      <c r="A3205" s="82" t="s">
        <v>392</v>
      </c>
      <c r="B3205" s="284">
        <v>795</v>
      </c>
      <c r="C3205" s="283" t="s">
        <v>18</v>
      </c>
      <c r="D3205" s="283" t="s">
        <v>22</v>
      </c>
      <c r="E3205" s="284" t="s">
        <v>391</v>
      </c>
      <c r="F3205" s="282"/>
      <c r="G3205" s="294">
        <f>G3206</f>
        <v>0</v>
      </c>
      <c r="H3205" s="286"/>
      <c r="I3205" s="286"/>
      <c r="J3205" s="287"/>
      <c r="K3205" s="207"/>
      <c r="L3205" s="215"/>
      <c r="M3205" s="215"/>
      <c r="N3205" s="215"/>
      <c r="O3205" s="215"/>
      <c r="P3205" s="215"/>
      <c r="Q3205" s="215"/>
      <c r="R3205" s="215"/>
    </row>
    <row r="3206" spans="1:18" s="146" customFormat="1" hidden="1">
      <c r="A3206" s="82" t="s">
        <v>62</v>
      </c>
      <c r="B3206" s="284">
        <v>795</v>
      </c>
      <c r="C3206" s="283" t="s">
        <v>18</v>
      </c>
      <c r="D3206" s="283" t="s">
        <v>22</v>
      </c>
      <c r="E3206" s="284" t="s">
        <v>391</v>
      </c>
      <c r="F3206" s="284">
        <v>800</v>
      </c>
      <c r="G3206" s="294">
        <f>G3207</f>
        <v>0</v>
      </c>
      <c r="H3206" s="286"/>
      <c r="I3206" s="286"/>
      <c r="J3206" s="287"/>
      <c r="K3206" s="207"/>
      <c r="L3206" s="215"/>
      <c r="M3206" s="215"/>
      <c r="N3206" s="215"/>
      <c r="O3206" s="215"/>
      <c r="P3206" s="215"/>
      <c r="Q3206" s="215"/>
      <c r="R3206" s="215"/>
    </row>
    <row r="3207" spans="1:18" s="146" customFormat="1" hidden="1">
      <c r="A3207" s="82" t="s">
        <v>321</v>
      </c>
      <c r="B3207" s="284">
        <v>795</v>
      </c>
      <c r="C3207" s="283" t="s">
        <v>18</v>
      </c>
      <c r="D3207" s="283" t="s">
        <v>22</v>
      </c>
      <c r="E3207" s="284" t="s">
        <v>391</v>
      </c>
      <c r="F3207" s="284">
        <v>830</v>
      </c>
      <c r="G3207" s="294"/>
      <c r="H3207" s="286"/>
      <c r="I3207" s="286"/>
      <c r="J3207" s="287"/>
      <c r="K3207" s="207"/>
      <c r="L3207" s="215"/>
      <c r="M3207" s="215"/>
      <c r="N3207" s="215"/>
      <c r="O3207" s="215"/>
      <c r="P3207" s="215"/>
      <c r="Q3207" s="215"/>
      <c r="R3207" s="215"/>
    </row>
    <row r="3208" spans="1:18" hidden="1">
      <c r="A3208" s="259" t="s">
        <v>85</v>
      </c>
      <c r="B3208" s="260">
        <v>795</v>
      </c>
      <c r="C3208" s="261" t="s">
        <v>53</v>
      </c>
      <c r="D3208" s="261"/>
      <c r="E3208" s="261"/>
      <c r="F3208" s="261"/>
      <c r="G3208" s="258">
        <f>G3236+G3209</f>
        <v>0</v>
      </c>
      <c r="H3208" s="258">
        <f t="shared" ref="H3208:I3208" si="835">H3236</f>
        <v>0</v>
      </c>
      <c r="I3208" s="258">
        <f t="shared" si="835"/>
        <v>0</v>
      </c>
      <c r="J3208" s="186"/>
      <c r="K3208" s="186"/>
      <c r="L3208" s="186"/>
      <c r="M3208" s="186"/>
      <c r="N3208" s="186"/>
      <c r="O3208" s="186"/>
      <c r="P3208" s="204"/>
      <c r="Q3208" s="204"/>
    </row>
    <row r="3209" spans="1:18" ht="19.5" hidden="1" customHeight="1">
      <c r="A3209" s="82" t="s">
        <v>166</v>
      </c>
      <c r="B3209" s="145">
        <v>795</v>
      </c>
      <c r="C3209" s="84" t="s">
        <v>53</v>
      </c>
      <c r="D3209" s="84" t="s">
        <v>120</v>
      </c>
      <c r="E3209" s="84"/>
      <c r="F3209" s="84"/>
      <c r="G3209" s="87">
        <f>G3210</f>
        <v>0</v>
      </c>
      <c r="H3209" s="87">
        <f t="shared" ref="H3209:I3209" si="836">H3210</f>
        <v>0</v>
      </c>
      <c r="I3209" s="87">
        <f t="shared" si="836"/>
        <v>0</v>
      </c>
      <c r="J3209" s="173"/>
      <c r="K3209" s="69"/>
      <c r="L3209" s="69"/>
      <c r="M3209" s="69"/>
      <c r="N3209" s="69"/>
      <c r="O3209" s="69"/>
      <c r="P3209" s="69"/>
      <c r="Q3209" s="69"/>
      <c r="R3209" s="69"/>
    </row>
    <row r="3210" spans="1:18" s="18" customFormat="1" ht="27" hidden="1" customHeight="1">
      <c r="A3210" s="82" t="s">
        <v>462</v>
      </c>
      <c r="B3210" s="145">
        <v>795</v>
      </c>
      <c r="C3210" s="84" t="s">
        <v>53</v>
      </c>
      <c r="D3210" s="84" t="s">
        <v>120</v>
      </c>
      <c r="E3210" s="84" t="s">
        <v>229</v>
      </c>
      <c r="F3210" s="84"/>
      <c r="G3210" s="87">
        <f>G3211+G3217+G3223</f>
        <v>0</v>
      </c>
      <c r="H3210" s="87">
        <f>H3217+H3230</f>
        <v>0</v>
      </c>
      <c r="I3210" s="87">
        <f>I3217+I3230</f>
        <v>0</v>
      </c>
      <c r="J3210" s="173"/>
      <c r="K3210" s="172"/>
      <c r="L3210" s="172"/>
      <c r="M3210" s="172"/>
      <c r="N3210" s="172"/>
      <c r="O3210" s="172"/>
      <c r="P3210" s="180"/>
      <c r="Q3210" s="240"/>
      <c r="R3210" s="180"/>
    </row>
    <row r="3211" spans="1:18" s="18" customFormat="1" ht="86.25" hidden="1" customHeight="1">
      <c r="A3211" s="82" t="s">
        <v>935</v>
      </c>
      <c r="B3211" s="145">
        <v>795</v>
      </c>
      <c r="C3211" s="84" t="s">
        <v>53</v>
      </c>
      <c r="D3211" s="84" t="s">
        <v>120</v>
      </c>
      <c r="E3211" s="84" t="s">
        <v>934</v>
      </c>
      <c r="F3211" s="84"/>
      <c r="G3211" s="87">
        <f>G3212</f>
        <v>0</v>
      </c>
      <c r="H3211" s="87">
        <f>H3212+H3217</f>
        <v>0</v>
      </c>
      <c r="I3211" s="87">
        <f>I3212+I3217</f>
        <v>0</v>
      </c>
      <c r="J3211" s="173"/>
      <c r="K3211" s="180"/>
      <c r="L3211" s="180"/>
      <c r="M3211" s="180"/>
      <c r="N3211" s="180"/>
      <c r="O3211" s="180"/>
      <c r="P3211" s="180"/>
      <c r="Q3211" s="180"/>
      <c r="R3211" s="180"/>
    </row>
    <row r="3212" spans="1:18" s="18" customFormat="1" ht="76.5" hidden="1" customHeight="1">
      <c r="A3212" s="82" t="s">
        <v>935</v>
      </c>
      <c r="B3212" s="145">
        <v>795</v>
      </c>
      <c r="C3212" s="84" t="s">
        <v>53</v>
      </c>
      <c r="D3212" s="84" t="s">
        <v>120</v>
      </c>
      <c r="E3212" s="84" t="s">
        <v>938</v>
      </c>
      <c r="F3212" s="84"/>
      <c r="G3212" s="87">
        <f>G3215+G3213</f>
        <v>0</v>
      </c>
      <c r="H3212" s="87">
        <f>H3215</f>
        <v>0</v>
      </c>
      <c r="I3212" s="87">
        <f>I3215</f>
        <v>0</v>
      </c>
      <c r="J3212" s="173"/>
      <c r="K3212" s="180"/>
      <c r="L3212" s="180"/>
      <c r="M3212" s="180"/>
      <c r="N3212" s="180"/>
      <c r="O3212" s="180"/>
      <c r="P3212" s="180"/>
      <c r="Q3212" s="180"/>
      <c r="R3212" s="180"/>
    </row>
    <row r="3213" spans="1:18" s="18" customFormat="1" ht="15" hidden="1" customHeight="1">
      <c r="A3213" s="82" t="s">
        <v>316</v>
      </c>
      <c r="B3213" s="145">
        <v>795</v>
      </c>
      <c r="C3213" s="84" t="s">
        <v>53</v>
      </c>
      <c r="D3213" s="84" t="s">
        <v>120</v>
      </c>
      <c r="E3213" s="84" t="s">
        <v>938</v>
      </c>
      <c r="F3213" s="84" t="s">
        <v>36</v>
      </c>
      <c r="G3213" s="87">
        <f>G3214</f>
        <v>0</v>
      </c>
      <c r="H3213" s="87">
        <f>H3214</f>
        <v>0</v>
      </c>
      <c r="I3213" s="87">
        <f>I3214</f>
        <v>0</v>
      </c>
      <c r="J3213" s="173"/>
      <c r="K3213" s="180"/>
      <c r="L3213" s="180"/>
      <c r="M3213" s="180"/>
      <c r="N3213" s="180"/>
      <c r="O3213" s="180"/>
      <c r="P3213" s="180"/>
      <c r="Q3213" s="180"/>
      <c r="R3213" s="180"/>
    </row>
    <row r="3214" spans="1:18" s="18" customFormat="1" ht="32.25" hidden="1" customHeight="1">
      <c r="A3214" s="82" t="s">
        <v>37</v>
      </c>
      <c r="B3214" s="145">
        <v>795</v>
      </c>
      <c r="C3214" s="84" t="s">
        <v>53</v>
      </c>
      <c r="D3214" s="84" t="s">
        <v>120</v>
      </c>
      <c r="E3214" s="84" t="s">
        <v>938</v>
      </c>
      <c r="F3214" s="84" t="s">
        <v>38</v>
      </c>
      <c r="G3214" s="87"/>
      <c r="H3214" s="87"/>
      <c r="I3214" s="87"/>
      <c r="J3214" s="173"/>
      <c r="K3214" s="180"/>
      <c r="L3214" s="180"/>
      <c r="M3214" s="180"/>
      <c r="N3214" s="180"/>
      <c r="O3214" s="180"/>
      <c r="P3214" s="180"/>
      <c r="Q3214" s="180"/>
      <c r="R3214" s="180"/>
    </row>
    <row r="3215" spans="1:18" s="18" customFormat="1" ht="15" hidden="1" customHeight="1">
      <c r="A3215" s="82" t="s">
        <v>152</v>
      </c>
      <c r="B3215" s="145">
        <v>795</v>
      </c>
      <c r="C3215" s="84" t="s">
        <v>53</v>
      </c>
      <c r="D3215" s="84" t="s">
        <v>120</v>
      </c>
      <c r="E3215" s="84" t="s">
        <v>938</v>
      </c>
      <c r="F3215" s="84" t="s">
        <v>153</v>
      </c>
      <c r="G3215" s="87">
        <f t="shared" ref="G3215:I3215" si="837">G3216</f>
        <v>0</v>
      </c>
      <c r="H3215" s="87">
        <f t="shared" si="837"/>
        <v>0</v>
      </c>
      <c r="I3215" s="87">
        <f t="shared" si="837"/>
        <v>0</v>
      </c>
      <c r="J3215" s="173"/>
      <c r="K3215" s="180"/>
      <c r="L3215" s="180"/>
      <c r="M3215" s="180"/>
      <c r="N3215" s="180"/>
      <c r="O3215" s="180"/>
      <c r="P3215" s="180"/>
      <c r="Q3215" s="180"/>
      <c r="R3215" s="180"/>
    </row>
    <row r="3216" spans="1:18" s="18" customFormat="1" ht="32.25" hidden="1" customHeight="1">
      <c r="A3216" s="82" t="s">
        <v>172</v>
      </c>
      <c r="B3216" s="145">
        <v>795</v>
      </c>
      <c r="C3216" s="84" t="s">
        <v>53</v>
      </c>
      <c r="D3216" s="84" t="s">
        <v>120</v>
      </c>
      <c r="E3216" s="84" t="s">
        <v>938</v>
      </c>
      <c r="F3216" s="84" t="s">
        <v>173</v>
      </c>
      <c r="G3216" s="87"/>
      <c r="H3216" s="87"/>
      <c r="I3216" s="87"/>
      <c r="J3216" s="173"/>
      <c r="K3216" s="180"/>
      <c r="L3216" s="180"/>
      <c r="M3216" s="180"/>
      <c r="N3216" s="180"/>
      <c r="O3216" s="180"/>
      <c r="P3216" s="180"/>
      <c r="Q3216" s="180"/>
      <c r="R3216" s="180"/>
    </row>
    <row r="3217" spans="1:18" s="18" customFormat="1" ht="86.25" hidden="1" customHeight="1">
      <c r="A3217" s="82" t="s">
        <v>936</v>
      </c>
      <c r="B3217" s="145">
        <v>795</v>
      </c>
      <c r="C3217" s="84" t="s">
        <v>53</v>
      </c>
      <c r="D3217" s="84" t="s">
        <v>120</v>
      </c>
      <c r="E3217" s="84" t="s">
        <v>10</v>
      </c>
      <c r="F3217" s="84"/>
      <c r="G3217" s="87">
        <f>G3218</f>
        <v>0</v>
      </c>
      <c r="H3217" s="87">
        <f>H3218+H3227</f>
        <v>0</v>
      </c>
      <c r="I3217" s="87">
        <f>I3218+I3227</f>
        <v>0</v>
      </c>
      <c r="J3217" s="173"/>
      <c r="K3217" s="180"/>
      <c r="L3217" s="180"/>
      <c r="M3217" s="180"/>
      <c r="N3217" s="180"/>
      <c r="O3217" s="180"/>
      <c r="P3217" s="180"/>
      <c r="Q3217" s="180"/>
      <c r="R3217" s="180"/>
    </row>
    <row r="3218" spans="1:18" s="18" customFormat="1" ht="76.5" hidden="1" customHeight="1">
      <c r="A3218" s="82" t="s">
        <v>936</v>
      </c>
      <c r="B3218" s="145">
        <v>795</v>
      </c>
      <c r="C3218" s="84" t="s">
        <v>53</v>
      </c>
      <c r="D3218" s="84" t="s">
        <v>120</v>
      </c>
      <c r="E3218" s="84" t="s">
        <v>937</v>
      </c>
      <c r="F3218" s="84"/>
      <c r="G3218" s="87">
        <f>G3221+G3220</f>
        <v>0</v>
      </c>
      <c r="H3218" s="87">
        <f>H3221</f>
        <v>0</v>
      </c>
      <c r="I3218" s="87">
        <f>I3221</f>
        <v>0</v>
      </c>
      <c r="J3218" s="173"/>
      <c r="K3218" s="180"/>
      <c r="L3218" s="180"/>
      <c r="M3218" s="180"/>
      <c r="N3218" s="180"/>
      <c r="O3218" s="180"/>
      <c r="P3218" s="180"/>
      <c r="Q3218" s="180"/>
      <c r="R3218" s="180"/>
    </row>
    <row r="3219" spans="1:18" s="18" customFormat="1" ht="15" hidden="1" customHeight="1">
      <c r="A3219" s="82" t="s">
        <v>316</v>
      </c>
      <c r="B3219" s="145">
        <v>795</v>
      </c>
      <c r="C3219" s="84" t="s">
        <v>53</v>
      </c>
      <c r="D3219" s="84" t="s">
        <v>120</v>
      </c>
      <c r="E3219" s="84" t="s">
        <v>937</v>
      </c>
      <c r="F3219" s="84" t="s">
        <v>36</v>
      </c>
      <c r="G3219" s="87">
        <f>G3220</f>
        <v>0</v>
      </c>
      <c r="H3219" s="87">
        <f>H3220</f>
        <v>0</v>
      </c>
      <c r="I3219" s="87">
        <f>I3220</f>
        <v>0</v>
      </c>
      <c r="J3219" s="173"/>
      <c r="K3219" s="180"/>
      <c r="L3219" s="180"/>
      <c r="M3219" s="180"/>
      <c r="N3219" s="180"/>
      <c r="O3219" s="180"/>
      <c r="P3219" s="180"/>
      <c r="Q3219" s="180"/>
      <c r="R3219" s="180"/>
    </row>
    <row r="3220" spans="1:18" s="18" customFormat="1" ht="32.25" hidden="1" customHeight="1">
      <c r="A3220" s="82" t="s">
        <v>37</v>
      </c>
      <c r="B3220" s="145">
        <v>795</v>
      </c>
      <c r="C3220" s="84" t="s">
        <v>53</v>
      </c>
      <c r="D3220" s="84" t="s">
        <v>120</v>
      </c>
      <c r="E3220" s="84" t="s">
        <v>937</v>
      </c>
      <c r="F3220" s="84" t="s">
        <v>38</v>
      </c>
      <c r="G3220" s="87"/>
      <c r="H3220" s="87"/>
      <c r="I3220" s="87"/>
      <c r="J3220" s="173"/>
      <c r="K3220" s="180"/>
      <c r="L3220" s="180"/>
      <c r="M3220" s="180"/>
      <c r="N3220" s="180"/>
      <c r="O3220" s="180"/>
      <c r="P3220" s="180"/>
      <c r="Q3220" s="180"/>
      <c r="R3220" s="180"/>
    </row>
    <row r="3221" spans="1:18" s="18" customFormat="1" ht="15" hidden="1" customHeight="1">
      <c r="A3221" s="82" t="s">
        <v>152</v>
      </c>
      <c r="B3221" s="145">
        <v>795</v>
      </c>
      <c r="C3221" s="84" t="s">
        <v>53</v>
      </c>
      <c r="D3221" s="84" t="s">
        <v>120</v>
      </c>
      <c r="E3221" s="84" t="s">
        <v>937</v>
      </c>
      <c r="F3221" s="84" t="s">
        <v>153</v>
      </c>
      <c r="G3221" s="87">
        <f t="shared" ref="G3221:I3221" si="838">G3222</f>
        <v>0</v>
      </c>
      <c r="H3221" s="87">
        <f t="shared" si="838"/>
        <v>0</v>
      </c>
      <c r="I3221" s="87">
        <f t="shared" si="838"/>
        <v>0</v>
      </c>
      <c r="J3221" s="173"/>
      <c r="K3221" s="180"/>
      <c r="L3221" s="180"/>
      <c r="M3221" s="180"/>
      <c r="N3221" s="180"/>
      <c r="O3221" s="180"/>
      <c r="P3221" s="180"/>
      <c r="Q3221" s="180"/>
      <c r="R3221" s="180"/>
    </row>
    <row r="3222" spans="1:18" s="18" customFormat="1" ht="32.25" hidden="1" customHeight="1">
      <c r="A3222" s="82" t="s">
        <v>172</v>
      </c>
      <c r="B3222" s="145">
        <v>795</v>
      </c>
      <c r="C3222" s="84" t="s">
        <v>53</v>
      </c>
      <c r="D3222" s="84" t="s">
        <v>120</v>
      </c>
      <c r="E3222" s="84" t="s">
        <v>937</v>
      </c>
      <c r="F3222" s="84" t="s">
        <v>173</v>
      </c>
      <c r="G3222" s="87"/>
      <c r="H3222" s="87"/>
      <c r="I3222" s="87"/>
      <c r="J3222" s="173"/>
      <c r="K3222" s="180"/>
      <c r="L3222" s="180"/>
      <c r="M3222" s="180"/>
      <c r="N3222" s="180"/>
      <c r="O3222" s="180"/>
      <c r="P3222" s="180"/>
      <c r="Q3222" s="180"/>
      <c r="R3222" s="180"/>
    </row>
    <row r="3223" spans="1:18" s="18" customFormat="1" ht="102" hidden="1" customHeight="1">
      <c r="A3223" s="82" t="s">
        <v>940</v>
      </c>
      <c r="B3223" s="145">
        <v>795</v>
      </c>
      <c r="C3223" s="84" t="s">
        <v>53</v>
      </c>
      <c r="D3223" s="84" t="s">
        <v>120</v>
      </c>
      <c r="E3223" s="84" t="s">
        <v>939</v>
      </c>
      <c r="F3223" s="84"/>
      <c r="G3223" s="87">
        <f>G3224</f>
        <v>0</v>
      </c>
      <c r="H3223" s="87">
        <f t="shared" ref="H3223:I3223" si="839">H3224+H3233</f>
        <v>0</v>
      </c>
      <c r="I3223" s="87">
        <f t="shared" si="839"/>
        <v>0</v>
      </c>
      <c r="J3223" s="173"/>
      <c r="K3223" s="180"/>
      <c r="L3223" s="180"/>
      <c r="M3223" s="180"/>
      <c r="N3223" s="180"/>
      <c r="O3223" s="180"/>
      <c r="P3223" s="180"/>
      <c r="Q3223" s="180"/>
      <c r="R3223" s="180"/>
    </row>
    <row r="3224" spans="1:18" s="18" customFormat="1" ht="108" hidden="1" customHeight="1">
      <c r="A3224" s="82" t="s">
        <v>940</v>
      </c>
      <c r="B3224" s="145">
        <v>795</v>
      </c>
      <c r="C3224" s="84" t="s">
        <v>53</v>
      </c>
      <c r="D3224" s="84" t="s">
        <v>120</v>
      </c>
      <c r="E3224" s="84" t="s">
        <v>941</v>
      </c>
      <c r="F3224" s="84"/>
      <c r="G3224" s="87">
        <f>G3225+G3228</f>
        <v>0</v>
      </c>
      <c r="H3224" s="87">
        <f t="shared" ref="G3224:I3225" si="840">H3225</f>
        <v>0</v>
      </c>
      <c r="I3224" s="87">
        <f t="shared" si="840"/>
        <v>0</v>
      </c>
      <c r="J3224" s="173"/>
      <c r="K3224" s="180"/>
      <c r="L3224" s="180"/>
      <c r="M3224" s="180"/>
      <c r="N3224" s="180"/>
      <c r="O3224" s="180"/>
      <c r="P3224" s="180"/>
      <c r="Q3224" s="180"/>
      <c r="R3224" s="180"/>
    </row>
    <row r="3225" spans="1:18" s="18" customFormat="1" ht="15" hidden="1" customHeight="1">
      <c r="A3225" s="82" t="s">
        <v>152</v>
      </c>
      <c r="B3225" s="145">
        <v>795</v>
      </c>
      <c r="C3225" s="84" t="s">
        <v>53</v>
      </c>
      <c r="D3225" s="84" t="s">
        <v>120</v>
      </c>
      <c r="E3225" s="84" t="s">
        <v>941</v>
      </c>
      <c r="F3225" s="84" t="s">
        <v>153</v>
      </c>
      <c r="G3225" s="87">
        <f t="shared" si="840"/>
        <v>0</v>
      </c>
      <c r="H3225" s="87">
        <f t="shared" si="840"/>
        <v>0</v>
      </c>
      <c r="I3225" s="87">
        <f t="shared" si="840"/>
        <v>0</v>
      </c>
      <c r="J3225" s="173"/>
      <c r="K3225" s="180"/>
      <c r="L3225" s="180"/>
      <c r="M3225" s="180"/>
      <c r="N3225" s="180"/>
      <c r="O3225" s="180"/>
      <c r="P3225" s="180"/>
      <c r="Q3225" s="180"/>
      <c r="R3225" s="180"/>
    </row>
    <row r="3226" spans="1:18" s="18" customFormat="1" ht="32.25" hidden="1" customHeight="1">
      <c r="A3226" s="82" t="s">
        <v>172</v>
      </c>
      <c r="B3226" s="145">
        <v>795</v>
      </c>
      <c r="C3226" s="84" t="s">
        <v>53</v>
      </c>
      <c r="D3226" s="84" t="s">
        <v>120</v>
      </c>
      <c r="E3226" s="84" t="s">
        <v>941</v>
      </c>
      <c r="F3226" s="84" t="s">
        <v>173</v>
      </c>
      <c r="G3226" s="87"/>
      <c r="H3226" s="87"/>
      <c r="I3226" s="87"/>
      <c r="J3226" s="173"/>
      <c r="K3226" s="180"/>
      <c r="L3226" s="180"/>
      <c r="M3226" s="180"/>
      <c r="N3226" s="180"/>
      <c r="O3226" s="180"/>
      <c r="P3226" s="180"/>
      <c r="Q3226" s="180"/>
      <c r="R3226" s="180"/>
    </row>
    <row r="3227" spans="1:18" s="18" customFormat="1" ht="106.5" hidden="1" customHeight="1">
      <c r="A3227" s="82" t="s">
        <v>916</v>
      </c>
      <c r="B3227" s="145">
        <v>795</v>
      </c>
      <c r="C3227" s="84" t="s">
        <v>53</v>
      </c>
      <c r="D3227" s="84" t="s">
        <v>120</v>
      </c>
      <c r="E3227" s="84" t="s">
        <v>501</v>
      </c>
      <c r="F3227" s="84"/>
      <c r="G3227" s="87">
        <f>G3228</f>
        <v>0</v>
      </c>
      <c r="H3227" s="87"/>
      <c r="I3227" s="87"/>
      <c r="J3227" s="173"/>
      <c r="K3227" s="180"/>
      <c r="L3227" s="180"/>
      <c r="M3227" s="180"/>
      <c r="N3227" s="180"/>
      <c r="O3227" s="180"/>
      <c r="P3227" s="180"/>
      <c r="Q3227" s="180"/>
      <c r="R3227" s="180"/>
    </row>
    <row r="3228" spans="1:18" s="18" customFormat="1" ht="27.75" hidden="1" customHeight="1">
      <c r="A3228" s="82" t="s">
        <v>94</v>
      </c>
      <c r="B3228" s="145">
        <v>795</v>
      </c>
      <c r="C3228" s="84" t="s">
        <v>53</v>
      </c>
      <c r="D3228" s="84" t="s">
        <v>120</v>
      </c>
      <c r="E3228" s="84" t="s">
        <v>501</v>
      </c>
      <c r="F3228" s="84" t="s">
        <v>338</v>
      </c>
      <c r="G3228" s="87">
        <f>G3229</f>
        <v>0</v>
      </c>
      <c r="H3228" s="87"/>
      <c r="I3228" s="87"/>
      <c r="J3228" s="173"/>
      <c r="K3228" s="180"/>
      <c r="L3228" s="180"/>
      <c r="M3228" s="180"/>
      <c r="N3228" s="180"/>
      <c r="O3228" s="180"/>
      <c r="P3228" s="180"/>
      <c r="Q3228" s="180"/>
      <c r="R3228" s="180"/>
    </row>
    <row r="3229" spans="1:18" s="18" customFormat="1" ht="15" hidden="1" customHeight="1">
      <c r="A3229" s="82" t="s">
        <v>339</v>
      </c>
      <c r="B3229" s="145">
        <v>795</v>
      </c>
      <c r="C3229" s="84" t="s">
        <v>53</v>
      </c>
      <c r="D3229" s="84" t="s">
        <v>120</v>
      </c>
      <c r="E3229" s="84" t="s">
        <v>501</v>
      </c>
      <c r="F3229" s="84" t="s">
        <v>340</v>
      </c>
      <c r="G3229" s="87"/>
      <c r="H3229" s="87"/>
      <c r="I3229" s="87"/>
      <c r="J3229" s="173"/>
      <c r="K3229" s="180"/>
      <c r="L3229" s="180"/>
      <c r="M3229" s="180"/>
      <c r="N3229" s="180"/>
      <c r="O3229" s="180"/>
      <c r="P3229" s="180"/>
      <c r="Q3229" s="180"/>
      <c r="R3229" s="180"/>
    </row>
    <row r="3230" spans="1:18" s="18" customFormat="1" ht="86.25" hidden="1" customHeight="1">
      <c r="A3230" s="82" t="s">
        <v>863</v>
      </c>
      <c r="B3230" s="145">
        <v>795</v>
      </c>
      <c r="C3230" s="84" t="s">
        <v>53</v>
      </c>
      <c r="D3230" s="84" t="s">
        <v>120</v>
      </c>
      <c r="E3230" s="84" t="s">
        <v>102</v>
      </c>
      <c r="F3230" s="84"/>
      <c r="G3230" s="87">
        <f>G3231</f>
        <v>0</v>
      </c>
      <c r="H3230" s="87">
        <f t="shared" ref="H3230:I3230" si="841">H3231</f>
        <v>0</v>
      </c>
      <c r="I3230" s="87">
        <f t="shared" si="841"/>
        <v>0</v>
      </c>
      <c r="J3230" s="173"/>
      <c r="K3230" s="180"/>
      <c r="L3230" s="180"/>
      <c r="M3230" s="180"/>
      <c r="N3230" s="180"/>
      <c r="O3230" s="180"/>
      <c r="P3230" s="180"/>
      <c r="Q3230" s="180"/>
      <c r="R3230" s="180"/>
    </row>
    <row r="3231" spans="1:18" s="18" customFormat="1" ht="122.25" hidden="1" customHeight="1">
      <c r="A3231" s="139" t="s">
        <v>861</v>
      </c>
      <c r="B3231" s="145">
        <v>795</v>
      </c>
      <c r="C3231" s="84" t="s">
        <v>53</v>
      </c>
      <c r="D3231" s="84" t="s">
        <v>120</v>
      </c>
      <c r="E3231" s="84" t="s">
        <v>862</v>
      </c>
      <c r="F3231" s="84"/>
      <c r="G3231" s="87">
        <f>G3232+G3234</f>
        <v>0</v>
      </c>
      <c r="H3231" s="87">
        <f t="shared" ref="H3231:I3231" si="842">H3232+H3234</f>
        <v>0</v>
      </c>
      <c r="I3231" s="87">
        <f t="shared" si="842"/>
        <v>0</v>
      </c>
      <c r="J3231" s="173"/>
      <c r="K3231" s="180"/>
      <c r="L3231" s="180"/>
      <c r="M3231" s="180"/>
      <c r="N3231" s="180"/>
      <c r="O3231" s="180"/>
      <c r="P3231" s="180"/>
      <c r="Q3231" s="180"/>
      <c r="R3231" s="180"/>
    </row>
    <row r="3232" spans="1:18" s="18" customFormat="1" ht="24.75" hidden="1" customHeight="1">
      <c r="A3232" s="82" t="s">
        <v>316</v>
      </c>
      <c r="B3232" s="145">
        <v>795</v>
      </c>
      <c r="C3232" s="84" t="s">
        <v>53</v>
      </c>
      <c r="D3232" s="84" t="s">
        <v>120</v>
      </c>
      <c r="E3232" s="84" t="s">
        <v>862</v>
      </c>
      <c r="F3232" s="84" t="s">
        <v>36</v>
      </c>
      <c r="G3232" s="87">
        <f t="shared" ref="G3232:I3232" si="843">G3233</f>
        <v>0</v>
      </c>
      <c r="H3232" s="87">
        <f t="shared" si="843"/>
        <v>0</v>
      </c>
      <c r="I3232" s="87">
        <f t="shared" si="843"/>
        <v>0</v>
      </c>
      <c r="J3232" s="173"/>
      <c r="K3232" s="180"/>
      <c r="L3232" s="180"/>
      <c r="M3232" s="180"/>
      <c r="N3232" s="180"/>
      <c r="O3232" s="180"/>
      <c r="P3232" s="180"/>
      <c r="Q3232" s="180"/>
      <c r="R3232" s="180"/>
    </row>
    <row r="3233" spans="1:18" s="18" customFormat="1" ht="30.75" hidden="1" customHeight="1">
      <c r="A3233" s="82" t="s">
        <v>37</v>
      </c>
      <c r="B3233" s="145">
        <v>795</v>
      </c>
      <c r="C3233" s="84" t="s">
        <v>53</v>
      </c>
      <c r="D3233" s="84" t="s">
        <v>120</v>
      </c>
      <c r="E3233" s="84" t="s">
        <v>862</v>
      </c>
      <c r="F3233" s="84" t="s">
        <v>38</v>
      </c>
      <c r="G3233" s="87"/>
      <c r="H3233" s="87"/>
      <c r="I3233" s="87"/>
      <c r="J3233" s="173"/>
      <c r="K3233" s="180"/>
      <c r="L3233" s="180"/>
      <c r="M3233" s="180"/>
      <c r="N3233" s="180"/>
      <c r="O3233" s="180"/>
      <c r="P3233" s="180"/>
      <c r="Q3233" s="180"/>
      <c r="R3233" s="180"/>
    </row>
    <row r="3234" spans="1:18" ht="22.5" hidden="1" customHeight="1">
      <c r="A3234" s="82" t="s">
        <v>152</v>
      </c>
      <c r="B3234" s="145">
        <v>795</v>
      </c>
      <c r="C3234" s="84" t="s">
        <v>53</v>
      </c>
      <c r="D3234" s="84" t="s">
        <v>120</v>
      </c>
      <c r="E3234" s="84" t="s">
        <v>595</v>
      </c>
      <c r="F3234" s="84" t="s">
        <v>153</v>
      </c>
      <c r="G3234" s="87">
        <f>G3235</f>
        <v>0</v>
      </c>
      <c r="H3234" s="87">
        <f t="shared" ref="H3234:I3234" si="844">H3235</f>
        <v>0</v>
      </c>
      <c r="I3234" s="87">
        <f t="shared" si="844"/>
        <v>0</v>
      </c>
      <c r="J3234" s="173"/>
      <c r="K3234" s="69"/>
      <c r="L3234" s="69"/>
      <c r="M3234" s="69"/>
      <c r="N3234" s="69"/>
      <c r="O3234" s="69"/>
      <c r="P3234" s="69"/>
      <c r="Q3234" s="69"/>
      <c r="R3234" s="69"/>
    </row>
    <row r="3235" spans="1:18" ht="16.5" hidden="1" customHeight="1">
      <c r="A3235" s="82" t="s">
        <v>172</v>
      </c>
      <c r="B3235" s="145">
        <v>795</v>
      </c>
      <c r="C3235" s="84" t="s">
        <v>53</v>
      </c>
      <c r="D3235" s="84" t="s">
        <v>120</v>
      </c>
      <c r="E3235" s="84" t="s">
        <v>595</v>
      </c>
      <c r="F3235" s="84" t="s">
        <v>173</v>
      </c>
      <c r="G3235" s="87"/>
      <c r="H3235" s="124"/>
      <c r="I3235" s="124"/>
      <c r="J3235" s="193"/>
      <c r="K3235" s="69"/>
      <c r="L3235" s="69"/>
      <c r="M3235" s="69"/>
      <c r="N3235" s="69"/>
      <c r="O3235" s="69"/>
      <c r="P3235" s="69"/>
      <c r="Q3235" s="69"/>
      <c r="R3235" s="69"/>
    </row>
    <row r="3236" spans="1:18" ht="18.75" hidden="1" customHeight="1">
      <c r="A3236" s="82" t="s">
        <v>86</v>
      </c>
      <c r="B3236" s="145">
        <v>795</v>
      </c>
      <c r="C3236" s="84" t="s">
        <v>53</v>
      </c>
      <c r="D3236" s="84" t="s">
        <v>87</v>
      </c>
      <c r="E3236" s="84"/>
      <c r="F3236" s="145"/>
      <c r="G3236" s="87">
        <f>G3237</f>
        <v>0</v>
      </c>
      <c r="H3236" s="87">
        <f t="shared" ref="H3236:I3237" si="845">H3237</f>
        <v>0</v>
      </c>
      <c r="I3236" s="87">
        <f t="shared" si="845"/>
        <v>0</v>
      </c>
      <c r="J3236" s="173"/>
      <c r="K3236" s="172"/>
      <c r="L3236" s="172"/>
      <c r="M3236" s="172"/>
      <c r="N3236" s="172"/>
      <c r="O3236" s="172"/>
      <c r="P3236" s="69"/>
      <c r="Q3236" s="69"/>
      <c r="R3236" s="69"/>
    </row>
    <row r="3237" spans="1:18" ht="54" hidden="1" customHeight="1">
      <c r="A3237" s="82" t="s">
        <v>467</v>
      </c>
      <c r="B3237" s="145">
        <v>795</v>
      </c>
      <c r="C3237" s="84" t="s">
        <v>53</v>
      </c>
      <c r="D3237" s="84" t="s">
        <v>87</v>
      </c>
      <c r="E3237" s="84" t="s">
        <v>289</v>
      </c>
      <c r="F3237" s="84"/>
      <c r="G3237" s="87">
        <f>G3238</f>
        <v>0</v>
      </c>
      <c r="H3237" s="87">
        <f t="shared" si="845"/>
        <v>0</v>
      </c>
      <c r="I3237" s="87">
        <f t="shared" si="845"/>
        <v>0</v>
      </c>
      <c r="J3237" s="173"/>
      <c r="K3237" s="69"/>
      <c r="L3237" s="69"/>
      <c r="M3237" s="69"/>
      <c r="N3237" s="69"/>
      <c r="O3237" s="69"/>
      <c r="P3237" s="69"/>
      <c r="Q3237" s="69"/>
      <c r="R3237" s="69"/>
    </row>
    <row r="3238" spans="1:18" ht="35.25" hidden="1" customHeight="1">
      <c r="A3238" s="136" t="s">
        <v>75</v>
      </c>
      <c r="B3238" s="145">
        <v>795</v>
      </c>
      <c r="C3238" s="84" t="s">
        <v>53</v>
      </c>
      <c r="D3238" s="84" t="s">
        <v>87</v>
      </c>
      <c r="E3238" s="84" t="s">
        <v>276</v>
      </c>
      <c r="F3238" s="84"/>
      <c r="G3238" s="87">
        <f>G3241+G3239</f>
        <v>0</v>
      </c>
      <c r="H3238" s="87">
        <f t="shared" ref="H3238:I3238" si="846">H3241+H3239</f>
        <v>0</v>
      </c>
      <c r="I3238" s="87">
        <f t="shared" si="846"/>
        <v>0</v>
      </c>
      <c r="J3238" s="174"/>
      <c r="K3238" s="69"/>
      <c r="L3238" s="69"/>
      <c r="M3238" s="69"/>
      <c r="N3238" s="69"/>
      <c r="O3238" s="69"/>
      <c r="P3238" s="69"/>
      <c r="Q3238" s="69"/>
      <c r="R3238" s="69"/>
    </row>
    <row r="3239" spans="1:18" s="3" customFormat="1" ht="66" hidden="1">
      <c r="A3239" s="142" t="s">
        <v>54</v>
      </c>
      <c r="B3239" s="145">
        <v>795</v>
      </c>
      <c r="C3239" s="84" t="s">
        <v>53</v>
      </c>
      <c r="D3239" s="84" t="s">
        <v>87</v>
      </c>
      <c r="E3239" s="84" t="s">
        <v>276</v>
      </c>
      <c r="F3239" s="84" t="s">
        <v>57</v>
      </c>
      <c r="G3239" s="87">
        <f>G3240</f>
        <v>0</v>
      </c>
      <c r="H3239" s="87">
        <f>H3240</f>
        <v>0</v>
      </c>
      <c r="I3239" s="87">
        <f>I3240</f>
        <v>0</v>
      </c>
      <c r="J3239" s="173"/>
      <c r="K3239" s="194"/>
      <c r="L3239" s="194"/>
      <c r="M3239" s="194"/>
      <c r="N3239" s="194"/>
      <c r="O3239" s="194"/>
      <c r="P3239" s="194"/>
      <c r="Q3239" s="215"/>
      <c r="R3239" s="194"/>
    </row>
    <row r="3240" spans="1:18" s="3" customFormat="1" ht="26.4" hidden="1">
      <c r="A3240" s="142" t="s">
        <v>55</v>
      </c>
      <c r="B3240" s="145">
        <v>795</v>
      </c>
      <c r="C3240" s="84" t="s">
        <v>53</v>
      </c>
      <c r="D3240" s="84" t="s">
        <v>87</v>
      </c>
      <c r="E3240" s="84" t="s">
        <v>276</v>
      </c>
      <c r="F3240" s="84" t="s">
        <v>58</v>
      </c>
      <c r="G3240" s="87"/>
      <c r="H3240" s="87"/>
      <c r="I3240" s="87"/>
      <c r="J3240" s="173"/>
      <c r="K3240" s="194"/>
      <c r="L3240" s="194"/>
      <c r="M3240" s="194"/>
      <c r="N3240" s="194"/>
      <c r="O3240" s="194"/>
      <c r="P3240" s="194"/>
      <c r="Q3240" s="215"/>
      <c r="R3240" s="194"/>
    </row>
    <row r="3241" spans="1:18" ht="30.75" hidden="1" customHeight="1">
      <c r="A3241" s="82" t="s">
        <v>439</v>
      </c>
      <c r="B3241" s="145">
        <v>795</v>
      </c>
      <c r="C3241" s="84" t="s">
        <v>53</v>
      </c>
      <c r="D3241" s="84" t="s">
        <v>87</v>
      </c>
      <c r="E3241" s="84" t="s">
        <v>276</v>
      </c>
      <c r="F3241" s="84" t="s">
        <v>36</v>
      </c>
      <c r="G3241" s="87">
        <f>G3242</f>
        <v>0</v>
      </c>
      <c r="H3241" s="85">
        <v>0</v>
      </c>
      <c r="I3241" s="85">
        <v>0</v>
      </c>
      <c r="J3241" s="174"/>
      <c r="K3241" s="69"/>
      <c r="L3241" s="69"/>
      <c r="M3241" s="69"/>
      <c r="N3241" s="69"/>
      <c r="O3241" s="69"/>
      <c r="P3241" s="69"/>
      <c r="Q3241" s="69"/>
      <c r="R3241" s="69"/>
    </row>
    <row r="3242" spans="1:18" ht="38.25" hidden="1" customHeight="1">
      <c r="A3242" s="82" t="s">
        <v>37</v>
      </c>
      <c r="B3242" s="145">
        <v>795</v>
      </c>
      <c r="C3242" s="84" t="s">
        <v>53</v>
      </c>
      <c r="D3242" s="84" t="s">
        <v>87</v>
      </c>
      <c r="E3242" s="84" t="s">
        <v>276</v>
      </c>
      <c r="F3242" s="84" t="s">
        <v>38</v>
      </c>
      <c r="G3242" s="87"/>
      <c r="H3242" s="85"/>
      <c r="I3242" s="85"/>
      <c r="J3242" s="174"/>
      <c r="K3242" s="69"/>
      <c r="L3242" s="69"/>
      <c r="M3242" s="69"/>
      <c r="N3242" s="69"/>
      <c r="O3242" s="69"/>
      <c r="P3242" s="69"/>
      <c r="Q3242" s="69"/>
      <c r="R3242" s="69"/>
    </row>
    <row r="3243" spans="1:18" hidden="1">
      <c r="A3243" s="131" t="s">
        <v>336</v>
      </c>
      <c r="B3243" s="151">
        <v>795</v>
      </c>
      <c r="C3243" s="261" t="s">
        <v>167</v>
      </c>
      <c r="D3243" s="261"/>
      <c r="E3243" s="261"/>
      <c r="F3243" s="261"/>
      <c r="G3243" s="258">
        <f>G3551+G3445+G3671+G3694+G3244+G3399+G3472+G3269+G3286</f>
        <v>0</v>
      </c>
      <c r="H3243" s="258">
        <f>H3551+H3445+H3671+H3694+H3244+H3399+H3472</f>
        <v>0</v>
      </c>
      <c r="I3243" s="258">
        <f>I3551+I3445+I3671+I3694+I3244+I3399+I3472</f>
        <v>0</v>
      </c>
      <c r="J3243" s="186"/>
      <c r="K3243" s="69"/>
      <c r="L3243" s="69"/>
      <c r="M3243" s="69"/>
      <c r="N3243" s="69"/>
      <c r="O3243" s="69"/>
      <c r="P3243" s="241"/>
      <c r="Q3243" s="241"/>
      <c r="R3243" s="69"/>
    </row>
    <row r="3244" spans="1:18" hidden="1">
      <c r="A3244" s="129" t="s">
        <v>168</v>
      </c>
      <c r="B3244" s="145">
        <v>795</v>
      </c>
      <c r="C3244" s="149" t="s">
        <v>167</v>
      </c>
      <c r="D3244" s="149" t="s">
        <v>18</v>
      </c>
      <c r="E3244" s="261"/>
      <c r="F3244" s="261"/>
      <c r="G3244" s="94">
        <f>G3245+G3259</f>
        <v>0</v>
      </c>
      <c r="H3244" s="94">
        <f>H3245+H3299</f>
        <v>0</v>
      </c>
      <c r="I3244" s="94">
        <f>I3245+I3299</f>
        <v>0</v>
      </c>
      <c r="J3244" s="189"/>
      <c r="K3244" s="242"/>
      <c r="L3244" s="242"/>
      <c r="M3244" s="242"/>
      <c r="N3244" s="242"/>
      <c r="O3244" s="242"/>
      <c r="P3244" s="69"/>
      <c r="Q3244" s="69"/>
      <c r="R3244" s="69"/>
    </row>
    <row r="3245" spans="1:18" ht="52.8" hidden="1">
      <c r="A3245" s="82" t="s">
        <v>467</v>
      </c>
      <c r="B3245" s="145">
        <v>795</v>
      </c>
      <c r="C3245" s="84" t="s">
        <v>167</v>
      </c>
      <c r="D3245" s="84" t="s">
        <v>18</v>
      </c>
      <c r="E3245" s="84" t="s">
        <v>289</v>
      </c>
      <c r="F3245" s="84"/>
      <c r="G3245" s="87">
        <f>G3253+G3256</f>
        <v>0</v>
      </c>
      <c r="H3245" s="87">
        <f>H3248+H3252+H3255+H3298+H3293</f>
        <v>0</v>
      </c>
      <c r="I3245" s="87">
        <f>I3248+I3252+I3255+I3298+I3293</f>
        <v>0</v>
      </c>
      <c r="J3245" s="173"/>
      <c r="K3245" s="69"/>
      <c r="L3245" s="69"/>
      <c r="M3245" s="69"/>
      <c r="N3245" s="69"/>
      <c r="O3245" s="69"/>
      <c r="P3245" s="69"/>
      <c r="Q3245" s="69"/>
      <c r="R3245" s="69"/>
    </row>
    <row r="3246" spans="1:18" s="18" customFormat="1" ht="20.25" hidden="1" customHeight="1">
      <c r="A3246" s="82" t="s">
        <v>84</v>
      </c>
      <c r="B3246" s="145">
        <v>795</v>
      </c>
      <c r="C3246" s="84" t="s">
        <v>167</v>
      </c>
      <c r="D3246" s="84" t="s">
        <v>18</v>
      </c>
      <c r="E3246" s="84" t="s">
        <v>83</v>
      </c>
      <c r="F3246" s="84"/>
      <c r="G3246" s="87">
        <f t="shared" ref="G3246:I3247" si="847">G3247</f>
        <v>0</v>
      </c>
      <c r="H3246" s="87">
        <f t="shared" si="847"/>
        <v>0</v>
      </c>
      <c r="I3246" s="87">
        <f t="shared" si="847"/>
        <v>0</v>
      </c>
      <c r="J3246" s="173"/>
      <c r="K3246" s="180"/>
      <c r="L3246" s="180"/>
      <c r="M3246" s="180"/>
      <c r="N3246" s="180"/>
      <c r="O3246" s="180"/>
      <c r="P3246" s="180"/>
      <c r="Q3246" s="180"/>
      <c r="R3246" s="180"/>
    </row>
    <row r="3247" spans="1:18" ht="30.75" hidden="1" customHeight="1">
      <c r="A3247" s="82" t="s">
        <v>35</v>
      </c>
      <c r="B3247" s="145">
        <v>795</v>
      </c>
      <c r="C3247" s="84" t="s">
        <v>167</v>
      </c>
      <c r="D3247" s="84" t="s">
        <v>18</v>
      </c>
      <c r="E3247" s="84" t="s">
        <v>83</v>
      </c>
      <c r="F3247" s="84" t="s">
        <v>36</v>
      </c>
      <c r="G3247" s="87">
        <f t="shared" si="847"/>
        <v>0</v>
      </c>
      <c r="H3247" s="87">
        <f t="shared" si="847"/>
        <v>0</v>
      </c>
      <c r="I3247" s="87">
        <f t="shared" si="847"/>
        <v>0</v>
      </c>
      <c r="J3247" s="173"/>
      <c r="K3247" s="69"/>
      <c r="L3247" s="69"/>
      <c r="M3247" s="69"/>
      <c r="N3247" s="69"/>
      <c r="O3247" s="69"/>
      <c r="P3247" s="69"/>
      <c r="Q3247" s="69"/>
      <c r="R3247" s="69"/>
    </row>
    <row r="3248" spans="1:18" s="18" customFormat="1" ht="34.5" hidden="1" customHeight="1">
      <c r="A3248" s="82" t="s">
        <v>37</v>
      </c>
      <c r="B3248" s="145">
        <v>795</v>
      </c>
      <c r="C3248" s="84" t="s">
        <v>167</v>
      </c>
      <c r="D3248" s="84" t="s">
        <v>18</v>
      </c>
      <c r="E3248" s="84" t="s">
        <v>83</v>
      </c>
      <c r="F3248" s="84" t="s">
        <v>38</v>
      </c>
      <c r="G3248" s="87"/>
      <c r="H3248" s="87"/>
      <c r="I3248" s="87"/>
      <c r="J3248" s="173"/>
      <c r="K3248" s="180"/>
      <c r="L3248" s="180"/>
      <c r="M3248" s="180"/>
      <c r="N3248" s="180"/>
      <c r="O3248" s="180"/>
      <c r="P3248" s="180"/>
      <c r="Q3248" s="180"/>
      <c r="R3248" s="180"/>
    </row>
    <row r="3249" spans="1:18" s="3" customFormat="1" ht="52.5" hidden="1" customHeight="1">
      <c r="A3249" s="82"/>
      <c r="B3249" s="145">
        <v>795</v>
      </c>
      <c r="C3249" s="84"/>
      <c r="D3249" s="84"/>
      <c r="E3249" s="84"/>
      <c r="F3249" s="84"/>
      <c r="G3249" s="87"/>
      <c r="H3249" s="87"/>
      <c r="I3249" s="87"/>
      <c r="J3249" s="173"/>
      <c r="K3249" s="62"/>
      <c r="L3249" s="62"/>
      <c r="M3249" s="62"/>
      <c r="N3249" s="62"/>
      <c r="O3249" s="62"/>
      <c r="P3249" s="62"/>
      <c r="Q3249" s="62"/>
      <c r="R3249" s="62"/>
    </row>
    <row r="3250" spans="1:18" s="18" customFormat="1" ht="63" hidden="1" customHeight="1">
      <c r="A3250" s="82" t="s">
        <v>80</v>
      </c>
      <c r="B3250" s="145">
        <v>795</v>
      </c>
      <c r="C3250" s="84" t="s">
        <v>167</v>
      </c>
      <c r="D3250" s="84" t="s">
        <v>18</v>
      </c>
      <c r="E3250" s="84" t="s">
        <v>79</v>
      </c>
      <c r="F3250" s="84"/>
      <c r="G3250" s="87">
        <f t="shared" ref="G3250:I3251" si="848">G3251</f>
        <v>0</v>
      </c>
      <c r="H3250" s="87">
        <f t="shared" si="848"/>
        <v>0</v>
      </c>
      <c r="I3250" s="87">
        <f t="shared" si="848"/>
        <v>0</v>
      </c>
      <c r="J3250" s="173"/>
      <c r="K3250" s="180"/>
      <c r="L3250" s="180"/>
      <c r="M3250" s="180"/>
      <c r="N3250" s="180"/>
      <c r="O3250" s="180"/>
      <c r="P3250" s="180"/>
      <c r="Q3250" s="180"/>
      <c r="R3250" s="180"/>
    </row>
    <row r="3251" spans="1:18" ht="30.75" hidden="1" customHeight="1">
      <c r="A3251" s="82" t="s">
        <v>35</v>
      </c>
      <c r="B3251" s="145">
        <v>795</v>
      </c>
      <c r="C3251" s="84" t="s">
        <v>167</v>
      </c>
      <c r="D3251" s="84" t="s">
        <v>18</v>
      </c>
      <c r="E3251" s="84" t="s">
        <v>79</v>
      </c>
      <c r="F3251" s="84" t="s">
        <v>36</v>
      </c>
      <c r="G3251" s="87">
        <f t="shared" si="848"/>
        <v>0</v>
      </c>
      <c r="H3251" s="87">
        <f t="shared" si="848"/>
        <v>0</v>
      </c>
      <c r="I3251" s="87">
        <f t="shared" si="848"/>
        <v>0</v>
      </c>
      <c r="J3251" s="173"/>
      <c r="K3251" s="69"/>
      <c r="L3251" s="69"/>
      <c r="M3251" s="69"/>
      <c r="N3251" s="69"/>
      <c r="O3251" s="69"/>
      <c r="P3251" s="69"/>
      <c r="Q3251" s="69"/>
      <c r="R3251" s="69"/>
    </row>
    <row r="3252" spans="1:18" s="18" customFormat="1" ht="34.5" hidden="1" customHeight="1">
      <c r="A3252" s="82" t="s">
        <v>37</v>
      </c>
      <c r="B3252" s="145">
        <v>795</v>
      </c>
      <c r="C3252" s="84" t="s">
        <v>167</v>
      </c>
      <c r="D3252" s="84" t="s">
        <v>18</v>
      </c>
      <c r="E3252" s="84" t="s">
        <v>79</v>
      </c>
      <c r="F3252" s="84" t="s">
        <v>38</v>
      </c>
      <c r="G3252" s="87"/>
      <c r="H3252" s="87"/>
      <c r="I3252" s="87"/>
      <c r="J3252" s="173"/>
      <c r="K3252" s="180"/>
      <c r="L3252" s="180"/>
      <c r="M3252" s="180"/>
      <c r="N3252" s="180"/>
      <c r="O3252" s="180"/>
      <c r="P3252" s="180"/>
      <c r="Q3252" s="180"/>
      <c r="R3252" s="180"/>
    </row>
    <row r="3253" spans="1:18" s="18" customFormat="1" ht="35.25" hidden="1" customHeight="1">
      <c r="A3253" s="82" t="s">
        <v>84</v>
      </c>
      <c r="B3253" s="145">
        <v>795</v>
      </c>
      <c r="C3253" s="84" t="s">
        <v>167</v>
      </c>
      <c r="D3253" s="84" t="s">
        <v>18</v>
      </c>
      <c r="E3253" s="84" t="s">
        <v>83</v>
      </c>
      <c r="F3253" s="84"/>
      <c r="G3253" s="87">
        <f t="shared" ref="G3253:I3257" si="849">G3254</f>
        <v>0</v>
      </c>
      <c r="H3253" s="87">
        <f t="shared" si="849"/>
        <v>0</v>
      </c>
      <c r="I3253" s="87">
        <f t="shared" si="849"/>
        <v>0</v>
      </c>
      <c r="J3253" s="173"/>
      <c r="K3253" s="180"/>
      <c r="L3253" s="180"/>
      <c r="M3253" s="180"/>
      <c r="N3253" s="180"/>
      <c r="O3253" s="180"/>
      <c r="P3253" s="180"/>
      <c r="Q3253" s="180"/>
      <c r="R3253" s="180"/>
    </row>
    <row r="3254" spans="1:18" ht="35.25" hidden="1" customHeight="1">
      <c r="A3254" s="82" t="s">
        <v>35</v>
      </c>
      <c r="B3254" s="145">
        <v>795</v>
      </c>
      <c r="C3254" s="84" t="s">
        <v>167</v>
      </c>
      <c r="D3254" s="84" t="s">
        <v>18</v>
      </c>
      <c r="E3254" s="84" t="s">
        <v>83</v>
      </c>
      <c r="F3254" s="84" t="s">
        <v>36</v>
      </c>
      <c r="G3254" s="87">
        <f t="shared" si="849"/>
        <v>0</v>
      </c>
      <c r="H3254" s="87">
        <f t="shared" si="849"/>
        <v>0</v>
      </c>
      <c r="I3254" s="87">
        <f t="shared" si="849"/>
        <v>0</v>
      </c>
      <c r="J3254" s="173"/>
      <c r="K3254" s="69"/>
      <c r="L3254" s="69"/>
      <c r="M3254" s="69"/>
      <c r="N3254" s="69"/>
      <c r="O3254" s="69"/>
      <c r="P3254" s="69"/>
      <c r="Q3254" s="69"/>
      <c r="R3254" s="69"/>
    </row>
    <row r="3255" spans="1:18" s="18" customFormat="1" ht="35.25" hidden="1" customHeight="1">
      <c r="A3255" s="82" t="s">
        <v>37</v>
      </c>
      <c r="B3255" s="145">
        <v>795</v>
      </c>
      <c r="C3255" s="84" t="s">
        <v>167</v>
      </c>
      <c r="D3255" s="84" t="s">
        <v>18</v>
      </c>
      <c r="E3255" s="84" t="s">
        <v>83</v>
      </c>
      <c r="F3255" s="84" t="s">
        <v>38</v>
      </c>
      <c r="G3255" s="87"/>
      <c r="H3255" s="87"/>
      <c r="I3255" s="87"/>
      <c r="J3255" s="173"/>
      <c r="K3255" s="180"/>
      <c r="L3255" s="180"/>
      <c r="M3255" s="180"/>
      <c r="N3255" s="180"/>
      <c r="O3255" s="180"/>
      <c r="P3255" s="180"/>
      <c r="Q3255" s="180"/>
      <c r="R3255" s="180"/>
    </row>
    <row r="3256" spans="1:18" s="18" customFormat="1" ht="60.75" hidden="1" customHeight="1">
      <c r="A3256" s="82" t="s">
        <v>80</v>
      </c>
      <c r="B3256" s="145">
        <v>795</v>
      </c>
      <c r="C3256" s="84" t="s">
        <v>167</v>
      </c>
      <c r="D3256" s="84" t="s">
        <v>18</v>
      </c>
      <c r="E3256" s="84" t="s">
        <v>79</v>
      </c>
      <c r="F3256" s="84"/>
      <c r="G3256" s="87">
        <f t="shared" si="849"/>
        <v>0</v>
      </c>
      <c r="H3256" s="87">
        <f t="shared" si="849"/>
        <v>0</v>
      </c>
      <c r="I3256" s="87">
        <f t="shared" si="849"/>
        <v>0</v>
      </c>
      <c r="J3256" s="173"/>
      <c r="K3256" s="180"/>
      <c r="L3256" s="180"/>
      <c r="M3256" s="180"/>
      <c r="N3256" s="180"/>
      <c r="O3256" s="180"/>
      <c r="P3256" s="180"/>
      <c r="Q3256" s="180"/>
      <c r="R3256" s="180"/>
    </row>
    <row r="3257" spans="1:18" ht="35.25" hidden="1" customHeight="1">
      <c r="A3257" s="82" t="s">
        <v>35</v>
      </c>
      <c r="B3257" s="145">
        <v>795</v>
      </c>
      <c r="C3257" s="84" t="s">
        <v>167</v>
      </c>
      <c r="D3257" s="84" t="s">
        <v>18</v>
      </c>
      <c r="E3257" s="84" t="s">
        <v>79</v>
      </c>
      <c r="F3257" s="84" t="s">
        <v>36</v>
      </c>
      <c r="G3257" s="87">
        <f t="shared" si="849"/>
        <v>0</v>
      </c>
      <c r="H3257" s="87">
        <f t="shared" si="849"/>
        <v>0</v>
      </c>
      <c r="I3257" s="87">
        <f t="shared" si="849"/>
        <v>0</v>
      </c>
      <c r="J3257" s="173"/>
      <c r="K3257" s="69"/>
      <c r="L3257" s="69"/>
      <c r="M3257" s="69"/>
      <c r="N3257" s="69"/>
      <c r="O3257" s="69"/>
      <c r="P3257" s="69"/>
      <c r="Q3257" s="69"/>
      <c r="R3257" s="69"/>
    </row>
    <row r="3258" spans="1:18" s="18" customFormat="1" ht="35.25" hidden="1" customHeight="1">
      <c r="A3258" s="82" t="s">
        <v>37</v>
      </c>
      <c r="B3258" s="145">
        <v>795</v>
      </c>
      <c r="C3258" s="84" t="s">
        <v>167</v>
      </c>
      <c r="D3258" s="84" t="s">
        <v>18</v>
      </c>
      <c r="E3258" s="84" t="s">
        <v>79</v>
      </c>
      <c r="F3258" s="84" t="s">
        <v>38</v>
      </c>
      <c r="G3258" s="87"/>
      <c r="H3258" s="87"/>
      <c r="I3258" s="87"/>
      <c r="J3258" s="173"/>
      <c r="K3258" s="180"/>
      <c r="L3258" s="180"/>
      <c r="M3258" s="180"/>
      <c r="N3258" s="180"/>
      <c r="O3258" s="180"/>
      <c r="P3258" s="180"/>
      <c r="Q3258" s="180"/>
      <c r="R3258" s="180"/>
    </row>
    <row r="3259" spans="1:18" s="18" customFormat="1" ht="52.8" hidden="1">
      <c r="A3259" s="82" t="s">
        <v>486</v>
      </c>
      <c r="B3259" s="145">
        <v>795</v>
      </c>
      <c r="C3259" s="149" t="s">
        <v>167</v>
      </c>
      <c r="D3259" s="149" t="s">
        <v>18</v>
      </c>
      <c r="E3259" s="84" t="s">
        <v>208</v>
      </c>
      <c r="F3259" s="84"/>
      <c r="G3259" s="87">
        <f>G3266</f>
        <v>0</v>
      </c>
      <c r="H3259" s="87">
        <f>H3260+H3266+H3263+H3294+H3299</f>
        <v>0</v>
      </c>
      <c r="I3259" s="87">
        <f>I3260+I3266+I3263+I3294+I3299</f>
        <v>0</v>
      </c>
      <c r="J3259" s="173"/>
      <c r="K3259" s="180"/>
      <c r="L3259" s="180"/>
      <c r="M3259" s="180"/>
      <c r="N3259" s="180"/>
      <c r="O3259" s="180"/>
      <c r="P3259" s="180"/>
      <c r="Q3259" s="180"/>
      <c r="R3259" s="180"/>
    </row>
    <row r="3260" spans="1:18" s="18" customFormat="1" ht="92.4" hidden="1">
      <c r="A3260" s="82" t="s">
        <v>424</v>
      </c>
      <c r="B3260" s="145">
        <v>795</v>
      </c>
      <c r="C3260" s="149" t="s">
        <v>167</v>
      </c>
      <c r="D3260" s="149" t="s">
        <v>18</v>
      </c>
      <c r="E3260" s="84" t="s">
        <v>497</v>
      </c>
      <c r="F3260" s="84"/>
      <c r="G3260" s="87">
        <f>G3261</f>
        <v>0</v>
      </c>
      <c r="H3260" s="87">
        <f t="shared" ref="H3260:I3264" si="850">H3261</f>
        <v>0</v>
      </c>
      <c r="I3260" s="87">
        <f t="shared" si="850"/>
        <v>0</v>
      </c>
      <c r="J3260" s="173"/>
      <c r="K3260" s="180"/>
      <c r="L3260" s="180"/>
      <c r="M3260" s="180"/>
      <c r="N3260" s="180"/>
      <c r="O3260" s="180"/>
      <c r="P3260" s="180"/>
      <c r="Q3260" s="180"/>
      <c r="R3260" s="180"/>
    </row>
    <row r="3261" spans="1:18" s="18" customFormat="1" ht="23.25" hidden="1" customHeight="1">
      <c r="A3261" s="82" t="s">
        <v>62</v>
      </c>
      <c r="B3261" s="145">
        <v>795</v>
      </c>
      <c r="C3261" s="149" t="s">
        <v>167</v>
      </c>
      <c r="D3261" s="149" t="s">
        <v>18</v>
      </c>
      <c r="E3261" s="84" t="s">
        <v>497</v>
      </c>
      <c r="F3261" s="84" t="s">
        <v>63</v>
      </c>
      <c r="G3261" s="87">
        <f>G3262</f>
        <v>0</v>
      </c>
      <c r="H3261" s="87">
        <f t="shared" si="850"/>
        <v>0</v>
      </c>
      <c r="I3261" s="87">
        <f t="shared" si="850"/>
        <v>0</v>
      </c>
      <c r="J3261" s="173"/>
      <c r="K3261" s="180"/>
      <c r="L3261" s="180"/>
      <c r="M3261" s="180"/>
      <c r="N3261" s="180"/>
      <c r="O3261" s="180"/>
      <c r="P3261" s="180"/>
      <c r="Q3261" s="180"/>
      <c r="R3261" s="180"/>
    </row>
    <row r="3262" spans="1:18" s="18" customFormat="1" ht="20.25" hidden="1" customHeight="1">
      <c r="A3262" s="130" t="s">
        <v>140</v>
      </c>
      <c r="B3262" s="145">
        <v>795</v>
      </c>
      <c r="C3262" s="149" t="s">
        <v>167</v>
      </c>
      <c r="D3262" s="149" t="s">
        <v>18</v>
      </c>
      <c r="E3262" s="84" t="s">
        <v>497</v>
      </c>
      <c r="F3262" s="84" t="s">
        <v>66</v>
      </c>
      <c r="G3262" s="87"/>
      <c r="H3262" s="87"/>
      <c r="I3262" s="87"/>
      <c r="J3262" s="173"/>
      <c r="K3262" s="180"/>
      <c r="L3262" s="180"/>
      <c r="M3262" s="180"/>
      <c r="N3262" s="180"/>
      <c r="O3262" s="180"/>
      <c r="P3262" s="180"/>
      <c r="Q3262" s="180"/>
      <c r="R3262" s="180"/>
    </row>
    <row r="3263" spans="1:18" s="18" customFormat="1" ht="79.2" hidden="1">
      <c r="A3263" s="82" t="s">
        <v>425</v>
      </c>
      <c r="B3263" s="145">
        <v>795</v>
      </c>
      <c r="C3263" s="149" t="s">
        <v>167</v>
      </c>
      <c r="D3263" s="149" t="s">
        <v>18</v>
      </c>
      <c r="E3263" s="84" t="s">
        <v>498</v>
      </c>
      <c r="F3263" s="84"/>
      <c r="G3263" s="87">
        <f>G3264</f>
        <v>0</v>
      </c>
      <c r="H3263" s="87">
        <f t="shared" si="850"/>
        <v>0</v>
      </c>
      <c r="I3263" s="87">
        <f t="shared" si="850"/>
        <v>0</v>
      </c>
      <c r="J3263" s="173"/>
      <c r="K3263" s="180"/>
      <c r="L3263" s="180"/>
      <c r="M3263" s="180"/>
      <c r="N3263" s="180"/>
      <c r="O3263" s="180"/>
      <c r="P3263" s="180"/>
      <c r="Q3263" s="180"/>
      <c r="R3263" s="180"/>
    </row>
    <row r="3264" spans="1:18" s="18" customFormat="1" ht="22.5" hidden="1" customHeight="1">
      <c r="A3264" s="82" t="s">
        <v>62</v>
      </c>
      <c r="B3264" s="145">
        <v>795</v>
      </c>
      <c r="C3264" s="149" t="s">
        <v>167</v>
      </c>
      <c r="D3264" s="149" t="s">
        <v>18</v>
      </c>
      <c r="E3264" s="84" t="s">
        <v>498</v>
      </c>
      <c r="F3264" s="84" t="s">
        <v>63</v>
      </c>
      <c r="G3264" s="87">
        <f>G3265</f>
        <v>0</v>
      </c>
      <c r="H3264" s="87">
        <f t="shared" si="850"/>
        <v>0</v>
      </c>
      <c r="I3264" s="87">
        <f t="shared" si="850"/>
        <v>0</v>
      </c>
      <c r="J3264" s="173"/>
      <c r="K3264" s="180"/>
      <c r="L3264" s="180"/>
      <c r="M3264" s="180"/>
      <c r="N3264" s="180"/>
      <c r="O3264" s="180"/>
      <c r="P3264" s="180"/>
      <c r="Q3264" s="180"/>
      <c r="R3264" s="180"/>
    </row>
    <row r="3265" spans="1:20" s="18" customFormat="1" ht="17.25" hidden="1" customHeight="1">
      <c r="A3265" s="130" t="s">
        <v>140</v>
      </c>
      <c r="B3265" s="145">
        <v>795</v>
      </c>
      <c r="C3265" s="149" t="s">
        <v>167</v>
      </c>
      <c r="D3265" s="149" t="s">
        <v>18</v>
      </c>
      <c r="E3265" s="84" t="s">
        <v>498</v>
      </c>
      <c r="F3265" s="84" t="s">
        <v>66</v>
      </c>
      <c r="G3265" s="87"/>
      <c r="H3265" s="87"/>
      <c r="I3265" s="87"/>
      <c r="J3265" s="173"/>
      <c r="K3265" s="180"/>
      <c r="L3265" s="180"/>
      <c r="M3265" s="180"/>
      <c r="N3265" s="180"/>
      <c r="O3265" s="180"/>
      <c r="P3265" s="180"/>
      <c r="Q3265" s="180"/>
      <c r="R3265" s="180"/>
    </row>
    <row r="3266" spans="1:20" s="46" customFormat="1" ht="48.75" hidden="1" customHeight="1">
      <c r="A3266" s="82" t="s">
        <v>410</v>
      </c>
      <c r="B3266" s="145">
        <v>795</v>
      </c>
      <c r="C3266" s="149" t="s">
        <v>167</v>
      </c>
      <c r="D3266" s="149" t="s">
        <v>18</v>
      </c>
      <c r="E3266" s="84" t="s">
        <v>365</v>
      </c>
      <c r="F3266" s="84"/>
      <c r="G3266" s="87">
        <f>G3267</f>
        <v>0</v>
      </c>
      <c r="H3266" s="87">
        <f t="shared" ref="G3266:I3267" si="851">H3267</f>
        <v>0</v>
      </c>
      <c r="I3266" s="87">
        <f t="shared" si="851"/>
        <v>0</v>
      </c>
      <c r="J3266" s="173"/>
      <c r="K3266" s="58"/>
      <c r="L3266" s="58"/>
      <c r="M3266" s="58"/>
      <c r="N3266" s="58"/>
      <c r="O3266" s="58"/>
      <c r="P3266" s="58"/>
      <c r="Q3266" s="58"/>
      <c r="R3266" s="58"/>
    </row>
    <row r="3267" spans="1:20" s="46" customFormat="1" ht="21" hidden="1" customHeight="1">
      <c r="A3267" s="82" t="s">
        <v>316</v>
      </c>
      <c r="B3267" s="145">
        <v>795</v>
      </c>
      <c r="C3267" s="149" t="s">
        <v>167</v>
      </c>
      <c r="D3267" s="149" t="s">
        <v>18</v>
      </c>
      <c r="E3267" s="84" t="s">
        <v>365</v>
      </c>
      <c r="F3267" s="84" t="s">
        <v>36</v>
      </c>
      <c r="G3267" s="87">
        <f t="shared" si="851"/>
        <v>0</v>
      </c>
      <c r="H3267" s="87">
        <f t="shared" si="851"/>
        <v>0</v>
      </c>
      <c r="I3267" s="87">
        <f t="shared" si="851"/>
        <v>0</v>
      </c>
      <c r="J3267" s="173"/>
      <c r="K3267" s="58"/>
      <c r="L3267" s="58"/>
      <c r="M3267" s="58"/>
      <c r="N3267" s="58"/>
      <c r="O3267" s="58"/>
      <c r="P3267" s="58"/>
      <c r="Q3267" s="58"/>
      <c r="R3267" s="58"/>
    </row>
    <row r="3268" spans="1:20" s="46" customFormat="1" ht="28.5" hidden="1" customHeight="1">
      <c r="A3268" s="82" t="s">
        <v>37</v>
      </c>
      <c r="B3268" s="145">
        <v>795</v>
      </c>
      <c r="C3268" s="149" t="s">
        <v>167</v>
      </c>
      <c r="D3268" s="149" t="s">
        <v>18</v>
      </c>
      <c r="E3268" s="84" t="s">
        <v>365</v>
      </c>
      <c r="F3268" s="84" t="s">
        <v>38</v>
      </c>
      <c r="G3268" s="87"/>
      <c r="H3268" s="87"/>
      <c r="I3268" s="87"/>
      <c r="J3268" s="173"/>
      <c r="K3268" s="58"/>
      <c r="L3268" s="58"/>
      <c r="M3268" s="58"/>
      <c r="N3268" s="58"/>
      <c r="O3268" s="58"/>
      <c r="P3268" s="58"/>
      <c r="Q3268" s="58"/>
      <c r="R3268" s="58"/>
    </row>
    <row r="3269" spans="1:20" hidden="1">
      <c r="A3269" s="132" t="s">
        <v>169</v>
      </c>
      <c r="B3269" s="145">
        <v>795</v>
      </c>
      <c r="C3269" s="84" t="s">
        <v>167</v>
      </c>
      <c r="D3269" s="84" t="s">
        <v>27</v>
      </c>
      <c r="E3269" s="84"/>
      <c r="F3269" s="84"/>
      <c r="G3269" s="87">
        <f>G3270+G3277</f>
        <v>0</v>
      </c>
      <c r="H3269" s="87">
        <f t="shared" ref="H3269:I3269" si="852">H3270</f>
        <v>0</v>
      </c>
      <c r="I3269" s="87">
        <f t="shared" si="852"/>
        <v>0</v>
      </c>
      <c r="J3269" s="173"/>
      <c r="K3269" s="69"/>
      <c r="L3269" s="69"/>
      <c r="M3269" s="69"/>
      <c r="N3269" s="69"/>
      <c r="O3269" s="69"/>
      <c r="P3269" s="69"/>
      <c r="Q3269" s="69"/>
      <c r="R3269" s="69"/>
    </row>
    <row r="3270" spans="1:20" s="3" customFormat="1" ht="52.5" hidden="1" customHeight="1">
      <c r="A3270" s="82" t="s">
        <v>467</v>
      </c>
      <c r="B3270" s="145">
        <v>795</v>
      </c>
      <c r="C3270" s="84" t="s">
        <v>167</v>
      </c>
      <c r="D3270" s="84" t="s">
        <v>27</v>
      </c>
      <c r="E3270" s="84" t="s">
        <v>289</v>
      </c>
      <c r="F3270" s="84"/>
      <c r="G3270" s="87">
        <f>G3273+G3408+G3410+G3380+G3274</f>
        <v>0</v>
      </c>
      <c r="H3270" s="87">
        <f>H3273+H3408+H3410+H3380</f>
        <v>0</v>
      </c>
      <c r="I3270" s="87">
        <f>I3273+I3408+I3410+I3380</f>
        <v>0</v>
      </c>
      <c r="J3270" s="173"/>
      <c r="K3270" s="62"/>
      <c r="L3270" s="62"/>
      <c r="M3270" s="62"/>
      <c r="N3270" s="62"/>
      <c r="O3270" s="62"/>
      <c r="P3270" s="62"/>
      <c r="Q3270" s="62"/>
      <c r="R3270" s="62"/>
    </row>
    <row r="3271" spans="1:20" ht="28.5" hidden="1" customHeight="1">
      <c r="A3271" s="82" t="s">
        <v>720</v>
      </c>
      <c r="B3271" s="145">
        <v>795</v>
      </c>
      <c r="C3271" s="84" t="s">
        <v>167</v>
      </c>
      <c r="D3271" s="84" t="s">
        <v>27</v>
      </c>
      <c r="E3271" s="84" t="s">
        <v>290</v>
      </c>
      <c r="F3271" s="84"/>
      <c r="G3271" s="87">
        <f>G3272</f>
        <v>0</v>
      </c>
      <c r="H3271" s="87">
        <f t="shared" ref="G3271:I3275" si="853">H3272</f>
        <v>0</v>
      </c>
      <c r="I3271" s="87">
        <f t="shared" si="853"/>
        <v>0</v>
      </c>
      <c r="J3271" s="173"/>
      <c r="K3271" s="69"/>
      <c r="L3271" s="69"/>
      <c r="M3271" s="69"/>
      <c r="N3271" s="69"/>
      <c r="O3271" s="69"/>
      <c r="P3271" s="69"/>
      <c r="Q3271" s="69"/>
      <c r="R3271" s="69"/>
    </row>
    <row r="3272" spans="1:20" ht="26.4" hidden="1">
      <c r="A3272" s="82" t="s">
        <v>35</v>
      </c>
      <c r="B3272" s="145">
        <v>795</v>
      </c>
      <c r="C3272" s="84" t="s">
        <v>167</v>
      </c>
      <c r="D3272" s="84" t="s">
        <v>27</v>
      </c>
      <c r="E3272" s="84" t="s">
        <v>290</v>
      </c>
      <c r="F3272" s="84" t="s">
        <v>36</v>
      </c>
      <c r="G3272" s="87">
        <f t="shared" si="853"/>
        <v>0</v>
      </c>
      <c r="H3272" s="87">
        <f t="shared" si="853"/>
        <v>0</v>
      </c>
      <c r="I3272" s="87">
        <f t="shared" si="853"/>
        <v>0</v>
      </c>
      <c r="J3272" s="173"/>
      <c r="K3272" s="69"/>
      <c r="L3272" s="69"/>
      <c r="M3272" s="69"/>
      <c r="N3272" s="69"/>
      <c r="O3272" s="69"/>
      <c r="P3272" s="69"/>
      <c r="Q3272" s="69"/>
      <c r="R3272" s="69"/>
    </row>
    <row r="3273" spans="1:20" ht="26.4" hidden="1">
      <c r="A3273" s="82" t="s">
        <v>37</v>
      </c>
      <c r="B3273" s="145">
        <v>795</v>
      </c>
      <c r="C3273" s="84" t="s">
        <v>167</v>
      </c>
      <c r="D3273" s="84" t="s">
        <v>27</v>
      </c>
      <c r="E3273" s="84" t="s">
        <v>290</v>
      </c>
      <c r="F3273" s="84" t="s">
        <v>38</v>
      </c>
      <c r="G3273" s="87"/>
      <c r="H3273" s="87"/>
      <c r="I3273" s="87"/>
      <c r="J3273" s="173"/>
      <c r="K3273" s="69"/>
      <c r="L3273" s="69"/>
      <c r="M3273" s="69"/>
      <c r="N3273" s="69"/>
      <c r="O3273" s="69"/>
      <c r="P3273" s="69"/>
      <c r="Q3273" s="69"/>
      <c r="R3273" s="69"/>
    </row>
    <row r="3274" spans="1:20" ht="28.5" hidden="1" customHeight="1">
      <c r="A3274" s="82" t="s">
        <v>508</v>
      </c>
      <c r="B3274" s="145">
        <v>795</v>
      </c>
      <c r="C3274" s="84" t="s">
        <v>167</v>
      </c>
      <c r="D3274" s="84" t="s">
        <v>27</v>
      </c>
      <c r="E3274" s="84" t="s">
        <v>507</v>
      </c>
      <c r="F3274" s="84"/>
      <c r="G3274" s="87">
        <f>G3275</f>
        <v>0</v>
      </c>
      <c r="H3274" s="87">
        <f t="shared" si="853"/>
        <v>0</v>
      </c>
      <c r="I3274" s="87">
        <f t="shared" si="853"/>
        <v>0</v>
      </c>
      <c r="J3274" s="173"/>
      <c r="K3274" s="69"/>
      <c r="L3274" s="69"/>
      <c r="M3274" s="69"/>
      <c r="N3274" s="69"/>
      <c r="O3274" s="69"/>
      <c r="P3274" s="69"/>
      <c r="Q3274" s="69"/>
      <c r="R3274" s="69"/>
    </row>
    <row r="3275" spans="1:20" ht="26.4" hidden="1">
      <c r="A3275" s="82" t="s">
        <v>35</v>
      </c>
      <c r="B3275" s="145">
        <v>795</v>
      </c>
      <c r="C3275" s="84" t="s">
        <v>167</v>
      </c>
      <c r="D3275" s="84" t="s">
        <v>27</v>
      </c>
      <c r="E3275" s="84" t="s">
        <v>507</v>
      </c>
      <c r="F3275" s="84" t="s">
        <v>36</v>
      </c>
      <c r="G3275" s="87">
        <f t="shared" si="853"/>
        <v>0</v>
      </c>
      <c r="H3275" s="87">
        <f t="shared" si="853"/>
        <v>0</v>
      </c>
      <c r="I3275" s="87">
        <f t="shared" si="853"/>
        <v>0</v>
      </c>
      <c r="J3275" s="173"/>
      <c r="K3275" s="69"/>
      <c r="L3275" s="69"/>
      <c r="M3275" s="69"/>
      <c r="N3275" s="69"/>
      <c r="O3275" s="69"/>
      <c r="P3275" s="69"/>
      <c r="Q3275" s="69"/>
      <c r="R3275" s="69"/>
    </row>
    <row r="3276" spans="1:20" ht="26.4" hidden="1">
      <c r="A3276" s="82" t="s">
        <v>37</v>
      </c>
      <c r="B3276" s="145">
        <v>795</v>
      </c>
      <c r="C3276" s="84" t="s">
        <v>167</v>
      </c>
      <c r="D3276" s="84" t="s">
        <v>27</v>
      </c>
      <c r="E3276" s="84" t="s">
        <v>507</v>
      </c>
      <c r="F3276" s="84" t="s">
        <v>38</v>
      </c>
      <c r="G3276" s="87"/>
      <c r="H3276" s="87"/>
      <c r="I3276" s="87"/>
      <c r="J3276" s="173"/>
      <c r="K3276" s="69"/>
      <c r="L3276" s="69"/>
      <c r="M3276" s="69"/>
      <c r="N3276" s="69"/>
      <c r="O3276" s="69"/>
      <c r="P3276" s="69"/>
      <c r="Q3276" s="69"/>
      <c r="R3276" s="69"/>
    </row>
    <row r="3277" spans="1:20" s="122" customFormat="1" ht="26.25" hidden="1" customHeight="1">
      <c r="A3277" s="150" t="s">
        <v>158</v>
      </c>
      <c r="B3277" s="145">
        <v>795</v>
      </c>
      <c r="C3277" s="84" t="s">
        <v>167</v>
      </c>
      <c r="D3277" s="84" t="s">
        <v>27</v>
      </c>
      <c r="E3277" s="143" t="s">
        <v>204</v>
      </c>
      <c r="F3277" s="152"/>
      <c r="G3277" s="87">
        <f>G3281</f>
        <v>0</v>
      </c>
      <c r="H3277" s="153">
        <f t="shared" ref="H3277:I3277" si="854">H3278+H3281+H3286+H3289+H3304</f>
        <v>0</v>
      </c>
      <c r="I3277" s="153">
        <f t="shared" si="854"/>
        <v>0</v>
      </c>
      <c r="J3277" s="121"/>
      <c r="P3277" s="121"/>
      <c r="Q3277" s="121"/>
      <c r="R3277" s="121"/>
      <c r="S3277" s="121"/>
      <c r="T3277" s="121"/>
    </row>
    <row r="3278" spans="1:20" s="122" customFormat="1" ht="51.75" hidden="1" customHeight="1">
      <c r="A3278" s="82" t="s">
        <v>612</v>
      </c>
      <c r="B3278" s="145">
        <v>795</v>
      </c>
      <c r="C3278" s="84" t="s">
        <v>167</v>
      </c>
      <c r="D3278" s="84" t="s">
        <v>27</v>
      </c>
      <c r="E3278" s="84" t="s">
        <v>613</v>
      </c>
      <c r="F3278" s="84"/>
      <c r="G3278" s="87">
        <f t="shared" ref="G3278:I3279" si="855">G3279</f>
        <v>0</v>
      </c>
      <c r="H3278" s="87">
        <f t="shared" si="855"/>
        <v>0</v>
      </c>
      <c r="I3278" s="87">
        <f t="shared" si="855"/>
        <v>0</v>
      </c>
      <c r="J3278" s="121"/>
      <c r="P3278" s="121"/>
      <c r="Q3278" s="121"/>
      <c r="R3278" s="121"/>
      <c r="S3278" s="121"/>
      <c r="T3278" s="121"/>
    </row>
    <row r="3279" spans="1:20" s="122" customFormat="1" ht="26.25" hidden="1" customHeight="1">
      <c r="A3279" s="82" t="s">
        <v>316</v>
      </c>
      <c r="B3279" s="145">
        <v>795</v>
      </c>
      <c r="C3279" s="84" t="s">
        <v>167</v>
      </c>
      <c r="D3279" s="84" t="s">
        <v>27</v>
      </c>
      <c r="E3279" s="84" t="s">
        <v>613</v>
      </c>
      <c r="F3279" s="84" t="s">
        <v>36</v>
      </c>
      <c r="G3279" s="87">
        <f t="shared" si="855"/>
        <v>0</v>
      </c>
      <c r="H3279" s="87">
        <f t="shared" si="855"/>
        <v>0</v>
      </c>
      <c r="I3279" s="87">
        <f t="shared" si="855"/>
        <v>0</v>
      </c>
      <c r="J3279" s="121"/>
      <c r="P3279" s="121"/>
      <c r="Q3279" s="121"/>
      <c r="R3279" s="121"/>
      <c r="S3279" s="121"/>
      <c r="T3279" s="121"/>
    </row>
    <row r="3280" spans="1:20" s="122" customFormat="1" ht="26.25" hidden="1" customHeight="1">
      <c r="A3280" s="82" t="s">
        <v>37</v>
      </c>
      <c r="B3280" s="145">
        <v>795</v>
      </c>
      <c r="C3280" s="84" t="s">
        <v>167</v>
      </c>
      <c r="D3280" s="84" t="s">
        <v>27</v>
      </c>
      <c r="E3280" s="84" t="s">
        <v>613</v>
      </c>
      <c r="F3280" s="84" t="s">
        <v>38</v>
      </c>
      <c r="G3280" s="87">
        <f>прил4!G3058</f>
        <v>0</v>
      </c>
      <c r="H3280" s="87"/>
      <c r="I3280" s="87"/>
      <c r="J3280" s="121"/>
      <c r="P3280" s="121"/>
      <c r="Q3280" s="121"/>
      <c r="R3280" s="121"/>
      <c r="S3280" s="121"/>
      <c r="T3280" s="121"/>
    </row>
    <row r="3281" spans="1:20" s="90" customFormat="1" ht="20.25" hidden="1" customHeight="1">
      <c r="A3281" s="82" t="s">
        <v>326</v>
      </c>
      <c r="B3281" s="145">
        <v>795</v>
      </c>
      <c r="C3281" s="84" t="s">
        <v>167</v>
      </c>
      <c r="D3281" s="84" t="s">
        <v>27</v>
      </c>
      <c r="E3281" s="84" t="s">
        <v>205</v>
      </c>
      <c r="F3281" s="84"/>
      <c r="G3281" s="87">
        <f>G3284</f>
        <v>0</v>
      </c>
      <c r="H3281" s="87">
        <f t="shared" ref="H3281:I3281" si="856">H3284+H3292</f>
        <v>0</v>
      </c>
      <c r="I3281" s="87">
        <f t="shared" si="856"/>
        <v>0</v>
      </c>
      <c r="J3281" s="123"/>
      <c r="P3281" s="123"/>
      <c r="Q3281" s="123"/>
      <c r="R3281" s="123"/>
      <c r="S3281" s="123"/>
      <c r="T3281" s="123"/>
    </row>
    <row r="3282" spans="1:20" s="90" customFormat="1" ht="29.25" hidden="1" customHeight="1">
      <c r="A3282" s="82" t="s">
        <v>29</v>
      </c>
      <c r="B3282" s="145">
        <v>795</v>
      </c>
      <c r="C3282" s="84" t="s">
        <v>167</v>
      </c>
      <c r="D3282" s="84" t="s">
        <v>27</v>
      </c>
      <c r="E3282" s="84" t="s">
        <v>205</v>
      </c>
      <c r="F3282" s="84" t="s">
        <v>30</v>
      </c>
      <c r="G3282" s="87">
        <f>G3283</f>
        <v>0</v>
      </c>
      <c r="H3282" s="87"/>
      <c r="I3282" s="87"/>
      <c r="J3282" s="123"/>
      <c r="P3282" s="123"/>
      <c r="Q3282" s="123"/>
      <c r="R3282" s="123"/>
      <c r="S3282" s="123"/>
      <c r="T3282" s="123"/>
    </row>
    <row r="3283" spans="1:20" s="90" customFormat="1" ht="19.5" hidden="1" customHeight="1">
      <c r="A3283" s="82" t="s">
        <v>31</v>
      </c>
      <c r="B3283" s="145">
        <v>795</v>
      </c>
      <c r="C3283" s="84" t="s">
        <v>167</v>
      </c>
      <c r="D3283" s="84" t="s">
        <v>27</v>
      </c>
      <c r="E3283" s="84" t="s">
        <v>205</v>
      </c>
      <c r="F3283" s="84" t="s">
        <v>32</v>
      </c>
      <c r="G3283" s="87"/>
      <c r="H3283" s="87"/>
      <c r="I3283" s="87"/>
      <c r="J3283" s="123"/>
      <c r="P3283" s="123"/>
      <c r="Q3283" s="123"/>
      <c r="R3283" s="123"/>
      <c r="S3283" s="123"/>
      <c r="T3283" s="123"/>
    </row>
    <row r="3284" spans="1:20" s="90" customFormat="1" hidden="1">
      <c r="A3284" s="82" t="s">
        <v>62</v>
      </c>
      <c r="B3284" s="145">
        <v>795</v>
      </c>
      <c r="C3284" s="84" t="s">
        <v>167</v>
      </c>
      <c r="D3284" s="84" t="s">
        <v>27</v>
      </c>
      <c r="E3284" s="84" t="s">
        <v>205</v>
      </c>
      <c r="F3284" s="84" t="s">
        <v>36</v>
      </c>
      <c r="G3284" s="87">
        <f t="shared" ref="G3284:I3284" si="857">G3285</f>
        <v>0</v>
      </c>
      <c r="H3284" s="87">
        <f t="shared" si="857"/>
        <v>0</v>
      </c>
      <c r="I3284" s="87">
        <f t="shared" si="857"/>
        <v>0</v>
      </c>
      <c r="J3284" s="123"/>
      <c r="P3284" s="123"/>
      <c r="Q3284" s="123"/>
      <c r="R3284" s="123"/>
      <c r="S3284" s="123"/>
      <c r="T3284" s="123"/>
    </row>
    <row r="3285" spans="1:20" s="90" customFormat="1" ht="18.75" hidden="1" customHeight="1">
      <c r="A3285" s="82" t="s">
        <v>321</v>
      </c>
      <c r="B3285" s="145">
        <v>795</v>
      </c>
      <c r="C3285" s="84" t="s">
        <v>167</v>
      </c>
      <c r="D3285" s="84" t="s">
        <v>27</v>
      </c>
      <c r="E3285" s="84" t="s">
        <v>205</v>
      </c>
      <c r="F3285" s="84" t="s">
        <v>38</v>
      </c>
      <c r="G3285" s="87"/>
      <c r="H3285" s="87"/>
      <c r="I3285" s="87"/>
      <c r="J3285" s="123"/>
      <c r="P3285" s="123"/>
      <c r="Q3285" s="123"/>
      <c r="R3285" s="123"/>
      <c r="S3285" s="123"/>
      <c r="T3285" s="123"/>
    </row>
    <row r="3286" spans="1:20" s="46" customFormat="1" ht="17.25" hidden="1" customHeight="1">
      <c r="A3286" s="82" t="s">
        <v>278</v>
      </c>
      <c r="B3286" s="145">
        <v>795</v>
      </c>
      <c r="C3286" s="84" t="s">
        <v>167</v>
      </c>
      <c r="D3286" s="84" t="s">
        <v>69</v>
      </c>
      <c r="E3286" s="84"/>
      <c r="F3286" s="84"/>
      <c r="G3286" s="87">
        <f>G3289</f>
        <v>0</v>
      </c>
      <c r="H3286" s="87">
        <f t="shared" ref="H3286:I3286" si="858">H3289</f>
        <v>0</v>
      </c>
      <c r="I3286" s="87">
        <f t="shared" si="858"/>
        <v>0</v>
      </c>
      <c r="J3286" s="173"/>
      <c r="K3286" s="58"/>
      <c r="L3286" s="58"/>
      <c r="M3286" s="58"/>
      <c r="N3286" s="58"/>
      <c r="O3286" s="58"/>
      <c r="P3286" s="58"/>
      <c r="Q3286" s="58"/>
      <c r="R3286" s="58"/>
    </row>
    <row r="3287" spans="1:20" s="46" customFormat="1" ht="17.25" hidden="1" customHeight="1">
      <c r="A3287" s="82"/>
      <c r="B3287" s="145">
        <v>795</v>
      </c>
      <c r="C3287" s="84"/>
      <c r="D3287" s="84"/>
      <c r="E3287" s="84"/>
      <c r="F3287" s="84"/>
      <c r="G3287" s="87"/>
      <c r="H3287" s="87"/>
      <c r="I3287" s="87"/>
      <c r="J3287" s="173"/>
      <c r="K3287" s="58"/>
      <c r="L3287" s="58"/>
      <c r="M3287" s="58"/>
      <c r="N3287" s="58"/>
      <c r="O3287" s="58"/>
      <c r="P3287" s="58"/>
      <c r="Q3287" s="58"/>
      <c r="R3287" s="58"/>
    </row>
    <row r="3288" spans="1:20" s="46" customFormat="1" ht="17.25" hidden="1" customHeight="1">
      <c r="A3288" s="82"/>
      <c r="B3288" s="145">
        <v>795</v>
      </c>
      <c r="C3288" s="84"/>
      <c r="D3288" s="84"/>
      <c r="E3288" s="84"/>
      <c r="F3288" s="84"/>
      <c r="G3288" s="87"/>
      <c r="H3288" s="87"/>
      <c r="I3288" s="87"/>
      <c r="J3288" s="173"/>
      <c r="K3288" s="58"/>
      <c r="L3288" s="58"/>
      <c r="M3288" s="58"/>
      <c r="N3288" s="58"/>
      <c r="O3288" s="58"/>
      <c r="P3288" s="58"/>
      <c r="Q3288" s="58"/>
      <c r="R3288" s="58"/>
    </row>
    <row r="3289" spans="1:20" ht="52.8" hidden="1">
      <c r="A3289" s="82" t="s">
        <v>467</v>
      </c>
      <c r="B3289" s="145">
        <v>795</v>
      </c>
      <c r="C3289" s="84" t="s">
        <v>167</v>
      </c>
      <c r="D3289" s="84" t="s">
        <v>69</v>
      </c>
      <c r="E3289" s="84" t="s">
        <v>289</v>
      </c>
      <c r="F3289" s="84"/>
      <c r="G3289" s="87">
        <f>G3290</f>
        <v>0</v>
      </c>
      <c r="H3289" s="87">
        <f t="shared" ref="H3289:I3289" si="859">H3290</f>
        <v>0</v>
      </c>
      <c r="I3289" s="87">
        <f t="shared" si="859"/>
        <v>0</v>
      </c>
      <c r="J3289" s="173"/>
      <c r="K3289" s="69"/>
      <c r="L3289" s="69"/>
      <c r="M3289" s="69"/>
      <c r="N3289" s="69"/>
      <c r="O3289" s="69"/>
      <c r="P3289" s="69"/>
      <c r="Q3289" s="69"/>
      <c r="R3289" s="69"/>
    </row>
    <row r="3290" spans="1:20" hidden="1">
      <c r="A3290" s="82" t="s">
        <v>78</v>
      </c>
      <c r="B3290" s="145">
        <v>795</v>
      </c>
      <c r="C3290" s="84" t="s">
        <v>167</v>
      </c>
      <c r="D3290" s="84" t="s">
        <v>69</v>
      </c>
      <c r="E3290" s="84" t="s">
        <v>97</v>
      </c>
      <c r="F3290" s="84"/>
      <c r="G3290" s="87">
        <f>G3291</f>
        <v>0</v>
      </c>
      <c r="H3290" s="87">
        <f t="shared" ref="H3290:I3290" si="860">H3291</f>
        <v>0</v>
      </c>
      <c r="I3290" s="87">
        <f t="shared" si="860"/>
        <v>0</v>
      </c>
      <c r="J3290" s="173"/>
      <c r="K3290" s="69"/>
      <c r="L3290" s="69"/>
      <c r="M3290" s="69"/>
      <c r="N3290" s="69"/>
      <c r="O3290" s="69"/>
      <c r="P3290" s="69"/>
      <c r="Q3290" s="69"/>
      <c r="R3290" s="69"/>
    </row>
    <row r="3291" spans="1:20" ht="26.4" hidden="1">
      <c r="A3291" s="82" t="s">
        <v>35</v>
      </c>
      <c r="B3291" s="145">
        <v>795</v>
      </c>
      <c r="C3291" s="84" t="s">
        <v>167</v>
      </c>
      <c r="D3291" s="84" t="s">
        <v>69</v>
      </c>
      <c r="E3291" s="84" t="s">
        <v>97</v>
      </c>
      <c r="F3291" s="84" t="s">
        <v>36</v>
      </c>
      <c r="G3291" s="87">
        <f>G3292</f>
        <v>0</v>
      </c>
      <c r="H3291" s="87">
        <f>H3292</f>
        <v>0</v>
      </c>
      <c r="I3291" s="87">
        <f>I3292</f>
        <v>0</v>
      </c>
      <c r="J3291" s="173"/>
      <c r="K3291" s="69"/>
      <c r="L3291" s="69"/>
      <c r="M3291" s="69"/>
      <c r="N3291" s="69"/>
      <c r="O3291" s="69"/>
      <c r="P3291" s="69"/>
      <c r="Q3291" s="69"/>
      <c r="R3291" s="69"/>
    </row>
    <row r="3292" spans="1:20" ht="30.75" hidden="1" customHeight="1">
      <c r="A3292" s="82" t="s">
        <v>37</v>
      </c>
      <c r="B3292" s="145">
        <v>795</v>
      </c>
      <c r="C3292" s="84" t="s">
        <v>167</v>
      </c>
      <c r="D3292" s="84" t="s">
        <v>69</v>
      </c>
      <c r="E3292" s="84" t="s">
        <v>97</v>
      </c>
      <c r="F3292" s="84" t="s">
        <v>38</v>
      </c>
      <c r="G3292" s="87"/>
      <c r="H3292" s="87"/>
      <c r="I3292" s="87"/>
      <c r="J3292" s="173"/>
      <c r="K3292" s="69"/>
      <c r="L3292" s="69"/>
      <c r="M3292" s="69"/>
      <c r="N3292" s="69"/>
      <c r="O3292" s="69"/>
      <c r="P3292" s="69"/>
      <c r="Q3292" s="69"/>
      <c r="R3292" s="69"/>
    </row>
    <row r="3293" spans="1:20" s="22" customFormat="1" ht="22.5" hidden="1" customHeight="1">
      <c r="A3293" s="150" t="s">
        <v>2</v>
      </c>
      <c r="B3293" s="151">
        <v>795</v>
      </c>
      <c r="C3293" s="152" t="s">
        <v>157</v>
      </c>
      <c r="D3293" s="152"/>
      <c r="E3293" s="152"/>
      <c r="F3293" s="152"/>
      <c r="G3293" s="153">
        <f>G3294</f>
        <v>0</v>
      </c>
      <c r="H3293" s="153">
        <f t="shared" ref="H3293:I3294" si="861">H3294</f>
        <v>0</v>
      </c>
      <c r="I3293" s="153">
        <f t="shared" si="861"/>
        <v>0</v>
      </c>
      <c r="J3293" s="191"/>
      <c r="K3293" s="61"/>
      <c r="L3293" s="61"/>
      <c r="M3293" s="61"/>
      <c r="N3293" s="61"/>
      <c r="O3293" s="61"/>
      <c r="P3293" s="61"/>
      <c r="Q3293" s="243"/>
      <c r="R3293" s="61"/>
    </row>
    <row r="3294" spans="1:20" s="3" customFormat="1" ht="24.75" hidden="1" customHeight="1">
      <c r="A3294" s="82" t="s">
        <v>342</v>
      </c>
      <c r="B3294" s="145">
        <v>795</v>
      </c>
      <c r="C3294" s="84" t="s">
        <v>157</v>
      </c>
      <c r="D3294" s="84" t="s">
        <v>167</v>
      </c>
      <c r="E3294" s="84"/>
      <c r="F3294" s="84"/>
      <c r="G3294" s="87">
        <f>G3295</f>
        <v>0</v>
      </c>
      <c r="H3294" s="87">
        <f t="shared" si="861"/>
        <v>0</v>
      </c>
      <c r="I3294" s="87">
        <f t="shared" si="861"/>
        <v>0</v>
      </c>
      <c r="J3294" s="173"/>
      <c r="K3294" s="62"/>
      <c r="L3294" s="62"/>
      <c r="M3294" s="62"/>
      <c r="N3294" s="62"/>
      <c r="O3294" s="62"/>
      <c r="P3294" s="62"/>
      <c r="Q3294" s="62"/>
      <c r="R3294" s="62"/>
    </row>
    <row r="3295" spans="1:20" s="3" customFormat="1" ht="38.25" hidden="1" customHeight="1">
      <c r="A3295" s="82" t="s">
        <v>457</v>
      </c>
      <c r="B3295" s="145">
        <v>795</v>
      </c>
      <c r="C3295" s="84" t="s">
        <v>157</v>
      </c>
      <c r="D3295" s="84" t="s">
        <v>167</v>
      </c>
      <c r="E3295" s="84" t="s">
        <v>256</v>
      </c>
      <c r="F3295" s="84"/>
      <c r="G3295" s="87">
        <f>G3298</f>
        <v>0</v>
      </c>
      <c r="H3295" s="87">
        <f t="shared" ref="H3295:I3295" si="862">H3298</f>
        <v>0</v>
      </c>
      <c r="I3295" s="87">
        <f t="shared" si="862"/>
        <v>0</v>
      </c>
      <c r="J3295" s="173"/>
      <c r="K3295" s="62"/>
      <c r="L3295" s="62"/>
      <c r="M3295" s="62"/>
      <c r="N3295" s="62"/>
      <c r="O3295" s="62"/>
      <c r="P3295" s="62"/>
      <c r="Q3295" s="62"/>
      <c r="R3295" s="62"/>
    </row>
    <row r="3296" spans="1:20" s="3" customFormat="1" ht="38.25" hidden="1" customHeight="1">
      <c r="A3296" s="82" t="s">
        <v>505</v>
      </c>
      <c r="B3296" s="145">
        <v>795</v>
      </c>
      <c r="C3296" s="84" t="s">
        <v>157</v>
      </c>
      <c r="D3296" s="84" t="s">
        <v>167</v>
      </c>
      <c r="E3296" s="84" t="s">
        <v>506</v>
      </c>
      <c r="F3296" s="84"/>
      <c r="G3296" s="87">
        <f>G3297</f>
        <v>0</v>
      </c>
      <c r="H3296" s="87">
        <f t="shared" ref="H3296:I3297" si="863">H3297</f>
        <v>0</v>
      </c>
      <c r="I3296" s="87">
        <f t="shared" si="863"/>
        <v>0</v>
      </c>
      <c r="J3296" s="174"/>
      <c r="K3296" s="62"/>
      <c r="L3296" s="62"/>
      <c r="M3296" s="62"/>
      <c r="N3296" s="62"/>
      <c r="O3296" s="62"/>
      <c r="P3296" s="62"/>
      <c r="Q3296" s="62"/>
      <c r="R3296" s="62"/>
    </row>
    <row r="3297" spans="1:18" s="3" customFormat="1" ht="38.25" hidden="1" customHeight="1">
      <c r="A3297" s="82" t="s">
        <v>35</v>
      </c>
      <c r="B3297" s="145">
        <v>795</v>
      </c>
      <c r="C3297" s="84" t="s">
        <v>157</v>
      </c>
      <c r="D3297" s="84" t="s">
        <v>167</v>
      </c>
      <c r="E3297" s="84" t="s">
        <v>506</v>
      </c>
      <c r="F3297" s="84" t="s">
        <v>36</v>
      </c>
      <c r="G3297" s="87">
        <f>G3298</f>
        <v>0</v>
      </c>
      <c r="H3297" s="87">
        <f t="shared" si="863"/>
        <v>0</v>
      </c>
      <c r="I3297" s="87">
        <f t="shared" si="863"/>
        <v>0</v>
      </c>
      <c r="J3297" s="174"/>
      <c r="K3297" s="62"/>
      <c r="L3297" s="62"/>
      <c r="M3297" s="62"/>
      <c r="N3297" s="62"/>
      <c r="O3297" s="62"/>
      <c r="P3297" s="62"/>
      <c r="Q3297" s="62"/>
      <c r="R3297" s="62"/>
    </row>
    <row r="3298" spans="1:18" s="3" customFormat="1" ht="38.25" hidden="1" customHeight="1">
      <c r="A3298" s="82" t="s">
        <v>37</v>
      </c>
      <c r="B3298" s="145">
        <v>795</v>
      </c>
      <c r="C3298" s="84" t="s">
        <v>157</v>
      </c>
      <c r="D3298" s="84" t="s">
        <v>167</v>
      </c>
      <c r="E3298" s="84" t="s">
        <v>506</v>
      </c>
      <c r="F3298" s="84" t="s">
        <v>38</v>
      </c>
      <c r="G3298" s="87"/>
      <c r="H3298" s="87"/>
      <c r="I3298" s="87"/>
      <c r="J3298" s="173"/>
      <c r="K3298" s="62"/>
      <c r="L3298" s="62"/>
      <c r="M3298" s="62"/>
      <c r="N3298" s="62"/>
      <c r="O3298" s="62"/>
      <c r="P3298" s="62"/>
      <c r="Q3298" s="62"/>
      <c r="R3298" s="62"/>
    </row>
    <row r="3299" spans="1:18" s="122" customFormat="1" hidden="1">
      <c r="A3299" s="273" t="s">
        <v>73</v>
      </c>
      <c r="B3299" s="264"/>
      <c r="C3299" s="158"/>
      <c r="D3299" s="158"/>
      <c r="E3299" s="158"/>
      <c r="F3299" s="158"/>
      <c r="G3299" s="96">
        <f>G3208+G3293+G3243+G3202</f>
        <v>0</v>
      </c>
      <c r="H3299" s="96">
        <f>H3208</f>
        <v>0</v>
      </c>
      <c r="I3299" s="96">
        <f>I3208</f>
        <v>0</v>
      </c>
      <c r="J3299" s="187"/>
      <c r="K3299" s="202"/>
      <c r="L3299" s="202"/>
      <c r="M3299" s="202"/>
      <c r="N3299" s="202"/>
      <c r="O3299" s="202"/>
      <c r="P3299" s="202"/>
      <c r="Q3299" s="202"/>
      <c r="R3299" s="202"/>
    </row>
    <row r="3300" spans="1:18" ht="42.75" customHeight="1">
      <c r="A3300" s="390" t="s">
        <v>1215</v>
      </c>
      <c r="B3300" s="387">
        <v>799</v>
      </c>
      <c r="C3300" s="394"/>
      <c r="D3300" s="394"/>
      <c r="E3300" s="394"/>
      <c r="F3300" s="394"/>
      <c r="G3300" s="393"/>
      <c r="H3300" s="393"/>
      <c r="I3300" s="393"/>
      <c r="J3300" s="310"/>
      <c r="K3300" s="241"/>
      <c r="L3300" s="69"/>
      <c r="M3300" s="69"/>
      <c r="N3300" s="69"/>
      <c r="O3300" s="69"/>
      <c r="P3300" s="69"/>
      <c r="Q3300" s="69"/>
      <c r="R3300" s="69"/>
    </row>
    <row r="3301" spans="1:18" s="33" customFormat="1" ht="39" customHeight="1">
      <c r="A3301" s="133" t="s">
        <v>354</v>
      </c>
      <c r="B3301" s="145">
        <v>799</v>
      </c>
      <c r="C3301" s="84" t="s">
        <v>18</v>
      </c>
      <c r="D3301" s="84" t="s">
        <v>157</v>
      </c>
      <c r="E3301" s="84"/>
      <c r="F3301" s="84"/>
      <c r="G3301" s="87">
        <f>G3303+G3310</f>
        <v>3158684.81</v>
      </c>
      <c r="H3301" s="87">
        <f t="shared" ref="H3301:I3301" si="864">H3303</f>
        <v>3174137</v>
      </c>
      <c r="I3301" s="87">
        <f t="shared" si="864"/>
        <v>3203182</v>
      </c>
      <c r="J3301" s="173"/>
      <c r="K3301" s="206"/>
      <c r="L3301" s="206"/>
      <c r="M3301" s="206"/>
      <c r="N3301" s="206"/>
      <c r="O3301" s="206"/>
      <c r="P3301" s="206"/>
      <c r="Q3301" s="206"/>
      <c r="R3301" s="206"/>
    </row>
    <row r="3302" spans="1:18" s="3" customFormat="1" ht="39.6" hidden="1">
      <c r="A3302" s="82" t="s">
        <v>156</v>
      </c>
      <c r="B3302" s="145"/>
      <c r="C3302" s="84" t="s">
        <v>18</v>
      </c>
      <c r="D3302" s="84" t="s">
        <v>157</v>
      </c>
      <c r="E3302" s="84"/>
      <c r="F3302" s="84"/>
      <c r="G3302" s="87"/>
      <c r="H3302" s="87"/>
      <c r="I3302" s="87"/>
      <c r="J3302" s="173"/>
      <c r="K3302" s="194"/>
      <c r="L3302" s="194"/>
      <c r="M3302" s="194"/>
      <c r="N3302" s="194"/>
      <c r="O3302" s="194"/>
      <c r="P3302" s="194"/>
      <c r="Q3302" s="194"/>
      <c r="R3302" s="194"/>
    </row>
    <row r="3303" spans="1:18" s="46" customFormat="1" ht="26.4">
      <c r="A3303" s="82" t="s">
        <v>1190</v>
      </c>
      <c r="B3303" s="145">
        <v>799</v>
      </c>
      <c r="C3303" s="84" t="s">
        <v>18</v>
      </c>
      <c r="D3303" s="84" t="s">
        <v>157</v>
      </c>
      <c r="E3303" s="84" t="s">
        <v>805</v>
      </c>
      <c r="F3303" s="84"/>
      <c r="G3303" s="87">
        <f>G3305+G3313</f>
        <v>3158684.81</v>
      </c>
      <c r="H3303" s="87">
        <f t="shared" ref="H3303:I3303" si="865">H3305</f>
        <v>3174137</v>
      </c>
      <c r="I3303" s="87">
        <f t="shared" si="865"/>
        <v>3203182</v>
      </c>
      <c r="J3303" s="173"/>
      <c r="K3303" s="215"/>
      <c r="L3303" s="215"/>
      <c r="M3303" s="215"/>
      <c r="N3303" s="215"/>
      <c r="O3303" s="215"/>
      <c r="P3303" s="215"/>
      <c r="Q3303" s="215"/>
      <c r="R3303" s="215"/>
    </row>
    <row r="3304" spans="1:18" s="46" customFormat="1" hidden="1">
      <c r="A3304" s="142"/>
      <c r="B3304" s="145"/>
      <c r="C3304" s="84"/>
      <c r="D3304" s="84"/>
      <c r="E3304" s="84"/>
      <c r="F3304" s="84"/>
      <c r="G3304" s="87"/>
      <c r="H3304" s="87"/>
      <c r="I3304" s="87"/>
      <c r="J3304" s="173"/>
      <c r="K3304" s="215"/>
      <c r="L3304" s="215"/>
      <c r="M3304" s="215"/>
      <c r="N3304" s="215"/>
      <c r="O3304" s="215"/>
      <c r="P3304" s="181"/>
      <c r="Q3304" s="215"/>
      <c r="R3304" s="215"/>
    </row>
    <row r="3305" spans="1:18" s="46" customFormat="1" ht="26.4">
      <c r="A3305" s="82" t="s">
        <v>75</v>
      </c>
      <c r="B3305" s="145">
        <v>799</v>
      </c>
      <c r="C3305" s="84" t="s">
        <v>18</v>
      </c>
      <c r="D3305" s="84" t="s">
        <v>157</v>
      </c>
      <c r="E3305" s="84" t="s">
        <v>806</v>
      </c>
      <c r="F3305" s="84"/>
      <c r="G3305" s="87">
        <f>G3306+G3308</f>
        <v>3139914</v>
      </c>
      <c r="H3305" s="87">
        <f t="shared" ref="H3305:I3305" si="866">H3306+H3308</f>
        <v>3174137</v>
      </c>
      <c r="I3305" s="87">
        <f t="shared" si="866"/>
        <v>3203182</v>
      </c>
      <c r="J3305" s="173"/>
      <c r="K3305" s="215"/>
      <c r="L3305" s="215"/>
      <c r="M3305" s="215"/>
      <c r="N3305" s="215"/>
      <c r="O3305" s="215"/>
      <c r="P3305" s="215"/>
      <c r="Q3305" s="215"/>
      <c r="R3305" s="215"/>
    </row>
    <row r="3306" spans="1:18" s="3" customFormat="1" ht="66">
      <c r="A3306" s="142" t="s">
        <v>54</v>
      </c>
      <c r="B3306" s="145">
        <v>799</v>
      </c>
      <c r="C3306" s="84" t="s">
        <v>18</v>
      </c>
      <c r="D3306" s="84" t="s">
        <v>157</v>
      </c>
      <c r="E3306" s="84" t="s">
        <v>806</v>
      </c>
      <c r="F3306" s="84" t="s">
        <v>57</v>
      </c>
      <c r="G3306" s="87">
        <f>G3307</f>
        <v>2833598.76</v>
      </c>
      <c r="H3306" s="87">
        <f>H3307</f>
        <v>2981537</v>
      </c>
      <c r="I3306" s="87">
        <f>I3307</f>
        <v>3010582</v>
      </c>
      <c r="J3306" s="173"/>
      <c r="K3306" s="194"/>
      <c r="L3306" s="194"/>
      <c r="M3306" s="194"/>
      <c r="N3306" s="194"/>
      <c r="O3306" s="194"/>
      <c r="P3306" s="194"/>
      <c r="Q3306" s="215"/>
      <c r="R3306" s="194"/>
    </row>
    <row r="3307" spans="1:18" s="3" customFormat="1" ht="26.4">
      <c r="A3307" s="142" t="s">
        <v>55</v>
      </c>
      <c r="B3307" s="145">
        <v>799</v>
      </c>
      <c r="C3307" s="84" t="s">
        <v>18</v>
      </c>
      <c r="D3307" s="84" t="s">
        <v>157</v>
      </c>
      <c r="E3307" s="84" t="s">
        <v>806</v>
      </c>
      <c r="F3307" s="84" t="s">
        <v>58</v>
      </c>
      <c r="G3307" s="87">
        <v>2833598.76</v>
      </c>
      <c r="H3307" s="87">
        <v>2981537</v>
      </c>
      <c r="I3307" s="87">
        <v>3010582</v>
      </c>
      <c r="J3307" s="173"/>
      <c r="K3307" s="194"/>
      <c r="L3307" s="194"/>
      <c r="M3307" s="194"/>
      <c r="N3307" s="194"/>
      <c r="O3307" s="194"/>
      <c r="P3307" s="194"/>
      <c r="Q3307" s="215"/>
      <c r="R3307" s="194"/>
    </row>
    <row r="3308" spans="1:18" s="3" customFormat="1" ht="26.4">
      <c r="A3308" s="82" t="s">
        <v>35</v>
      </c>
      <c r="B3308" s="145">
        <v>799</v>
      </c>
      <c r="C3308" s="84" t="s">
        <v>18</v>
      </c>
      <c r="D3308" s="84" t="s">
        <v>157</v>
      </c>
      <c r="E3308" s="84" t="s">
        <v>806</v>
      </c>
      <c r="F3308" s="84" t="s">
        <v>36</v>
      </c>
      <c r="G3308" s="87">
        <f>G3309</f>
        <v>306315.24</v>
      </c>
      <c r="H3308" s="87">
        <f>H3309</f>
        <v>192600</v>
      </c>
      <c r="I3308" s="87">
        <f>I3309</f>
        <v>192600</v>
      </c>
      <c r="J3308" s="173"/>
      <c r="K3308" s="194"/>
      <c r="L3308" s="194"/>
      <c r="M3308" s="194"/>
      <c r="N3308" s="194"/>
      <c r="O3308" s="194"/>
      <c r="P3308" s="194"/>
      <c r="Q3308" s="215"/>
      <c r="R3308" s="194"/>
    </row>
    <row r="3309" spans="1:18" s="3" customFormat="1" ht="26.4">
      <c r="A3309" s="82" t="s">
        <v>37</v>
      </c>
      <c r="B3309" s="145">
        <v>799</v>
      </c>
      <c r="C3309" s="84" t="s">
        <v>18</v>
      </c>
      <c r="D3309" s="84" t="s">
        <v>157</v>
      </c>
      <c r="E3309" s="84" t="s">
        <v>806</v>
      </c>
      <c r="F3309" s="84" t="s">
        <v>38</v>
      </c>
      <c r="G3309" s="87">
        <v>306315.24</v>
      </c>
      <c r="H3309" s="87">
        <v>192600</v>
      </c>
      <c r="I3309" s="87">
        <v>192600</v>
      </c>
      <c r="J3309" s="173"/>
      <c r="K3309" s="194"/>
      <c r="L3309" s="194"/>
      <c r="M3309" s="194"/>
      <c r="N3309" s="194"/>
      <c r="O3309" s="194"/>
      <c r="P3309" s="194"/>
      <c r="Q3309" s="215"/>
      <c r="R3309" s="194"/>
    </row>
    <row r="3310" spans="1:18" s="3" customFormat="1" ht="66" hidden="1" customHeight="1">
      <c r="A3310" s="133" t="s">
        <v>136</v>
      </c>
      <c r="B3310" s="145">
        <v>799</v>
      </c>
      <c r="C3310" s="84" t="s">
        <v>18</v>
      </c>
      <c r="D3310" s="84" t="s">
        <v>157</v>
      </c>
      <c r="E3310" s="84" t="s">
        <v>904</v>
      </c>
      <c r="F3310" s="84"/>
      <c r="G3310" s="87">
        <f t="shared" ref="G3310:I3310" si="867">G3311</f>
        <v>0</v>
      </c>
      <c r="H3310" s="87">
        <f t="shared" si="867"/>
        <v>0</v>
      </c>
      <c r="I3310" s="87">
        <f t="shared" si="867"/>
        <v>0</v>
      </c>
      <c r="J3310" s="173"/>
      <c r="K3310" s="194"/>
      <c r="L3310" s="194"/>
      <c r="M3310" s="194"/>
      <c r="N3310" s="194"/>
      <c r="O3310" s="194"/>
      <c r="P3310" s="194"/>
      <c r="Q3310" s="194"/>
      <c r="R3310" s="194"/>
    </row>
    <row r="3311" spans="1:18" s="3" customFormat="1" ht="26.4" hidden="1">
      <c r="A3311" s="82" t="s">
        <v>35</v>
      </c>
      <c r="B3311" s="145">
        <v>799</v>
      </c>
      <c r="C3311" s="84" t="s">
        <v>18</v>
      </c>
      <c r="D3311" s="84" t="s">
        <v>157</v>
      </c>
      <c r="E3311" s="84" t="s">
        <v>904</v>
      </c>
      <c r="F3311" s="84" t="s">
        <v>36</v>
      </c>
      <c r="G3311" s="87">
        <f>G3312</f>
        <v>0</v>
      </c>
      <c r="H3311" s="87">
        <f>H3312</f>
        <v>0</v>
      </c>
      <c r="I3311" s="87">
        <f>I3312</f>
        <v>0</v>
      </c>
      <c r="J3311" s="173"/>
      <c r="K3311" s="194"/>
      <c r="L3311" s="194"/>
      <c r="M3311" s="194"/>
      <c r="N3311" s="194"/>
      <c r="O3311" s="194"/>
      <c r="P3311" s="194"/>
      <c r="Q3311" s="194"/>
      <c r="R3311" s="194"/>
    </row>
    <row r="3312" spans="1:18" s="3" customFormat="1" ht="26.4" hidden="1">
      <c r="A3312" s="82" t="s">
        <v>37</v>
      </c>
      <c r="B3312" s="145">
        <v>799</v>
      </c>
      <c r="C3312" s="84" t="s">
        <v>18</v>
      </c>
      <c r="D3312" s="84" t="s">
        <v>157</v>
      </c>
      <c r="E3312" s="84" t="s">
        <v>904</v>
      </c>
      <c r="F3312" s="84" t="s">
        <v>38</v>
      </c>
      <c r="G3312" s="87"/>
      <c r="H3312" s="87"/>
      <c r="I3312" s="87"/>
      <c r="J3312" s="173"/>
      <c r="K3312" s="194"/>
      <c r="L3312" s="194"/>
      <c r="M3312" s="194"/>
      <c r="N3312" s="194"/>
      <c r="O3312" s="194"/>
      <c r="P3312" s="194"/>
      <c r="Q3312" s="194"/>
      <c r="R3312" s="194"/>
    </row>
    <row r="3313" spans="1:18" ht="84.75" customHeight="1">
      <c r="A3313" s="82" t="s">
        <v>1435</v>
      </c>
      <c r="B3313" s="145">
        <v>799</v>
      </c>
      <c r="C3313" s="84" t="s">
        <v>18</v>
      </c>
      <c r="D3313" s="84" t="s">
        <v>157</v>
      </c>
      <c r="E3313" s="84" t="s">
        <v>1533</v>
      </c>
      <c r="F3313" s="84"/>
      <c r="G3313" s="87">
        <f>G3314</f>
        <v>18770.810000000001</v>
      </c>
      <c r="H3313" s="87">
        <f t="shared" ref="H3313:I3313" si="868">H3314</f>
        <v>0</v>
      </c>
      <c r="I3313" s="87">
        <f t="shared" si="868"/>
        <v>0</v>
      </c>
      <c r="J3313" s="173"/>
    </row>
    <row r="3314" spans="1:18" ht="29.25" customHeight="1">
      <c r="A3314" s="82" t="s">
        <v>54</v>
      </c>
      <c r="B3314" s="145">
        <v>799</v>
      </c>
      <c r="C3314" s="84" t="s">
        <v>18</v>
      </c>
      <c r="D3314" s="84" t="s">
        <v>157</v>
      </c>
      <c r="E3314" s="84" t="s">
        <v>1533</v>
      </c>
      <c r="F3314" s="84" t="s">
        <v>57</v>
      </c>
      <c r="G3314" s="87">
        <f>G3315</f>
        <v>18770.810000000001</v>
      </c>
      <c r="H3314" s="87">
        <f>H3315</f>
        <v>0</v>
      </c>
      <c r="I3314" s="87">
        <f>I3315</f>
        <v>0</v>
      </c>
      <c r="J3314" s="173"/>
    </row>
    <row r="3315" spans="1:18" ht="36.75" customHeight="1">
      <c r="A3315" s="82" t="s">
        <v>55</v>
      </c>
      <c r="B3315" s="145">
        <v>799</v>
      </c>
      <c r="C3315" s="84" t="s">
        <v>18</v>
      </c>
      <c r="D3315" s="84" t="s">
        <v>157</v>
      </c>
      <c r="E3315" s="84" t="s">
        <v>1533</v>
      </c>
      <c r="F3315" s="84" t="s">
        <v>58</v>
      </c>
      <c r="G3315" s="70">
        <v>18770.810000000001</v>
      </c>
      <c r="H3315" s="87">
        <v>0</v>
      </c>
      <c r="I3315" s="87">
        <v>0</v>
      </c>
      <c r="J3315" s="173"/>
    </row>
    <row r="3316" spans="1:18" s="122" customFormat="1">
      <c r="A3316" s="396" t="s">
        <v>73</v>
      </c>
      <c r="B3316" s="378"/>
      <c r="C3316" s="379"/>
      <c r="D3316" s="379"/>
      <c r="E3316" s="379"/>
      <c r="F3316" s="379"/>
      <c r="G3316" s="380">
        <f>G3301</f>
        <v>3158684.81</v>
      </c>
      <c r="H3316" s="380">
        <f>H3301</f>
        <v>3174137</v>
      </c>
      <c r="I3316" s="380">
        <f>I3301</f>
        <v>3203182</v>
      </c>
      <c r="J3316" s="187"/>
      <c r="K3316" s="202"/>
      <c r="L3316" s="202"/>
      <c r="M3316" s="202"/>
      <c r="N3316" s="202"/>
      <c r="O3316" s="202"/>
      <c r="P3316" s="202"/>
      <c r="Q3316" s="202"/>
      <c r="R3316" s="202"/>
    </row>
    <row r="3317" spans="1:18" s="3" customFormat="1" hidden="1">
      <c r="A3317" s="82"/>
      <c r="B3317" s="145"/>
      <c r="C3317" s="84"/>
      <c r="D3317" s="84"/>
      <c r="E3317" s="84"/>
      <c r="F3317" s="84"/>
      <c r="G3317" s="87"/>
      <c r="H3317" s="87"/>
      <c r="I3317" s="87"/>
      <c r="J3317" s="173"/>
      <c r="K3317" s="194"/>
      <c r="L3317" s="194"/>
      <c r="M3317" s="194"/>
      <c r="N3317" s="194"/>
      <c r="O3317" s="194"/>
      <c r="P3317" s="194"/>
      <c r="Q3317" s="194"/>
      <c r="R3317" s="194"/>
    </row>
    <row r="3318" spans="1:18" ht="52.8">
      <c r="A3318" s="390" t="s">
        <v>1216</v>
      </c>
      <c r="B3318" s="387">
        <v>800</v>
      </c>
      <c r="C3318" s="394"/>
      <c r="D3318" s="394"/>
      <c r="E3318" s="394"/>
      <c r="F3318" s="394"/>
      <c r="G3318" s="393"/>
      <c r="H3318" s="393"/>
      <c r="I3318" s="393"/>
      <c r="J3318" s="310"/>
      <c r="K3318" s="241"/>
      <c r="L3318" s="69"/>
      <c r="M3318" s="69"/>
      <c r="N3318" s="69"/>
      <c r="O3318" s="69"/>
      <c r="P3318" s="69"/>
      <c r="Q3318" s="69"/>
      <c r="R3318" s="69"/>
    </row>
    <row r="3319" spans="1:18" ht="16.8">
      <c r="A3319" s="5" t="s">
        <v>17</v>
      </c>
      <c r="B3319" s="311">
        <v>800</v>
      </c>
      <c r="C3319" s="15" t="s">
        <v>18</v>
      </c>
      <c r="D3319" s="308"/>
      <c r="E3319" s="308"/>
      <c r="F3319" s="308"/>
      <c r="G3319" s="314">
        <f>G3320</f>
        <v>6487698.4100000001</v>
      </c>
      <c r="H3319" s="314">
        <f t="shared" ref="H3319:I3319" si="869">H3320</f>
        <v>6233577</v>
      </c>
      <c r="I3319" s="314">
        <f t="shared" si="869"/>
        <v>6292715</v>
      </c>
      <c r="J3319" s="310"/>
      <c r="K3319" s="241"/>
      <c r="L3319" s="69"/>
      <c r="M3319" s="69"/>
      <c r="N3319" s="69"/>
      <c r="O3319" s="69"/>
      <c r="P3319" s="69"/>
      <c r="Q3319" s="69"/>
      <c r="R3319" s="69"/>
    </row>
    <row r="3320" spans="1:18" s="46" customFormat="1" ht="52.8">
      <c r="A3320" s="53" t="s">
        <v>74</v>
      </c>
      <c r="B3320" s="14">
        <v>800</v>
      </c>
      <c r="C3320" s="15" t="s">
        <v>18</v>
      </c>
      <c r="D3320" s="15" t="s">
        <v>53</v>
      </c>
      <c r="E3320" s="68"/>
      <c r="F3320" s="68"/>
      <c r="G3320" s="306">
        <f>G3321</f>
        <v>6487698.4100000001</v>
      </c>
      <c r="H3320" s="306">
        <f t="shared" ref="H3320:I3320" si="870">H3321</f>
        <v>6233577</v>
      </c>
      <c r="I3320" s="306">
        <f t="shared" si="870"/>
        <v>6292715</v>
      </c>
      <c r="J3320" s="316"/>
      <c r="K3320" s="163"/>
      <c r="L3320" s="58"/>
      <c r="M3320" s="58"/>
      <c r="N3320" s="58"/>
      <c r="O3320" s="58"/>
      <c r="P3320" s="58"/>
      <c r="Q3320" s="58"/>
      <c r="R3320" s="58"/>
    </row>
    <row r="3321" spans="1:18" s="46" customFormat="1" ht="26.4">
      <c r="A3321" s="16" t="s">
        <v>1192</v>
      </c>
      <c r="B3321" s="14">
        <v>800</v>
      </c>
      <c r="C3321" s="15" t="s">
        <v>18</v>
      </c>
      <c r="D3321" s="15" t="s">
        <v>53</v>
      </c>
      <c r="E3321" s="15" t="s">
        <v>1110</v>
      </c>
      <c r="F3321" s="68"/>
      <c r="G3321" s="306">
        <f>G3322</f>
        <v>6487698.4100000001</v>
      </c>
      <c r="H3321" s="306">
        <f t="shared" ref="H3321:I3321" si="871">H3322</f>
        <v>6233577</v>
      </c>
      <c r="I3321" s="306">
        <f t="shared" si="871"/>
        <v>6292715</v>
      </c>
      <c r="J3321" s="316"/>
      <c r="K3321" s="163"/>
      <c r="L3321" s="58"/>
      <c r="M3321" s="58"/>
      <c r="N3321" s="58"/>
      <c r="O3321" s="58"/>
      <c r="P3321" s="58"/>
      <c r="Q3321" s="58"/>
      <c r="R3321" s="58"/>
    </row>
    <row r="3322" spans="1:18" s="46" customFormat="1" ht="26.4">
      <c r="A3322" s="82" t="s">
        <v>75</v>
      </c>
      <c r="B3322" s="14">
        <v>800</v>
      </c>
      <c r="C3322" s="84" t="s">
        <v>18</v>
      </c>
      <c r="D3322" s="84" t="s">
        <v>53</v>
      </c>
      <c r="E3322" s="15" t="s">
        <v>1108</v>
      </c>
      <c r="F3322" s="84"/>
      <c r="G3322" s="87">
        <f>G3323+G3325+G3329+G3327</f>
        <v>6487698.4100000001</v>
      </c>
      <c r="H3322" s="87">
        <f t="shared" ref="H3322:I3322" si="872">H3323+H3325+H3329+H3327</f>
        <v>6233577</v>
      </c>
      <c r="I3322" s="87">
        <f t="shared" si="872"/>
        <v>6292715</v>
      </c>
      <c r="J3322" s="173"/>
      <c r="K3322" s="215"/>
      <c r="L3322" s="215"/>
      <c r="M3322" s="215"/>
      <c r="N3322" s="207"/>
      <c r="O3322" s="215"/>
      <c r="P3322" s="215"/>
      <c r="Q3322" s="215"/>
      <c r="R3322" s="215"/>
    </row>
    <row r="3323" spans="1:18" s="46" customFormat="1" ht="52.8">
      <c r="A3323" s="82" t="s">
        <v>312</v>
      </c>
      <c r="B3323" s="14">
        <v>800</v>
      </c>
      <c r="C3323" s="84" t="s">
        <v>18</v>
      </c>
      <c r="D3323" s="84" t="s">
        <v>53</v>
      </c>
      <c r="E3323" s="15" t="s">
        <v>1108</v>
      </c>
      <c r="F3323" s="84" t="s">
        <v>57</v>
      </c>
      <c r="G3323" s="87">
        <f>G3324</f>
        <v>6174009.4100000001</v>
      </c>
      <c r="H3323" s="87">
        <f>H3324</f>
        <v>5913888</v>
      </c>
      <c r="I3323" s="87">
        <f>I3324</f>
        <v>5973026</v>
      </c>
      <c r="J3323" s="173"/>
      <c r="K3323" s="215"/>
      <c r="L3323" s="215"/>
      <c r="M3323" s="215"/>
      <c r="N3323" s="215"/>
      <c r="O3323" s="215"/>
      <c r="P3323" s="215"/>
      <c r="Q3323" s="215"/>
      <c r="R3323" s="215"/>
    </row>
    <row r="3324" spans="1:18" s="46" customFormat="1" ht="26.4">
      <c r="A3324" s="82" t="s">
        <v>55</v>
      </c>
      <c r="B3324" s="14">
        <v>800</v>
      </c>
      <c r="C3324" s="84" t="s">
        <v>18</v>
      </c>
      <c r="D3324" s="84" t="s">
        <v>53</v>
      </c>
      <c r="E3324" s="15" t="s">
        <v>1108</v>
      </c>
      <c r="F3324" s="84" t="s">
        <v>58</v>
      </c>
      <c r="G3324" s="87">
        <f>5855335+32819.41+93160.81+16839.19+175855</f>
        <v>6174009.4100000001</v>
      </c>
      <c r="H3324" s="87">
        <f>4542157+1371731</f>
        <v>5913888</v>
      </c>
      <c r="I3324" s="87">
        <f>4587578+1385448</f>
        <v>5973026</v>
      </c>
      <c r="J3324" s="173"/>
      <c r="K3324" s="215"/>
      <c r="L3324" s="215"/>
      <c r="M3324" s="215"/>
      <c r="N3324" s="215"/>
      <c r="O3324" s="215"/>
      <c r="P3324" s="215"/>
      <c r="Q3324" s="207"/>
      <c r="R3324" s="215"/>
    </row>
    <row r="3325" spans="1:18" s="46" customFormat="1" ht="34.5" customHeight="1">
      <c r="A3325" s="82" t="s">
        <v>316</v>
      </c>
      <c r="B3325" s="14">
        <v>800</v>
      </c>
      <c r="C3325" s="84" t="s">
        <v>18</v>
      </c>
      <c r="D3325" s="84" t="s">
        <v>53</v>
      </c>
      <c r="E3325" s="15" t="s">
        <v>1108</v>
      </c>
      <c r="F3325" s="84" t="s">
        <v>36</v>
      </c>
      <c r="G3325" s="87">
        <f>G3326</f>
        <v>313689</v>
      </c>
      <c r="H3325" s="87">
        <f>H3326</f>
        <v>319689</v>
      </c>
      <c r="I3325" s="87">
        <f>I3326</f>
        <v>319689</v>
      </c>
      <c r="J3325" s="173"/>
      <c r="K3325" s="215"/>
      <c r="L3325" s="215"/>
      <c r="M3325" s="215"/>
      <c r="N3325" s="215"/>
      <c r="O3325" s="215"/>
      <c r="P3325" s="215"/>
      <c r="Q3325" s="215"/>
      <c r="R3325" s="215"/>
    </row>
    <row r="3326" spans="1:18" s="46" customFormat="1" ht="26.4">
      <c r="A3326" s="82" t="s">
        <v>37</v>
      </c>
      <c r="B3326" s="14">
        <v>800</v>
      </c>
      <c r="C3326" s="84" t="s">
        <v>18</v>
      </c>
      <c r="D3326" s="84" t="s">
        <v>53</v>
      </c>
      <c r="E3326" s="15" t="s">
        <v>1108</v>
      </c>
      <c r="F3326" s="84" t="s">
        <v>38</v>
      </c>
      <c r="G3326" s="87">
        <f>200000+760565+119689-760565-6000</f>
        <v>313689</v>
      </c>
      <c r="H3326" s="87">
        <f>200000+760565+119689-760565</f>
        <v>319689</v>
      </c>
      <c r="I3326" s="87">
        <f>200000+760565+119689-760565</f>
        <v>319689</v>
      </c>
      <c r="J3326" s="173"/>
      <c r="K3326" s="215"/>
      <c r="L3326" s="215"/>
      <c r="M3326" s="215"/>
      <c r="N3326" s="215"/>
      <c r="O3326" s="215"/>
      <c r="P3326" s="215"/>
      <c r="Q3326" s="215"/>
      <c r="R3326" s="215"/>
    </row>
    <row r="3327" spans="1:18" s="46" customFormat="1" hidden="1">
      <c r="A3327" s="82" t="s">
        <v>144</v>
      </c>
      <c r="B3327" s="14">
        <v>800</v>
      </c>
      <c r="C3327" s="84" t="s">
        <v>18</v>
      </c>
      <c r="D3327" s="84" t="s">
        <v>53</v>
      </c>
      <c r="E3327" s="15" t="s">
        <v>1108</v>
      </c>
      <c r="F3327" s="84" t="s">
        <v>145</v>
      </c>
      <c r="G3327" s="87">
        <f>G3328</f>
        <v>0</v>
      </c>
      <c r="H3327" s="87"/>
      <c r="I3327" s="87"/>
      <c r="J3327" s="173"/>
      <c r="K3327" s="215"/>
      <c r="L3327" s="215"/>
      <c r="M3327" s="215"/>
      <c r="N3327" s="215"/>
      <c r="O3327" s="215"/>
      <c r="P3327" s="215"/>
      <c r="Q3327" s="215"/>
      <c r="R3327" s="215"/>
    </row>
    <row r="3328" spans="1:18" s="46" customFormat="1" ht="26.4" hidden="1">
      <c r="A3328" s="82" t="s">
        <v>146</v>
      </c>
      <c r="B3328" s="14">
        <v>800</v>
      </c>
      <c r="C3328" s="84" t="s">
        <v>18</v>
      </c>
      <c r="D3328" s="84" t="s">
        <v>53</v>
      </c>
      <c r="E3328" s="15" t="s">
        <v>1108</v>
      </c>
      <c r="F3328" s="84" t="s">
        <v>147</v>
      </c>
      <c r="G3328" s="87"/>
      <c r="H3328" s="87"/>
      <c r="I3328" s="87"/>
      <c r="J3328" s="173"/>
      <c r="K3328" s="215"/>
      <c r="L3328" s="215"/>
      <c r="M3328" s="215"/>
      <c r="N3328" s="215"/>
      <c r="O3328" s="215"/>
      <c r="P3328" s="215"/>
      <c r="Q3328" s="215"/>
      <c r="R3328" s="215"/>
    </row>
    <row r="3329" spans="1:18" s="46" customFormat="1" ht="17.25" hidden="1" customHeight="1">
      <c r="A3329" s="82" t="s">
        <v>62</v>
      </c>
      <c r="B3329" s="14">
        <v>800</v>
      </c>
      <c r="C3329" s="84" t="s">
        <v>18</v>
      </c>
      <c r="D3329" s="84" t="s">
        <v>53</v>
      </c>
      <c r="E3329" s="15" t="s">
        <v>1108</v>
      </c>
      <c r="F3329" s="84" t="s">
        <v>63</v>
      </c>
      <c r="G3329" s="87">
        <f>G3330</f>
        <v>0</v>
      </c>
      <c r="H3329" s="87">
        <f t="shared" ref="H3329:I3329" si="873">H3330</f>
        <v>0</v>
      </c>
      <c r="I3329" s="87">
        <f t="shared" si="873"/>
        <v>0</v>
      </c>
      <c r="J3329" s="173"/>
      <c r="K3329" s="215"/>
      <c r="L3329" s="215"/>
      <c r="M3329" s="215"/>
      <c r="N3329" s="215"/>
      <c r="O3329" s="215"/>
      <c r="P3329" s="215"/>
      <c r="Q3329" s="215"/>
      <c r="R3329" s="215"/>
    </row>
    <row r="3330" spans="1:18" s="46" customFormat="1" hidden="1">
      <c r="A3330" s="82" t="s">
        <v>140</v>
      </c>
      <c r="B3330" s="14">
        <v>800</v>
      </c>
      <c r="C3330" s="84" t="s">
        <v>18</v>
      </c>
      <c r="D3330" s="84" t="s">
        <v>53</v>
      </c>
      <c r="E3330" s="15" t="s">
        <v>1108</v>
      </c>
      <c r="F3330" s="84" t="s">
        <v>66</v>
      </c>
      <c r="G3330" s="87"/>
      <c r="H3330" s="87"/>
      <c r="I3330" s="87"/>
      <c r="J3330" s="173"/>
      <c r="K3330" s="215"/>
      <c r="L3330" s="215"/>
      <c r="M3330" s="215"/>
      <c r="N3330" s="215"/>
      <c r="O3330" s="215"/>
      <c r="P3330" s="215"/>
      <c r="Q3330" s="215"/>
      <c r="R3330" s="215"/>
    </row>
    <row r="3331" spans="1:18">
      <c r="A3331" s="11" t="s">
        <v>85</v>
      </c>
      <c r="B3331" s="14">
        <v>800</v>
      </c>
      <c r="C3331" s="7" t="s">
        <v>53</v>
      </c>
      <c r="D3331" s="7"/>
      <c r="E3331" s="7"/>
      <c r="F3331" s="7"/>
      <c r="G3331" s="38">
        <f>G3332</f>
        <v>9825000</v>
      </c>
      <c r="H3331" s="38">
        <f t="shared" ref="H3331:I3331" si="874">H3332</f>
        <v>5000000</v>
      </c>
      <c r="I3331" s="38">
        <f t="shared" si="874"/>
        <v>5000000</v>
      </c>
      <c r="J3331" s="328">
        <f>G3342+G3399+G3403+G3407+G3411+G3428+G3431+G3445+G3459</f>
        <v>0</v>
      </c>
      <c r="K3331" s="328"/>
      <c r="L3331" s="328"/>
      <c r="M3331" s="328"/>
      <c r="N3331" s="328"/>
      <c r="O3331" s="328"/>
      <c r="P3331" s="241"/>
      <c r="Q3331" s="241"/>
      <c r="R3331" s="69"/>
    </row>
    <row r="3332" spans="1:18" ht="19.5" customHeight="1">
      <c r="A3332" s="16" t="s">
        <v>166</v>
      </c>
      <c r="B3332" s="14">
        <v>800</v>
      </c>
      <c r="C3332" s="15" t="s">
        <v>53</v>
      </c>
      <c r="D3332" s="15" t="s">
        <v>120</v>
      </c>
      <c r="E3332" s="15"/>
      <c r="F3332" s="15"/>
      <c r="G3332" s="70">
        <f>G3392+G3333+G3396</f>
        <v>9825000</v>
      </c>
      <c r="H3332" s="70">
        <f>H3392+H3333+H3396</f>
        <v>5000000</v>
      </c>
      <c r="I3332" s="70">
        <f>I3392+I3333+I3396</f>
        <v>5000000</v>
      </c>
      <c r="J3332" s="172"/>
      <c r="K3332" s="69"/>
      <c r="L3332" s="69"/>
      <c r="M3332" s="69"/>
      <c r="N3332" s="69"/>
      <c r="O3332" s="69"/>
      <c r="P3332" s="69"/>
      <c r="Q3332" s="69"/>
      <c r="R3332" s="69"/>
    </row>
    <row r="3333" spans="1:18" s="18" customFormat="1" ht="39" customHeight="1">
      <c r="A3333" s="16" t="s">
        <v>1131</v>
      </c>
      <c r="B3333" s="14">
        <v>800</v>
      </c>
      <c r="C3333" s="15" t="s">
        <v>53</v>
      </c>
      <c r="D3333" s="15" t="s">
        <v>120</v>
      </c>
      <c r="E3333" s="15" t="s">
        <v>229</v>
      </c>
      <c r="F3333" s="15"/>
      <c r="G3333" s="70">
        <f>G3334</f>
        <v>9825000</v>
      </c>
      <c r="H3333" s="70">
        <f t="shared" ref="H3333:I3333" si="875">H3334</f>
        <v>5000000</v>
      </c>
      <c r="I3333" s="70">
        <f t="shared" si="875"/>
        <v>5000000</v>
      </c>
      <c r="J3333" s="172"/>
      <c r="K3333" s="172"/>
      <c r="L3333" s="172"/>
      <c r="M3333" s="172"/>
      <c r="N3333" s="172"/>
      <c r="O3333" s="172"/>
      <c r="P3333" s="180"/>
      <c r="Q3333" s="240"/>
      <c r="R3333" s="180"/>
    </row>
    <row r="3334" spans="1:18" s="18" customFormat="1" ht="86.25" customHeight="1">
      <c r="A3334" s="16" t="s">
        <v>1159</v>
      </c>
      <c r="B3334" s="14">
        <v>800</v>
      </c>
      <c r="C3334" s="15" t="s">
        <v>53</v>
      </c>
      <c r="D3334" s="15" t="s">
        <v>120</v>
      </c>
      <c r="E3334" s="15" t="s">
        <v>98</v>
      </c>
      <c r="F3334" s="15"/>
      <c r="G3334" s="70">
        <f>G3335</f>
        <v>9825000</v>
      </c>
      <c r="H3334" s="70">
        <f t="shared" ref="H3334:I3334" si="876">H3335</f>
        <v>5000000</v>
      </c>
      <c r="I3334" s="70">
        <f t="shared" si="876"/>
        <v>5000000</v>
      </c>
      <c r="J3334" s="172"/>
      <c r="K3334" s="180"/>
      <c r="L3334" s="180"/>
      <c r="M3334" s="180"/>
      <c r="N3334" s="180"/>
      <c r="O3334" s="180"/>
      <c r="P3334" s="180"/>
      <c r="Q3334" s="180"/>
      <c r="R3334" s="180"/>
    </row>
    <row r="3335" spans="1:18" s="18" customFormat="1" ht="76.5" customHeight="1">
      <c r="A3335" s="16" t="s">
        <v>1159</v>
      </c>
      <c r="B3335" s="14">
        <v>800</v>
      </c>
      <c r="C3335" s="15" t="s">
        <v>53</v>
      </c>
      <c r="D3335" s="15" t="s">
        <v>120</v>
      </c>
      <c r="E3335" s="15" t="s">
        <v>864</v>
      </c>
      <c r="F3335" s="15"/>
      <c r="G3335" s="70">
        <f t="shared" ref="G3335:I3336" si="877">G3336</f>
        <v>9825000</v>
      </c>
      <c r="H3335" s="70">
        <f t="shared" si="877"/>
        <v>5000000</v>
      </c>
      <c r="I3335" s="70">
        <f t="shared" si="877"/>
        <v>5000000</v>
      </c>
      <c r="J3335" s="172"/>
      <c r="K3335" s="180"/>
      <c r="L3335" s="180"/>
      <c r="M3335" s="180"/>
      <c r="N3335" s="180"/>
      <c r="O3335" s="180"/>
      <c r="P3335" s="180"/>
      <c r="Q3335" s="180"/>
      <c r="R3335" s="180"/>
    </row>
    <row r="3336" spans="1:18" s="18" customFormat="1" ht="15" customHeight="1">
      <c r="A3336" s="16" t="s">
        <v>316</v>
      </c>
      <c r="B3336" s="14">
        <v>800</v>
      </c>
      <c r="C3336" s="15" t="s">
        <v>53</v>
      </c>
      <c r="D3336" s="15" t="s">
        <v>120</v>
      </c>
      <c r="E3336" s="15" t="s">
        <v>864</v>
      </c>
      <c r="F3336" s="15" t="s">
        <v>36</v>
      </c>
      <c r="G3336" s="70">
        <f t="shared" si="877"/>
        <v>9825000</v>
      </c>
      <c r="H3336" s="70">
        <f t="shared" si="877"/>
        <v>5000000</v>
      </c>
      <c r="I3336" s="70">
        <f t="shared" si="877"/>
        <v>5000000</v>
      </c>
      <c r="J3336" s="172"/>
      <c r="K3336" s="180"/>
      <c r="L3336" s="180"/>
      <c r="M3336" s="180"/>
      <c r="N3336" s="180"/>
      <c r="O3336" s="180"/>
      <c r="P3336" s="180"/>
      <c r="Q3336" s="180"/>
      <c r="R3336" s="180"/>
    </row>
    <row r="3337" spans="1:18" s="18" customFormat="1" ht="32.25" customHeight="1">
      <c r="A3337" s="16" t="s">
        <v>37</v>
      </c>
      <c r="B3337" s="14">
        <v>800</v>
      </c>
      <c r="C3337" s="15" t="s">
        <v>53</v>
      </c>
      <c r="D3337" s="15" t="s">
        <v>120</v>
      </c>
      <c r="E3337" s="15" t="s">
        <v>864</v>
      </c>
      <c r="F3337" s="15" t="s">
        <v>38</v>
      </c>
      <c r="G3337" s="70">
        <f>5000000+1500000+2000000+310000+365000+150000+500000</f>
        <v>9825000</v>
      </c>
      <c r="H3337" s="70">
        <v>5000000</v>
      </c>
      <c r="I3337" s="70">
        <v>5000000</v>
      </c>
      <c r="J3337" s="172"/>
      <c r="K3337" s="180"/>
      <c r="L3337" s="180"/>
      <c r="M3337" s="180"/>
      <c r="N3337" s="180"/>
      <c r="O3337" s="180"/>
      <c r="P3337" s="180"/>
      <c r="Q3337" s="180"/>
      <c r="R3337" s="180"/>
    </row>
    <row r="3338" spans="1:18" hidden="1">
      <c r="A3338" s="47" t="s">
        <v>159</v>
      </c>
      <c r="B3338" s="311">
        <v>800</v>
      </c>
      <c r="C3338" s="20" t="s">
        <v>27</v>
      </c>
      <c r="D3338" s="20"/>
      <c r="E3338" s="20"/>
      <c r="F3338" s="20"/>
      <c r="G3338" s="12"/>
      <c r="H3338" s="12"/>
      <c r="I3338" s="12"/>
      <c r="J3338" s="312"/>
      <c r="K3338" s="69"/>
      <c r="L3338" s="69"/>
      <c r="M3338" s="69"/>
      <c r="N3338" s="69"/>
      <c r="O3338" s="69"/>
      <c r="P3338" s="69"/>
      <c r="Q3338" s="69"/>
      <c r="R3338" s="69"/>
    </row>
    <row r="3339" spans="1:18" hidden="1">
      <c r="A3339" s="40" t="s">
        <v>160</v>
      </c>
      <c r="B3339" s="305">
        <v>800</v>
      </c>
      <c r="C3339" s="15" t="s">
        <v>27</v>
      </c>
      <c r="D3339" s="15" t="s">
        <v>69</v>
      </c>
      <c r="E3339" s="15"/>
      <c r="F3339" s="15"/>
      <c r="G3339" s="70"/>
      <c r="H3339" s="70"/>
      <c r="I3339" s="70"/>
      <c r="J3339" s="172"/>
      <c r="K3339" s="69"/>
      <c r="L3339" s="69"/>
      <c r="M3339" s="69"/>
      <c r="N3339" s="69"/>
      <c r="O3339" s="69"/>
      <c r="P3339" s="69"/>
      <c r="Q3339" s="69"/>
      <c r="R3339" s="69"/>
    </row>
    <row r="3340" spans="1:18" s="28" customFormat="1" hidden="1">
      <c r="A3340" s="16"/>
      <c r="B3340" s="305"/>
      <c r="C3340" s="15"/>
      <c r="D3340" s="15"/>
      <c r="E3340" s="15"/>
      <c r="F3340" s="39"/>
      <c r="G3340" s="70"/>
      <c r="H3340" s="70"/>
      <c r="I3340" s="70"/>
      <c r="J3340" s="172"/>
      <c r="K3340" s="313"/>
      <c r="L3340" s="313"/>
      <c r="M3340" s="313"/>
      <c r="N3340" s="313"/>
      <c r="O3340" s="313"/>
      <c r="P3340" s="313"/>
      <c r="Q3340" s="313"/>
      <c r="R3340" s="313"/>
    </row>
    <row r="3341" spans="1:18" s="46" customFormat="1" ht="41.25" hidden="1" customHeight="1">
      <c r="A3341" s="16" t="s">
        <v>1123</v>
      </c>
      <c r="B3341" s="305">
        <v>800</v>
      </c>
      <c r="C3341" s="15" t="s">
        <v>27</v>
      </c>
      <c r="D3341" s="15" t="s">
        <v>69</v>
      </c>
      <c r="E3341" s="15" t="s">
        <v>1121</v>
      </c>
      <c r="F3341" s="15"/>
      <c r="G3341" s="70"/>
      <c r="H3341" s="70"/>
      <c r="I3341" s="70"/>
      <c r="J3341" s="172"/>
      <c r="K3341" s="58"/>
      <c r="L3341" s="58"/>
      <c r="M3341" s="58"/>
      <c r="N3341" s="58"/>
      <c r="O3341" s="58"/>
      <c r="P3341" s="58"/>
      <c r="Q3341" s="58"/>
      <c r="R3341" s="58"/>
    </row>
    <row r="3342" spans="1:18" s="28" customFormat="1" ht="26.4" hidden="1">
      <c r="A3342" s="16" t="s">
        <v>161</v>
      </c>
      <c r="B3342" s="305">
        <v>800</v>
      </c>
      <c r="C3342" s="15" t="s">
        <v>27</v>
      </c>
      <c r="D3342" s="15" t="s">
        <v>69</v>
      </c>
      <c r="E3342" s="15" t="s">
        <v>1122</v>
      </c>
      <c r="F3342" s="39"/>
      <c r="G3342" s="70"/>
      <c r="H3342" s="70"/>
      <c r="I3342" s="70"/>
      <c r="J3342" s="172"/>
      <c r="K3342" s="313"/>
      <c r="L3342" s="313"/>
      <c r="M3342" s="313"/>
      <c r="N3342" s="313"/>
      <c r="O3342" s="313"/>
      <c r="P3342" s="313"/>
      <c r="Q3342" s="313"/>
      <c r="R3342" s="313"/>
    </row>
    <row r="3343" spans="1:18" ht="22.5" hidden="1" customHeight="1">
      <c r="A3343" s="82" t="s">
        <v>55</v>
      </c>
      <c r="B3343" s="305">
        <v>800</v>
      </c>
      <c r="C3343" s="15" t="s">
        <v>27</v>
      </c>
      <c r="D3343" s="15" t="s">
        <v>69</v>
      </c>
      <c r="E3343" s="15" t="s">
        <v>1122</v>
      </c>
      <c r="F3343" s="15" t="s">
        <v>57</v>
      </c>
      <c r="G3343" s="70"/>
      <c r="H3343" s="70"/>
      <c r="I3343" s="70"/>
      <c r="J3343" s="172"/>
      <c r="K3343" s="69"/>
      <c r="L3343" s="69"/>
      <c r="M3343" s="69"/>
      <c r="N3343" s="69"/>
      <c r="O3343" s="69"/>
      <c r="P3343" s="69"/>
      <c r="Q3343" s="69"/>
      <c r="R3343" s="69"/>
    </row>
    <row r="3344" spans="1:18" hidden="1">
      <c r="A3344" s="82" t="s">
        <v>316</v>
      </c>
      <c r="B3344" s="305">
        <v>800</v>
      </c>
      <c r="C3344" s="15" t="s">
        <v>27</v>
      </c>
      <c r="D3344" s="15" t="s">
        <v>69</v>
      </c>
      <c r="E3344" s="15" t="s">
        <v>1122</v>
      </c>
      <c r="F3344" s="15" t="s">
        <v>58</v>
      </c>
      <c r="G3344" s="70"/>
      <c r="H3344" s="70"/>
      <c r="I3344" s="70"/>
      <c r="J3344" s="172"/>
      <c r="K3344" s="69"/>
      <c r="L3344" s="69"/>
      <c r="M3344" s="69"/>
      <c r="N3344" s="69"/>
      <c r="O3344" s="69"/>
      <c r="P3344" s="69"/>
      <c r="Q3344" s="69"/>
      <c r="R3344" s="69"/>
    </row>
    <row r="3345" spans="1:18" ht="22.5" hidden="1" customHeight="1">
      <c r="A3345" s="82" t="s">
        <v>55</v>
      </c>
      <c r="B3345" s="305">
        <v>800</v>
      </c>
      <c r="C3345" s="15" t="s">
        <v>27</v>
      </c>
      <c r="D3345" s="15" t="s">
        <v>69</v>
      </c>
      <c r="E3345" s="15" t="s">
        <v>1122</v>
      </c>
      <c r="F3345" s="84" t="s">
        <v>36</v>
      </c>
      <c r="G3345" s="70"/>
      <c r="H3345" s="70"/>
      <c r="I3345" s="70"/>
      <c r="J3345" s="172"/>
      <c r="K3345" s="69"/>
      <c r="L3345" s="69"/>
      <c r="M3345" s="69"/>
      <c r="N3345" s="69"/>
      <c r="O3345" s="69"/>
      <c r="P3345" s="69"/>
      <c r="Q3345" s="69"/>
      <c r="R3345" s="69"/>
    </row>
    <row r="3346" spans="1:18" hidden="1">
      <c r="A3346" s="82" t="s">
        <v>316</v>
      </c>
      <c r="B3346" s="305">
        <v>800</v>
      </c>
      <c r="C3346" s="15" t="s">
        <v>27</v>
      </c>
      <c r="D3346" s="15" t="s">
        <v>69</v>
      </c>
      <c r="E3346" s="15" t="s">
        <v>1122</v>
      </c>
      <c r="F3346" s="84" t="s">
        <v>38</v>
      </c>
      <c r="G3346" s="70"/>
      <c r="H3346" s="70"/>
      <c r="I3346" s="70"/>
      <c r="J3346" s="172"/>
      <c r="K3346" s="69"/>
      <c r="L3346" s="69"/>
      <c r="M3346" s="69"/>
      <c r="N3346" s="69"/>
      <c r="O3346" s="69"/>
      <c r="P3346" s="69"/>
      <c r="Q3346" s="69"/>
      <c r="R3346" s="69"/>
    </row>
    <row r="3347" spans="1:18" s="22" customFormat="1">
      <c r="A3347" s="131" t="s">
        <v>336</v>
      </c>
      <c r="B3347" s="35">
        <v>800</v>
      </c>
      <c r="C3347" s="152" t="s">
        <v>167</v>
      </c>
      <c r="D3347" s="152"/>
      <c r="E3347" s="36"/>
      <c r="F3347" s="152"/>
      <c r="G3347" s="153">
        <f>G3348+G3358</f>
        <v>8347488.5300000003</v>
      </c>
      <c r="H3347" s="153">
        <f t="shared" ref="H3347:I3347" si="878">H3348</f>
        <v>7134687</v>
      </c>
      <c r="I3347" s="153">
        <f t="shared" si="878"/>
        <v>7134687</v>
      </c>
      <c r="J3347" s="191"/>
      <c r="K3347" s="202"/>
      <c r="L3347" s="202"/>
      <c r="M3347" s="202"/>
      <c r="N3347" s="202"/>
      <c r="O3347" s="202"/>
      <c r="P3347" s="202"/>
      <c r="Q3347" s="202"/>
      <c r="R3347" s="202"/>
    </row>
    <row r="3348" spans="1:18" s="46" customFormat="1" ht="17.25" customHeight="1">
      <c r="A3348" s="82" t="s">
        <v>278</v>
      </c>
      <c r="B3348" s="14">
        <v>800</v>
      </c>
      <c r="C3348" s="84" t="s">
        <v>167</v>
      </c>
      <c r="D3348" s="84" t="s">
        <v>69</v>
      </c>
      <c r="E3348" s="84"/>
      <c r="F3348" s="84"/>
      <c r="G3348" s="87">
        <f>G3349</f>
        <v>7041526.1900000004</v>
      </c>
      <c r="H3348" s="87">
        <f t="shared" ref="H3348:I3348" si="879">H3354</f>
        <v>7134687</v>
      </c>
      <c r="I3348" s="87">
        <f t="shared" si="879"/>
        <v>7134687</v>
      </c>
      <c r="J3348" s="173"/>
      <c r="K3348" s="215"/>
      <c r="L3348" s="215"/>
      <c r="M3348" s="215"/>
      <c r="N3348" s="207"/>
      <c r="O3348" s="215"/>
      <c r="P3348" s="215"/>
      <c r="Q3348" s="215"/>
      <c r="R3348" s="215"/>
    </row>
    <row r="3349" spans="1:18" ht="38.25" customHeight="1">
      <c r="A3349" s="16" t="s">
        <v>1100</v>
      </c>
      <c r="B3349" s="14">
        <v>800</v>
      </c>
      <c r="C3349" s="84" t="s">
        <v>167</v>
      </c>
      <c r="D3349" s="84" t="s">
        <v>69</v>
      </c>
      <c r="E3349" s="84" t="s">
        <v>648</v>
      </c>
      <c r="F3349" s="84"/>
      <c r="G3349" s="87">
        <f>G3353+G3350</f>
        <v>7041526.1900000004</v>
      </c>
      <c r="H3349" s="87">
        <f t="shared" ref="H3349:I3349" si="880">H3353+H3350</f>
        <v>7134687</v>
      </c>
      <c r="I3349" s="87">
        <f t="shared" si="880"/>
        <v>7134687</v>
      </c>
      <c r="J3349" s="173"/>
    </row>
    <row r="3350" spans="1:18" s="18" customFormat="1" ht="24.75" customHeight="1">
      <c r="A3350" s="16" t="s">
        <v>78</v>
      </c>
      <c r="B3350" s="14">
        <v>800</v>
      </c>
      <c r="C3350" s="84" t="s">
        <v>167</v>
      </c>
      <c r="D3350" s="84" t="s">
        <v>69</v>
      </c>
      <c r="E3350" s="84" t="s">
        <v>1156</v>
      </c>
      <c r="F3350" s="84"/>
      <c r="G3350" s="87">
        <f>G3351</f>
        <v>350000</v>
      </c>
      <c r="H3350" s="87">
        <f>H3351</f>
        <v>0</v>
      </c>
      <c r="I3350" s="87">
        <f>I3351</f>
        <v>0</v>
      </c>
      <c r="J3350" s="173"/>
      <c r="K3350" s="195"/>
      <c r="L3350" s="195"/>
      <c r="M3350" s="195"/>
      <c r="N3350" s="195"/>
      <c r="O3350" s="195"/>
      <c r="P3350" s="195"/>
      <c r="Q3350" s="195"/>
      <c r="R3350" s="195"/>
    </row>
    <row r="3351" spans="1:18" ht="30.75" customHeight="1">
      <c r="A3351" s="16" t="s">
        <v>35</v>
      </c>
      <c r="B3351" s="14">
        <v>800</v>
      </c>
      <c r="C3351" s="84" t="s">
        <v>167</v>
      </c>
      <c r="D3351" s="84" t="s">
        <v>69</v>
      </c>
      <c r="E3351" s="84" t="s">
        <v>1156</v>
      </c>
      <c r="F3351" s="84" t="s">
        <v>36</v>
      </c>
      <c r="G3351" s="87">
        <f t="shared" ref="G3351:I3351" si="881">G3352</f>
        <v>350000</v>
      </c>
      <c r="H3351" s="87">
        <f t="shared" si="881"/>
        <v>0</v>
      </c>
      <c r="I3351" s="87">
        <f t="shared" si="881"/>
        <v>0</v>
      </c>
      <c r="J3351" s="173"/>
    </row>
    <row r="3352" spans="1:18" s="18" customFormat="1" ht="34.5" customHeight="1">
      <c r="A3352" s="16" t="s">
        <v>37</v>
      </c>
      <c r="B3352" s="14">
        <v>800</v>
      </c>
      <c r="C3352" s="84" t="s">
        <v>167</v>
      </c>
      <c r="D3352" s="84" t="s">
        <v>69</v>
      </c>
      <c r="E3352" s="84" t="s">
        <v>1156</v>
      </c>
      <c r="F3352" s="84" t="s">
        <v>38</v>
      </c>
      <c r="G3352" s="70">
        <f>400000-50000</f>
        <v>350000</v>
      </c>
      <c r="H3352" s="70">
        <v>0</v>
      </c>
      <c r="I3352" s="70">
        <v>0</v>
      </c>
      <c r="J3352" s="173"/>
      <c r="K3352" s="195"/>
      <c r="L3352" s="195"/>
      <c r="M3352" s="195"/>
      <c r="N3352" s="195"/>
      <c r="O3352" s="195"/>
      <c r="P3352" s="195"/>
      <c r="Q3352" s="195"/>
      <c r="R3352" s="195"/>
    </row>
    <row r="3353" spans="1:18" s="18" customFormat="1" ht="39" customHeight="1">
      <c r="A3353" s="16" t="s">
        <v>368</v>
      </c>
      <c r="B3353" s="14">
        <v>800</v>
      </c>
      <c r="C3353" s="84" t="s">
        <v>167</v>
      </c>
      <c r="D3353" s="84" t="s">
        <v>69</v>
      </c>
      <c r="E3353" s="84" t="s">
        <v>1111</v>
      </c>
      <c r="F3353" s="84"/>
      <c r="G3353" s="87">
        <f>G3354+G3356</f>
        <v>6691526.1900000004</v>
      </c>
      <c r="H3353" s="87">
        <f>H3354</f>
        <v>7134687</v>
      </c>
      <c r="I3353" s="87">
        <f>I3354</f>
        <v>7134687</v>
      </c>
      <c r="J3353" s="173"/>
      <c r="K3353" s="195"/>
      <c r="L3353" s="195"/>
      <c r="M3353" s="195"/>
      <c r="N3353" s="208">
        <f>G3355+G3357</f>
        <v>6691526.1900000004</v>
      </c>
      <c r="O3353" s="195"/>
      <c r="P3353" s="195"/>
      <c r="Q3353" s="195"/>
      <c r="R3353" s="195"/>
    </row>
    <row r="3354" spans="1:18" ht="30.75" customHeight="1">
      <c r="A3354" s="16" t="s">
        <v>35</v>
      </c>
      <c r="B3354" s="14">
        <v>800</v>
      </c>
      <c r="C3354" s="84" t="s">
        <v>167</v>
      </c>
      <c r="D3354" s="84" t="s">
        <v>69</v>
      </c>
      <c r="E3354" s="84" t="s">
        <v>1111</v>
      </c>
      <c r="F3354" s="84" t="s">
        <v>36</v>
      </c>
      <c r="G3354" s="87">
        <f t="shared" ref="G3354:I3356" si="882">G3355</f>
        <v>6687293.96</v>
      </c>
      <c r="H3354" s="87">
        <f t="shared" si="882"/>
        <v>7134687</v>
      </c>
      <c r="I3354" s="87">
        <f t="shared" si="882"/>
        <v>7134687</v>
      </c>
      <c r="J3354" s="173"/>
    </row>
    <row r="3355" spans="1:18" s="18" customFormat="1" ht="34.5" customHeight="1">
      <c r="A3355" s="16" t="s">
        <v>37</v>
      </c>
      <c r="B3355" s="14">
        <v>800</v>
      </c>
      <c r="C3355" s="84" t="s">
        <v>167</v>
      </c>
      <c r="D3355" s="84" t="s">
        <v>69</v>
      </c>
      <c r="E3355" s="84" t="s">
        <v>1111</v>
      </c>
      <c r="F3355" s="84" t="s">
        <v>38</v>
      </c>
      <c r="G3355" s="70">
        <f>7134687-400000+50000-4232.23-93160.81</f>
        <v>6687293.96</v>
      </c>
      <c r="H3355" s="70">
        <v>7134687</v>
      </c>
      <c r="I3355" s="70">
        <v>7134687</v>
      </c>
      <c r="J3355" s="173"/>
      <c r="K3355" s="195"/>
      <c r="L3355" s="195"/>
      <c r="M3355" s="195"/>
      <c r="N3355" s="195"/>
      <c r="O3355" s="195"/>
      <c r="P3355" s="195"/>
      <c r="Q3355" s="195"/>
      <c r="R3355" s="195"/>
    </row>
    <row r="3356" spans="1:18" ht="30.75" customHeight="1">
      <c r="A3356" s="16" t="s">
        <v>62</v>
      </c>
      <c r="B3356" s="14">
        <v>800</v>
      </c>
      <c r="C3356" s="84" t="s">
        <v>167</v>
      </c>
      <c r="D3356" s="84" t="s">
        <v>69</v>
      </c>
      <c r="E3356" s="84" t="s">
        <v>1111</v>
      </c>
      <c r="F3356" s="84" t="s">
        <v>63</v>
      </c>
      <c r="G3356" s="87">
        <f t="shared" si="882"/>
        <v>4232.2299999999996</v>
      </c>
      <c r="H3356" s="87">
        <f t="shared" si="882"/>
        <v>0</v>
      </c>
      <c r="I3356" s="87">
        <f t="shared" si="882"/>
        <v>0</v>
      </c>
      <c r="J3356" s="173"/>
    </row>
    <row r="3357" spans="1:18" s="18" customFormat="1" ht="34.5" customHeight="1">
      <c r="A3357" s="16" t="s">
        <v>140</v>
      </c>
      <c r="B3357" s="14">
        <v>800</v>
      </c>
      <c r="C3357" s="84" t="s">
        <v>167</v>
      </c>
      <c r="D3357" s="84" t="s">
        <v>69</v>
      </c>
      <c r="E3357" s="84" t="s">
        <v>1111</v>
      </c>
      <c r="F3357" s="84" t="s">
        <v>66</v>
      </c>
      <c r="G3357" s="70">
        <v>4232.2299999999996</v>
      </c>
      <c r="H3357" s="70">
        <v>0</v>
      </c>
      <c r="I3357" s="70">
        <v>0</v>
      </c>
      <c r="J3357" s="173"/>
      <c r="K3357" s="195"/>
      <c r="L3357" s="195"/>
      <c r="M3357" s="195"/>
      <c r="N3357" s="195"/>
      <c r="O3357" s="195"/>
      <c r="P3357" s="195"/>
      <c r="Q3357" s="195"/>
      <c r="R3357" s="195"/>
    </row>
    <row r="3358" spans="1:18" s="22" customFormat="1" ht="26.4">
      <c r="A3358" s="16" t="s">
        <v>560</v>
      </c>
      <c r="B3358" s="49">
        <v>800</v>
      </c>
      <c r="C3358" s="15" t="s">
        <v>167</v>
      </c>
      <c r="D3358" s="15" t="s">
        <v>167</v>
      </c>
      <c r="E3358" s="15"/>
      <c r="F3358" s="15"/>
      <c r="G3358" s="70">
        <f>G3359</f>
        <v>1305962.3400000001</v>
      </c>
      <c r="H3358" s="70">
        <f>H3359</f>
        <v>0</v>
      </c>
      <c r="I3358" s="70">
        <f>I3359</f>
        <v>0</v>
      </c>
      <c r="J3358" s="323"/>
      <c r="K3358" s="61"/>
      <c r="L3358" s="61"/>
      <c r="M3358" s="61"/>
      <c r="N3358" s="61"/>
      <c r="O3358" s="61"/>
      <c r="P3358" s="61"/>
      <c r="Q3358" s="61"/>
      <c r="R3358" s="61"/>
    </row>
    <row r="3359" spans="1:18" ht="54" customHeight="1">
      <c r="A3359" s="16" t="s">
        <v>1144</v>
      </c>
      <c r="B3359" s="14">
        <v>800</v>
      </c>
      <c r="C3359" s="15" t="s">
        <v>167</v>
      </c>
      <c r="D3359" s="15" t="s">
        <v>167</v>
      </c>
      <c r="E3359" s="15" t="s">
        <v>289</v>
      </c>
      <c r="F3359" s="15"/>
      <c r="G3359" s="70">
        <f>G3360</f>
        <v>1305962.3400000001</v>
      </c>
      <c r="H3359" s="70">
        <v>0</v>
      </c>
      <c r="I3359" s="70">
        <v>0</v>
      </c>
      <c r="J3359" s="172"/>
      <c r="K3359" s="69"/>
      <c r="L3359" s="69"/>
      <c r="M3359" s="69"/>
      <c r="N3359" s="69"/>
      <c r="O3359" s="69"/>
      <c r="P3359" s="69"/>
      <c r="Q3359" s="69"/>
      <c r="R3359" s="69"/>
    </row>
    <row r="3360" spans="1:18" ht="63" customHeight="1">
      <c r="A3360" s="37" t="s">
        <v>680</v>
      </c>
      <c r="B3360" s="14">
        <v>800</v>
      </c>
      <c r="C3360" s="15" t="s">
        <v>167</v>
      </c>
      <c r="D3360" s="15" t="s">
        <v>167</v>
      </c>
      <c r="E3360" s="15" t="s">
        <v>687</v>
      </c>
      <c r="F3360" s="15"/>
      <c r="G3360" s="70">
        <f>G3361</f>
        <v>1305962.3400000001</v>
      </c>
      <c r="H3360" s="70">
        <f t="shared" ref="H3360:I3361" si="883">H3361</f>
        <v>0</v>
      </c>
      <c r="I3360" s="70">
        <f t="shared" si="883"/>
        <v>0</v>
      </c>
      <c r="J3360" s="332"/>
      <c r="K3360" s="69"/>
      <c r="L3360" s="69"/>
      <c r="M3360" s="69"/>
      <c r="N3360" s="69"/>
      <c r="O3360" s="69"/>
      <c r="P3360" s="69"/>
      <c r="Q3360" s="69"/>
      <c r="R3360" s="69"/>
    </row>
    <row r="3361" spans="1:18" ht="34.5" customHeight="1">
      <c r="A3361" s="16" t="s">
        <v>94</v>
      </c>
      <c r="B3361" s="14">
        <v>800</v>
      </c>
      <c r="C3361" s="15" t="s">
        <v>167</v>
      </c>
      <c r="D3361" s="15" t="s">
        <v>167</v>
      </c>
      <c r="E3361" s="15" t="s">
        <v>687</v>
      </c>
      <c r="F3361" s="15" t="s">
        <v>338</v>
      </c>
      <c r="G3361" s="70">
        <f>G3362</f>
        <v>1305962.3400000001</v>
      </c>
      <c r="H3361" s="70">
        <f t="shared" si="883"/>
        <v>0</v>
      </c>
      <c r="I3361" s="70">
        <f t="shared" si="883"/>
        <v>0</v>
      </c>
      <c r="J3361" s="332"/>
      <c r="K3361" s="69"/>
      <c r="L3361" s="69"/>
      <c r="M3361" s="69"/>
      <c r="N3361" s="69"/>
      <c r="O3361" s="69"/>
      <c r="P3361" s="69"/>
      <c r="Q3361" s="69"/>
      <c r="R3361" s="69"/>
    </row>
    <row r="3362" spans="1:18" ht="31.5" customHeight="1">
      <c r="A3362" s="16" t="s">
        <v>339</v>
      </c>
      <c r="B3362" s="14">
        <v>800</v>
      </c>
      <c r="C3362" s="15" t="s">
        <v>167</v>
      </c>
      <c r="D3362" s="15" t="s">
        <v>167</v>
      </c>
      <c r="E3362" s="15" t="s">
        <v>687</v>
      </c>
      <c r="F3362" s="15" t="s">
        <v>340</v>
      </c>
      <c r="G3362" s="70">
        <v>1305962.3400000001</v>
      </c>
      <c r="H3362" s="70">
        <v>0</v>
      </c>
      <c r="I3362" s="70">
        <v>0</v>
      </c>
      <c r="J3362" s="332"/>
      <c r="K3362" s="69"/>
      <c r="L3362" s="69"/>
      <c r="M3362" s="69"/>
      <c r="N3362" s="69"/>
      <c r="O3362" s="69"/>
      <c r="P3362" s="69"/>
      <c r="Q3362" s="69"/>
      <c r="R3362" s="69"/>
    </row>
    <row r="3363" spans="1:18" hidden="1">
      <c r="A3363" s="11" t="s">
        <v>141</v>
      </c>
      <c r="B3363" s="35">
        <v>800</v>
      </c>
      <c r="C3363" s="261" t="s">
        <v>68</v>
      </c>
      <c r="D3363" s="261"/>
      <c r="E3363" s="84"/>
      <c r="F3363" s="261"/>
      <c r="G3363" s="258">
        <f>G3364+G3369+G3416</f>
        <v>0</v>
      </c>
      <c r="H3363" s="258">
        <f>H3364+H3369+H3416</f>
        <v>0</v>
      </c>
      <c r="I3363" s="258">
        <f>I3364+I3369+I3416</f>
        <v>0</v>
      </c>
      <c r="J3363" s="186"/>
    </row>
    <row r="3364" spans="1:18" hidden="1">
      <c r="A3364" s="16" t="s">
        <v>142</v>
      </c>
      <c r="B3364" s="14">
        <v>800</v>
      </c>
      <c r="C3364" s="84" t="s">
        <v>68</v>
      </c>
      <c r="D3364" s="84" t="s">
        <v>18</v>
      </c>
      <c r="E3364" s="84"/>
      <c r="F3364" s="84"/>
      <c r="G3364" s="87">
        <f t="shared" ref="G3364:I3367" si="884">G3365</f>
        <v>0</v>
      </c>
      <c r="H3364" s="87">
        <f t="shared" si="884"/>
        <v>0</v>
      </c>
      <c r="I3364" s="87">
        <f t="shared" si="884"/>
        <v>0</v>
      </c>
      <c r="J3364" s="173"/>
    </row>
    <row r="3365" spans="1:18" s="28" customFormat="1" ht="26.4" hidden="1">
      <c r="A3365" s="16" t="s">
        <v>1145</v>
      </c>
      <c r="B3365" s="14">
        <v>800</v>
      </c>
      <c r="C3365" s="84" t="s">
        <v>68</v>
      </c>
      <c r="D3365" s="84" t="s">
        <v>18</v>
      </c>
      <c r="E3365" s="84" t="s">
        <v>280</v>
      </c>
      <c r="F3365" s="164"/>
      <c r="G3365" s="87">
        <f t="shared" si="884"/>
        <v>0</v>
      </c>
      <c r="H3365" s="87">
        <f t="shared" si="884"/>
        <v>0</v>
      </c>
      <c r="I3365" s="87">
        <f t="shared" si="884"/>
        <v>0</v>
      </c>
      <c r="J3365" s="173"/>
      <c r="K3365" s="199"/>
      <c r="L3365" s="199"/>
      <c r="M3365" s="199"/>
      <c r="N3365" s="199"/>
      <c r="O3365" s="199"/>
      <c r="P3365" s="199"/>
      <c r="Q3365" s="199"/>
      <c r="R3365" s="199"/>
    </row>
    <row r="3366" spans="1:18" s="28" customFormat="1" hidden="1">
      <c r="A3366" s="82" t="s">
        <v>143</v>
      </c>
      <c r="B3366" s="14">
        <v>800</v>
      </c>
      <c r="C3366" s="84" t="s">
        <v>68</v>
      </c>
      <c r="D3366" s="84" t="s">
        <v>18</v>
      </c>
      <c r="E3366" s="84" t="s">
        <v>284</v>
      </c>
      <c r="F3366" s="164"/>
      <c r="G3366" s="87">
        <f t="shared" si="884"/>
        <v>0</v>
      </c>
      <c r="H3366" s="87">
        <f t="shared" si="884"/>
        <v>0</v>
      </c>
      <c r="I3366" s="87">
        <f t="shared" si="884"/>
        <v>0</v>
      </c>
      <c r="J3366" s="173"/>
      <c r="K3366" s="199"/>
      <c r="L3366" s="199"/>
      <c r="M3366" s="199"/>
      <c r="N3366" s="199"/>
      <c r="O3366" s="199"/>
      <c r="P3366" s="199"/>
      <c r="Q3366" s="199"/>
      <c r="R3366" s="199"/>
    </row>
    <row r="3367" spans="1:18" s="28" customFormat="1" hidden="1">
      <c r="A3367" s="82" t="s">
        <v>144</v>
      </c>
      <c r="B3367" s="14">
        <v>800</v>
      </c>
      <c r="C3367" s="84" t="s">
        <v>68</v>
      </c>
      <c r="D3367" s="84" t="s">
        <v>18</v>
      </c>
      <c r="E3367" s="84" t="s">
        <v>284</v>
      </c>
      <c r="F3367" s="84" t="s">
        <v>145</v>
      </c>
      <c r="G3367" s="87">
        <f t="shared" si="884"/>
        <v>0</v>
      </c>
      <c r="H3367" s="87">
        <f>H3368</f>
        <v>0</v>
      </c>
      <c r="I3367" s="87">
        <f t="shared" si="884"/>
        <v>0</v>
      </c>
      <c r="J3367" s="173"/>
      <c r="K3367" s="199"/>
      <c r="L3367" s="199"/>
      <c r="M3367" s="199"/>
      <c r="N3367" s="199"/>
      <c r="O3367" s="199"/>
      <c r="P3367" s="199"/>
      <c r="Q3367" s="199"/>
      <c r="R3367" s="199"/>
    </row>
    <row r="3368" spans="1:18" s="28" customFormat="1" ht="26.4" hidden="1">
      <c r="A3368" s="82" t="s">
        <v>344</v>
      </c>
      <c r="B3368" s="14">
        <v>800</v>
      </c>
      <c r="C3368" s="84" t="s">
        <v>68</v>
      </c>
      <c r="D3368" s="84" t="s">
        <v>18</v>
      </c>
      <c r="E3368" s="84" t="s">
        <v>284</v>
      </c>
      <c r="F3368" s="84" t="s">
        <v>345</v>
      </c>
      <c r="G3368" s="87">
        <f>353808-353808</f>
        <v>0</v>
      </c>
      <c r="H3368" s="87">
        <f>353808-353808</f>
        <v>0</v>
      </c>
      <c r="I3368" s="87">
        <f>353808-353808</f>
        <v>0</v>
      </c>
      <c r="J3368" s="173"/>
      <c r="K3368" s="199"/>
      <c r="L3368" s="199"/>
      <c r="M3368" s="199"/>
      <c r="N3368" s="199"/>
      <c r="O3368" s="199"/>
      <c r="P3368" s="199"/>
      <c r="Q3368" s="199"/>
      <c r="R3368" s="199"/>
    </row>
    <row r="3369" spans="1:18" ht="16.8" hidden="1">
      <c r="A3369" s="307"/>
      <c r="B3369" s="311"/>
      <c r="C3369" s="308"/>
      <c r="D3369" s="308"/>
      <c r="E3369" s="308"/>
      <c r="F3369" s="308"/>
      <c r="G3369" s="309"/>
      <c r="H3369" s="309"/>
      <c r="I3369" s="309"/>
      <c r="J3369" s="310"/>
      <c r="K3369" s="241"/>
      <c r="L3369" s="69"/>
      <c r="M3369" s="69"/>
      <c r="N3369" s="69"/>
      <c r="O3369" s="69"/>
      <c r="P3369" s="69"/>
      <c r="Q3369" s="69"/>
      <c r="R3369" s="69"/>
    </row>
    <row r="3370" spans="1:18" hidden="1">
      <c r="A3370" s="47"/>
      <c r="B3370" s="311"/>
      <c r="C3370" s="20"/>
      <c r="D3370" s="20"/>
      <c r="E3370" s="20"/>
      <c r="F3370" s="20"/>
      <c r="G3370" s="12"/>
      <c r="H3370" s="12"/>
      <c r="I3370" s="12"/>
      <c r="J3370" s="312"/>
      <c r="K3370" s="69"/>
      <c r="L3370" s="69"/>
      <c r="M3370" s="69"/>
      <c r="N3370" s="69"/>
      <c r="O3370" s="69"/>
      <c r="P3370" s="69"/>
      <c r="Q3370" s="69"/>
      <c r="R3370" s="69"/>
    </row>
    <row r="3371" spans="1:18" hidden="1">
      <c r="A3371" s="40"/>
      <c r="B3371" s="311"/>
      <c r="C3371" s="15"/>
      <c r="D3371" s="15"/>
      <c r="E3371" s="15"/>
      <c r="F3371" s="15"/>
      <c r="G3371" s="70"/>
      <c r="H3371" s="70"/>
      <c r="I3371" s="70"/>
      <c r="J3371" s="172"/>
      <c r="K3371" s="69"/>
      <c r="L3371" s="69"/>
      <c r="M3371" s="69"/>
      <c r="N3371" s="69"/>
      <c r="O3371" s="69"/>
      <c r="P3371" s="69"/>
      <c r="Q3371" s="69"/>
      <c r="R3371" s="69"/>
    </row>
    <row r="3372" spans="1:18" s="28" customFormat="1" hidden="1">
      <c r="A3372" s="16"/>
      <c r="B3372" s="311"/>
      <c r="C3372" s="15"/>
      <c r="D3372" s="15"/>
      <c r="E3372" s="15"/>
      <c r="F3372" s="39"/>
      <c r="G3372" s="70"/>
      <c r="H3372" s="70"/>
      <c r="I3372" s="70"/>
      <c r="J3372" s="172"/>
      <c r="K3372" s="313"/>
      <c r="L3372" s="313"/>
      <c r="M3372" s="313"/>
      <c r="N3372" s="313"/>
      <c r="O3372" s="313"/>
      <c r="P3372" s="313"/>
      <c r="Q3372" s="313"/>
      <c r="R3372" s="313"/>
    </row>
    <row r="3373" spans="1:18" s="46" customFormat="1" ht="41.25" hidden="1" customHeight="1">
      <c r="A3373" s="16"/>
      <c r="B3373" s="311"/>
      <c r="C3373" s="15"/>
      <c r="D3373" s="15"/>
      <c r="E3373" s="15"/>
      <c r="F3373" s="15"/>
      <c r="G3373" s="70"/>
      <c r="H3373" s="70"/>
      <c r="I3373" s="70"/>
      <c r="J3373" s="172"/>
      <c r="K3373" s="58"/>
      <c r="L3373" s="58"/>
      <c r="M3373" s="58"/>
      <c r="N3373" s="58"/>
      <c r="O3373" s="58"/>
      <c r="P3373" s="58"/>
      <c r="Q3373" s="58"/>
      <c r="R3373" s="58"/>
    </row>
    <row r="3374" spans="1:18" s="28" customFormat="1" hidden="1">
      <c r="A3374" s="16"/>
      <c r="B3374" s="311"/>
      <c r="C3374" s="15"/>
      <c r="D3374" s="15"/>
      <c r="E3374" s="15"/>
      <c r="F3374" s="39"/>
      <c r="G3374" s="70"/>
      <c r="H3374" s="70"/>
      <c r="I3374" s="70"/>
      <c r="J3374" s="172"/>
      <c r="K3374" s="313"/>
      <c r="L3374" s="313"/>
      <c r="M3374" s="313"/>
      <c r="N3374" s="313"/>
      <c r="O3374" s="313"/>
      <c r="P3374" s="313"/>
      <c r="Q3374" s="313"/>
      <c r="R3374" s="313"/>
    </row>
    <row r="3375" spans="1:18" ht="22.5" hidden="1" customHeight="1">
      <c r="A3375" s="16"/>
      <c r="B3375" s="311"/>
      <c r="C3375" s="15"/>
      <c r="D3375" s="15"/>
      <c r="E3375" s="15"/>
      <c r="F3375" s="15"/>
      <c r="G3375" s="70"/>
      <c r="H3375" s="70"/>
      <c r="I3375" s="70"/>
      <c r="J3375" s="172"/>
      <c r="K3375" s="69"/>
      <c r="L3375" s="69"/>
      <c r="M3375" s="69"/>
      <c r="N3375" s="69"/>
      <c r="O3375" s="69"/>
      <c r="P3375" s="69"/>
      <c r="Q3375" s="69"/>
      <c r="R3375" s="69"/>
    </row>
    <row r="3376" spans="1:18" hidden="1">
      <c r="A3376" s="16"/>
      <c r="B3376" s="311"/>
      <c r="C3376" s="15"/>
      <c r="D3376" s="15"/>
      <c r="E3376" s="15"/>
      <c r="F3376" s="15"/>
      <c r="G3376" s="70"/>
      <c r="H3376" s="70"/>
      <c r="I3376" s="70"/>
      <c r="J3376" s="172"/>
      <c r="K3376" s="69"/>
      <c r="L3376" s="69"/>
      <c r="M3376" s="69"/>
      <c r="N3376" s="69"/>
      <c r="O3376" s="69"/>
      <c r="P3376" s="69"/>
      <c r="Q3376" s="69"/>
      <c r="R3376" s="69"/>
    </row>
    <row r="3377" spans="1:18" s="22" customFormat="1">
      <c r="A3377" s="396" t="s">
        <v>73</v>
      </c>
      <c r="B3377" s="397"/>
      <c r="C3377" s="379"/>
      <c r="D3377" s="379"/>
      <c r="E3377" s="379"/>
      <c r="F3377" s="379"/>
      <c r="G3377" s="380">
        <f>G3319+G3338+G3347+G3363+G3331</f>
        <v>24660186.940000001</v>
      </c>
      <c r="H3377" s="380">
        <f>H3319+H3338+H3347+H3363+H3331</f>
        <v>18368264</v>
      </c>
      <c r="I3377" s="380">
        <f>I3319+I3338+I3347+I3363+I3331</f>
        <v>18427402</v>
      </c>
      <c r="J3377" s="312"/>
      <c r="K3377" s="61"/>
      <c r="L3377" s="61"/>
      <c r="M3377" s="61"/>
      <c r="N3377" s="243">
        <v>24484331.940000001</v>
      </c>
      <c r="O3377" s="243">
        <f>N3377-G3377</f>
        <v>-175855</v>
      </c>
      <c r="P3377" s="61"/>
      <c r="Q3377" s="61"/>
      <c r="R3377" s="61"/>
    </row>
    <row r="3378" spans="1:18" s="22" customFormat="1">
      <c r="A3378" s="317" t="s">
        <v>1155</v>
      </c>
      <c r="B3378" s="311"/>
      <c r="C3378" s="20"/>
      <c r="D3378" s="20"/>
      <c r="E3378" s="20"/>
      <c r="F3378" s="20"/>
      <c r="G3378" s="12"/>
      <c r="H3378" s="12">
        <v>20573079.07</v>
      </c>
      <c r="I3378" s="12">
        <v>42736073.420000002</v>
      </c>
      <c r="J3378" s="312"/>
      <c r="K3378" s="61"/>
      <c r="L3378" s="61"/>
      <c r="M3378" s="61"/>
      <c r="N3378" s="61"/>
      <c r="O3378" s="61"/>
      <c r="P3378" s="61"/>
      <c r="Q3378" s="61"/>
      <c r="R3378" s="61"/>
    </row>
    <row r="3379" spans="1:18" s="22" customFormat="1" ht="21" customHeight="1">
      <c r="A3379" s="395" t="s">
        <v>356</v>
      </c>
      <c r="B3379" s="378"/>
      <c r="C3379" s="378"/>
      <c r="D3379" s="378"/>
      <c r="E3379" s="378"/>
      <c r="F3379" s="378"/>
      <c r="G3379" s="380">
        <f>G541+G649+G1413+G1487+G2852+G3377+G3200++G2889+G3299+G3316+G3378</f>
        <v>3061114805.323</v>
      </c>
      <c r="H3379" s="380">
        <f>H541+H649+H1413+H1487+H2852+H3377+H3200++H2889+H3299+H3316+H3378</f>
        <v>1740326451.8</v>
      </c>
      <c r="I3379" s="380">
        <f>I541+I649+I1413+I1487+I2852+I3377+I3200++I2889+I3299+I3316+I3378</f>
        <v>1735334719.7600002</v>
      </c>
      <c r="J3379" s="187"/>
      <c r="K3379" s="203"/>
      <c r="L3379" s="203"/>
      <c r="M3379" s="203"/>
      <c r="N3379" s="202"/>
      <c r="O3379" s="202"/>
      <c r="P3379" s="202"/>
      <c r="Q3379" s="202"/>
      <c r="R3379" s="202"/>
    </row>
    <row r="3380" spans="1:18">
      <c r="A3380" s="90"/>
      <c r="B3380" s="279"/>
      <c r="C3380" s="279"/>
      <c r="D3380" s="279"/>
      <c r="E3380" s="279"/>
      <c r="F3380" s="279"/>
      <c r="G3380" s="89"/>
      <c r="H3380" s="89"/>
      <c r="I3380" s="89"/>
      <c r="K3380" s="202"/>
      <c r="L3380" s="202"/>
    </row>
    <row r="3381" spans="1:18">
      <c r="A3381" s="90"/>
      <c r="B3381" s="279"/>
      <c r="C3381" s="279"/>
      <c r="D3381" s="279"/>
      <c r="E3381" s="279"/>
      <c r="F3381" s="279"/>
      <c r="G3381" s="89">
        <f>G3379-G3378</f>
        <v>3061114805.323</v>
      </c>
      <c r="H3381" s="89">
        <f>H3379-H3378</f>
        <v>1719753372.73</v>
      </c>
      <c r="I3381" s="89">
        <f>I3379-I3378</f>
        <v>1692598646.3400002</v>
      </c>
      <c r="K3381" s="202"/>
      <c r="L3381" s="202"/>
      <c r="N3381" s="181" t="s">
        <v>1483</v>
      </c>
    </row>
    <row r="3382" spans="1:18">
      <c r="A3382" s="90"/>
      <c r="B3382" s="279"/>
      <c r="C3382" s="279"/>
      <c r="D3382" s="279"/>
      <c r="E3382" s="279"/>
      <c r="F3382" s="279"/>
      <c r="G3382" s="89"/>
      <c r="H3382" s="89"/>
      <c r="I3382" s="89"/>
      <c r="K3382" s="202"/>
      <c r="L3382" s="202"/>
    </row>
    <row r="3383" spans="1:18">
      <c r="G3383" s="60">
        <f>G3379-'прил3 '!F82</f>
        <v>0</v>
      </c>
      <c r="H3383" s="60">
        <f>H3379-'прил3 '!G82</f>
        <v>0</v>
      </c>
      <c r="I3383" s="60">
        <f>I3379-'прил3 '!H82</f>
        <v>0</v>
      </c>
      <c r="K3383" s="202"/>
      <c r="L3383" s="202"/>
    </row>
    <row r="3384" spans="1:18">
      <c r="G3384" s="60">
        <f>G3379-прил5!G2317</f>
        <v>0</v>
      </c>
      <c r="H3384" s="60">
        <f>H3379-прил5!H2317</f>
        <v>0</v>
      </c>
      <c r="I3384" s="60">
        <f>I3379-прил5!I2317</f>
        <v>0</v>
      </c>
      <c r="K3384" s="202"/>
      <c r="L3384" s="202"/>
    </row>
    <row r="3385" spans="1:18">
      <c r="K3385" s="202"/>
      <c r="L3385" s="202"/>
    </row>
    <row r="3386" spans="1:18">
      <c r="K3386" s="202"/>
      <c r="L3386" s="202"/>
    </row>
    <row r="3387" spans="1:18">
      <c r="B3387" s="1"/>
      <c r="C3387" s="1"/>
      <c r="D3387" s="1"/>
      <c r="G3387" s="60">
        <v>2096300390.9100001</v>
      </c>
      <c r="H3387" s="60">
        <v>1739226451.8</v>
      </c>
      <c r="I3387" s="60">
        <v>1735334719.76</v>
      </c>
      <c r="K3387" s="202"/>
      <c r="L3387" s="202"/>
    </row>
    <row r="3388" spans="1:18">
      <c r="B3388" s="1"/>
      <c r="C3388" s="1"/>
      <c r="D3388" s="1"/>
      <c r="G3388" s="60">
        <f>G3379-G3387</f>
        <v>964814414.41299987</v>
      </c>
      <c r="H3388" s="60">
        <f t="shared" ref="H3388:I3388" si="885">H3379-H3387</f>
        <v>1100000</v>
      </c>
      <c r="I3388" s="60">
        <f t="shared" si="885"/>
        <v>0</v>
      </c>
      <c r="K3388" s="202"/>
      <c r="L3388" s="202"/>
    </row>
    <row r="3389" spans="1:18">
      <c r="B3389" s="1"/>
      <c r="C3389" s="1"/>
      <c r="D3389" s="1"/>
      <c r="G3389" s="60">
        <f>G3387+G3388</f>
        <v>3061114805.323</v>
      </c>
      <c r="H3389" s="60">
        <f t="shared" ref="H3389:I3389" si="886">H3387+H3388</f>
        <v>1740326451.8</v>
      </c>
      <c r="I3389" s="60">
        <f t="shared" si="886"/>
        <v>1735334719.76</v>
      </c>
      <c r="K3389" s="203"/>
      <c r="L3389" s="202"/>
    </row>
    <row r="3391" spans="1:18">
      <c r="G3391" s="89"/>
      <c r="H3391" s="89"/>
      <c r="I3391" s="89"/>
    </row>
    <row r="3394" spans="2:12">
      <c r="B3394" s="1"/>
      <c r="C3394" s="1"/>
      <c r="D3394" s="1"/>
      <c r="E3394" s="1"/>
      <c r="F3394" s="1"/>
      <c r="G3394" s="1"/>
      <c r="H3394" s="1"/>
      <c r="I3394" s="1"/>
      <c r="J3394" s="181"/>
    </row>
    <row r="3395" spans="2:12">
      <c r="J3395" s="174"/>
    </row>
    <row r="3397" spans="2:12">
      <c r="K3397" s="175"/>
      <c r="L3397" s="175"/>
    </row>
    <row r="3410" spans="17:17">
      <c r="Q3410" s="204"/>
    </row>
    <row r="3411" spans="17:17">
      <c r="Q3411" s="204"/>
    </row>
  </sheetData>
  <mergeCells count="28">
    <mergeCell ref="F1:K1"/>
    <mergeCell ref="F2:H2"/>
    <mergeCell ref="F3:K3"/>
    <mergeCell ref="F4:H4"/>
    <mergeCell ref="F5:I5"/>
    <mergeCell ref="F6:H6"/>
    <mergeCell ref="F7:I7"/>
    <mergeCell ref="F8:H8"/>
    <mergeCell ref="A18:A20"/>
    <mergeCell ref="D18:D20"/>
    <mergeCell ref="C18:C20"/>
    <mergeCell ref="B18:B20"/>
    <mergeCell ref="A17:I17"/>
    <mergeCell ref="H19:H20"/>
    <mergeCell ref="I19:I20"/>
    <mergeCell ref="G18:I18"/>
    <mergeCell ref="F18:F20"/>
    <mergeCell ref="E18:E20"/>
    <mergeCell ref="G19:G20"/>
    <mergeCell ref="F9:I9"/>
    <mergeCell ref="F10:H10"/>
    <mergeCell ref="F15:H15"/>
    <mergeCell ref="F16:H16"/>
    <mergeCell ref="J1141:K1141"/>
    <mergeCell ref="F11:I11"/>
    <mergeCell ref="F12:H12"/>
    <mergeCell ref="F13:I13"/>
    <mergeCell ref="F14:H14"/>
  </mergeCells>
  <phoneticPr fontId="0" type="noConversion"/>
  <pageMargins left="0.82677165354330717" right="0.27559055118110237" top="0.23622047244094491" bottom="0.23622047244094491" header="0.19685039370078741" footer="0.19685039370078741"/>
  <pageSetup paperSize="9" scale="51" fitToHeight="3" orientation="portrait" r:id="rId1"/>
  <rowBreaks count="6" manualBreakCount="6">
    <brk id="2237" max="10" man="1"/>
    <brk id="2439" max="10" man="1"/>
    <brk id="2536" max="10" man="1"/>
    <brk id="2779" max="10" man="1"/>
    <brk id="3242" max="10" man="1"/>
    <brk id="3383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W2350"/>
  <sheetViews>
    <sheetView topLeftCell="A11" zoomScale="93" zoomScaleNormal="93" zoomScaleSheetLayoutView="100" workbookViewId="0">
      <selection activeCell="E161" sqref="E161"/>
    </sheetView>
  </sheetViews>
  <sheetFormatPr defaultColWidth="9.109375" defaultRowHeight="13.2"/>
  <cols>
    <col min="1" max="1" width="54.5546875" style="1" customWidth="1"/>
    <col min="2" max="2" width="6.88671875" style="59" hidden="1" customWidth="1"/>
    <col min="3" max="3" width="4.5546875" style="59" hidden="1" customWidth="1"/>
    <col min="4" max="4" width="4.6640625" style="59" hidden="1" customWidth="1"/>
    <col min="5" max="5" width="20.44140625" style="59" customWidth="1"/>
    <col min="6" max="6" width="9.88671875" style="59" customWidth="1"/>
    <col min="7" max="7" width="26.33203125" style="89" customWidth="1"/>
    <col min="8" max="8" width="21.5546875" style="89" customWidth="1"/>
    <col min="9" max="9" width="29" style="89" customWidth="1"/>
    <col min="10" max="10" width="11.44140625" style="2" hidden="1" customWidth="1"/>
    <col min="11" max="12" width="13.88671875" style="1" hidden="1" customWidth="1"/>
    <col min="13" max="13" width="11.6640625" style="1" hidden="1" customWidth="1"/>
    <col min="14" max="15" width="0" style="1" hidden="1" customWidth="1"/>
    <col min="16" max="16" width="13.88671875" style="2" hidden="1" customWidth="1"/>
    <col min="17" max="17" width="16.109375" style="2" hidden="1" customWidth="1"/>
    <col min="18" max="18" width="14.6640625" style="2" hidden="1" customWidth="1"/>
    <col min="19" max="19" width="13.44140625" style="2" hidden="1" customWidth="1"/>
    <col min="20" max="20" width="17.88671875" style="2" hidden="1" customWidth="1"/>
    <col min="21" max="21" width="13.88671875" style="1" hidden="1" customWidth="1"/>
    <col min="22" max="22" width="22.5546875" style="1" customWidth="1"/>
    <col min="23" max="23" width="10.5546875" style="1" bestFit="1" customWidth="1"/>
    <col min="24" max="16384" width="9.109375" style="1"/>
  </cols>
  <sheetData>
    <row r="1" spans="2:11" customFormat="1" ht="19.5" hidden="1" customHeight="1">
      <c r="B1" s="62"/>
      <c r="C1" s="65"/>
      <c r="D1" s="65"/>
      <c r="E1" s="280" t="s">
        <v>876</v>
      </c>
      <c r="F1" s="280"/>
      <c r="G1" s="280"/>
      <c r="H1" s="280"/>
      <c r="I1" s="280"/>
      <c r="J1" s="280"/>
      <c r="K1" s="280"/>
    </row>
    <row r="2" spans="2:11" customFormat="1" ht="33" hidden="1" customHeight="1">
      <c r="B2" s="62"/>
      <c r="C2" s="281"/>
      <c r="D2" s="65"/>
      <c r="E2" s="414" t="s">
        <v>1046</v>
      </c>
      <c r="F2" s="414"/>
      <c r="G2" s="414"/>
      <c r="H2" s="280"/>
      <c r="I2" s="97"/>
      <c r="J2" s="99"/>
    </row>
    <row r="3" spans="2:11" customFormat="1" ht="19.5" hidden="1" customHeight="1">
      <c r="B3" s="62"/>
      <c r="C3" s="65"/>
      <c r="D3" s="65"/>
      <c r="E3" s="247" t="s">
        <v>876</v>
      </c>
      <c r="F3" s="247"/>
      <c r="G3" s="247"/>
      <c r="H3" s="247"/>
      <c r="I3" s="247"/>
      <c r="J3" s="247"/>
      <c r="K3" s="247"/>
    </row>
    <row r="4" spans="2:11" customFormat="1" ht="33" hidden="1" customHeight="1">
      <c r="B4" s="62"/>
      <c r="C4" s="248"/>
      <c r="D4" s="65"/>
      <c r="E4" s="414" t="s">
        <v>1013</v>
      </c>
      <c r="F4" s="414"/>
      <c r="G4" s="414"/>
      <c r="H4" s="247"/>
      <c r="I4" s="97"/>
      <c r="J4" s="99"/>
    </row>
    <row r="5" spans="2:11" customFormat="1" ht="19.5" hidden="1" customHeight="1">
      <c r="B5" s="62"/>
      <c r="C5" s="65"/>
      <c r="D5" s="65"/>
      <c r="E5" s="245" t="s">
        <v>876</v>
      </c>
      <c r="F5" s="245"/>
      <c r="G5" s="245"/>
      <c r="H5" s="245"/>
      <c r="I5" s="245"/>
      <c r="J5" s="245"/>
      <c r="K5" s="245"/>
    </row>
    <row r="6" spans="2:11" customFormat="1" ht="33" hidden="1" customHeight="1">
      <c r="B6" s="62"/>
      <c r="C6" s="246"/>
      <c r="D6" s="65"/>
      <c r="E6" s="414" t="s">
        <v>992</v>
      </c>
      <c r="F6" s="414"/>
      <c r="G6" s="414"/>
      <c r="H6" s="245"/>
      <c r="I6" s="97"/>
      <c r="J6" s="99"/>
    </row>
    <row r="7" spans="2:11" ht="19.5" hidden="1" customHeight="1">
      <c r="B7" s="421" t="s">
        <v>358</v>
      </c>
      <c r="C7" s="422"/>
      <c r="D7" s="422"/>
      <c r="E7" s="420" t="s">
        <v>876</v>
      </c>
      <c r="F7" s="420"/>
      <c r="G7" s="420"/>
      <c r="H7" s="90"/>
      <c r="I7" s="1"/>
    </row>
    <row r="8" spans="2:11" ht="35.25" hidden="1" customHeight="1">
      <c r="B8" s="405" t="s">
        <v>681</v>
      </c>
      <c r="C8" s="405"/>
      <c r="D8" s="405" t="s">
        <v>977</v>
      </c>
      <c r="E8" s="405"/>
      <c r="F8" s="413"/>
      <c r="G8" s="413"/>
      <c r="H8" s="90"/>
      <c r="I8" s="1"/>
    </row>
    <row r="9" spans="2:11" ht="19.5" hidden="1" customHeight="1">
      <c r="B9" s="421" t="s">
        <v>358</v>
      </c>
      <c r="C9" s="422"/>
      <c r="D9" s="422"/>
      <c r="E9" s="420" t="s">
        <v>876</v>
      </c>
      <c r="F9" s="420"/>
      <c r="G9" s="420"/>
      <c r="H9" s="90"/>
      <c r="I9" s="1"/>
    </row>
    <row r="10" spans="2:11" ht="35.25" hidden="1" customHeight="1">
      <c r="B10" s="405" t="s">
        <v>681</v>
      </c>
      <c r="C10" s="405"/>
      <c r="D10" s="405" t="s">
        <v>943</v>
      </c>
      <c r="E10" s="405"/>
      <c r="F10" s="413"/>
      <c r="G10" s="413"/>
      <c r="H10" s="90"/>
      <c r="I10" s="1"/>
    </row>
    <row r="11" spans="2:11" customFormat="1" ht="17.25" customHeight="1">
      <c r="B11" s="62"/>
      <c r="C11" s="65"/>
      <c r="D11" s="65"/>
      <c r="E11" s="404" t="s">
        <v>1534</v>
      </c>
      <c r="F11" s="402"/>
      <c r="G11" s="402"/>
      <c r="H11" s="402"/>
      <c r="I11" s="402"/>
      <c r="J11" s="402"/>
      <c r="K11" s="402"/>
    </row>
    <row r="12" spans="2:11" customFormat="1" ht="32.25" customHeight="1">
      <c r="B12" s="62"/>
      <c r="C12" s="403"/>
      <c r="D12" s="65"/>
      <c r="E12" s="414" t="s">
        <v>1551</v>
      </c>
      <c r="F12" s="423"/>
      <c r="G12" s="423"/>
      <c r="H12" s="402"/>
      <c r="I12" s="97"/>
      <c r="J12" s="99"/>
    </row>
    <row r="13" spans="2:11" customFormat="1" ht="17.25" customHeight="1">
      <c r="B13" s="62"/>
      <c r="C13" s="65"/>
      <c r="D13" s="65"/>
      <c r="E13" s="401" t="s">
        <v>1484</v>
      </c>
      <c r="F13" s="399"/>
      <c r="G13" s="399"/>
      <c r="H13" s="399"/>
      <c r="I13" s="399"/>
      <c r="J13" s="399"/>
      <c r="K13" s="399"/>
    </row>
    <row r="14" spans="2:11" customFormat="1" ht="32.25" customHeight="1">
      <c r="B14" s="62"/>
      <c r="C14" s="400"/>
      <c r="D14" s="65"/>
      <c r="E14" s="414" t="s">
        <v>1491</v>
      </c>
      <c r="F14" s="423"/>
      <c r="G14" s="423"/>
      <c r="H14" s="399"/>
      <c r="I14" s="97"/>
      <c r="J14" s="99"/>
    </row>
    <row r="15" spans="2:11" ht="19.5" customHeight="1">
      <c r="B15" s="421" t="s">
        <v>358</v>
      </c>
      <c r="C15" s="422"/>
      <c r="D15" s="422"/>
      <c r="E15" s="420" t="s">
        <v>876</v>
      </c>
      <c r="F15" s="420"/>
      <c r="G15" s="420"/>
      <c r="H15" s="90"/>
      <c r="I15" s="1"/>
    </row>
    <row r="16" spans="2:11" ht="35.25" customHeight="1">
      <c r="B16" s="405" t="s">
        <v>681</v>
      </c>
      <c r="C16" s="405"/>
      <c r="D16" s="405" t="s">
        <v>1451</v>
      </c>
      <c r="E16" s="405"/>
      <c r="F16" s="413"/>
      <c r="G16" s="413"/>
      <c r="H16" s="90"/>
      <c r="I16" s="1"/>
    </row>
    <row r="17" spans="1:22" ht="19.5" customHeight="1">
      <c r="B17" s="421" t="s">
        <v>358</v>
      </c>
      <c r="C17" s="422"/>
      <c r="D17" s="422"/>
      <c r="E17" s="420" t="s">
        <v>876</v>
      </c>
      <c r="F17" s="420"/>
      <c r="G17" s="420"/>
      <c r="H17" s="90"/>
      <c r="I17" s="1"/>
    </row>
    <row r="18" spans="1:22" ht="35.25" customHeight="1">
      <c r="B18" s="405" t="s">
        <v>681</v>
      </c>
      <c r="C18" s="405"/>
      <c r="D18" s="405" t="s">
        <v>1410</v>
      </c>
      <c r="E18" s="405"/>
      <c r="F18" s="413"/>
      <c r="G18" s="413"/>
      <c r="H18" s="90"/>
      <c r="I18" s="1"/>
    </row>
    <row r="19" spans="1:22" ht="19.5" customHeight="1">
      <c r="B19" s="421" t="s">
        <v>358</v>
      </c>
      <c r="C19" s="422"/>
      <c r="D19" s="422"/>
      <c r="E19" s="420" t="s">
        <v>876</v>
      </c>
      <c r="F19" s="420"/>
      <c r="G19" s="420"/>
      <c r="H19" s="90"/>
      <c r="I19" s="1"/>
    </row>
    <row r="20" spans="1:22" ht="35.25" customHeight="1">
      <c r="B20" s="405" t="s">
        <v>681</v>
      </c>
      <c r="C20" s="405"/>
      <c r="D20" s="405" t="s">
        <v>1411</v>
      </c>
      <c r="E20" s="405"/>
      <c r="F20" s="413"/>
      <c r="G20" s="413"/>
      <c r="H20" s="90"/>
      <c r="I20" s="1"/>
    </row>
    <row r="21" spans="1:22" ht="19.5" customHeight="1">
      <c r="B21" s="421" t="s">
        <v>358</v>
      </c>
      <c r="C21" s="422"/>
      <c r="D21" s="422"/>
      <c r="E21" s="420" t="s">
        <v>1309</v>
      </c>
      <c r="F21" s="420"/>
      <c r="G21" s="420"/>
      <c r="H21" s="90"/>
      <c r="I21" s="1"/>
    </row>
    <row r="22" spans="1:22" ht="35.25" customHeight="1">
      <c r="B22" s="405" t="s">
        <v>681</v>
      </c>
      <c r="C22" s="405"/>
      <c r="D22" s="405" t="s">
        <v>1323</v>
      </c>
      <c r="E22" s="405"/>
      <c r="F22" s="413"/>
      <c r="G22" s="413"/>
      <c r="H22" s="90"/>
      <c r="I22" s="1"/>
    </row>
    <row r="23" spans="1:22" ht="19.5" customHeight="1">
      <c r="B23" s="421" t="s">
        <v>358</v>
      </c>
      <c r="C23" s="422"/>
      <c r="D23" s="422"/>
      <c r="E23" s="420" t="s">
        <v>876</v>
      </c>
      <c r="F23" s="420"/>
      <c r="G23" s="420"/>
      <c r="H23" s="90"/>
      <c r="I23" s="1"/>
    </row>
    <row r="24" spans="1:22" ht="35.25" customHeight="1">
      <c r="B24" s="405" t="s">
        <v>681</v>
      </c>
      <c r="C24" s="405"/>
      <c r="D24" s="405" t="s">
        <v>1318</v>
      </c>
      <c r="E24" s="405"/>
      <c r="F24" s="413"/>
      <c r="G24" s="413"/>
      <c r="H24" s="90"/>
      <c r="I24" s="1"/>
    </row>
    <row r="25" spans="1:22" ht="25.2" customHeight="1">
      <c r="B25" s="367"/>
      <c r="C25" s="367"/>
      <c r="D25" s="367"/>
      <c r="E25" s="420" t="s">
        <v>876</v>
      </c>
      <c r="F25" s="420"/>
      <c r="G25" s="420"/>
      <c r="H25" s="90"/>
      <c r="I25" s="1"/>
    </row>
    <row r="26" spans="1:22" ht="35.25" customHeight="1">
      <c r="B26" s="367"/>
      <c r="C26" s="367"/>
      <c r="D26" s="367"/>
      <c r="E26" s="405" t="s">
        <v>1322</v>
      </c>
      <c r="F26" s="413"/>
      <c r="G26" s="413"/>
      <c r="H26" s="90"/>
      <c r="I26" s="1"/>
    </row>
    <row r="27" spans="1:22" ht="61.5" customHeight="1">
      <c r="A27" s="425" t="s">
        <v>1148</v>
      </c>
      <c r="B27" s="425"/>
      <c r="C27" s="425"/>
      <c r="D27" s="425"/>
      <c r="E27" s="425"/>
      <c r="F27" s="425"/>
      <c r="G27" s="425"/>
      <c r="H27" s="426"/>
      <c r="I27" s="426"/>
    </row>
    <row r="28" spans="1:22" ht="14.25" customHeight="1">
      <c r="A28" s="417" t="s">
        <v>11</v>
      </c>
      <c r="B28" s="102"/>
      <c r="C28" s="102"/>
      <c r="D28" s="102"/>
      <c r="E28" s="419" t="s">
        <v>15</v>
      </c>
      <c r="F28" s="419" t="s">
        <v>16</v>
      </c>
      <c r="G28" s="429" t="s">
        <v>359</v>
      </c>
      <c r="H28" s="424"/>
      <c r="I28" s="424"/>
    </row>
    <row r="29" spans="1:22" s="3" customFormat="1" ht="23.25" customHeight="1">
      <c r="A29" s="424"/>
      <c r="B29" s="419" t="s">
        <v>12</v>
      </c>
      <c r="C29" s="419" t="s">
        <v>13</v>
      </c>
      <c r="D29" s="419" t="s">
        <v>14</v>
      </c>
      <c r="E29" s="418"/>
      <c r="F29" s="418"/>
      <c r="G29" s="427" t="s">
        <v>631</v>
      </c>
      <c r="H29" s="427" t="s">
        <v>865</v>
      </c>
      <c r="I29" s="427" t="s">
        <v>1124</v>
      </c>
      <c r="J29" s="111"/>
      <c r="K29" s="90"/>
      <c r="P29" s="111"/>
      <c r="Q29" s="111"/>
      <c r="R29" s="111"/>
      <c r="S29" s="111"/>
      <c r="T29" s="111"/>
    </row>
    <row r="30" spans="1:22" s="3" customFormat="1" ht="69.75" customHeight="1">
      <c r="A30" s="424"/>
      <c r="B30" s="428"/>
      <c r="C30" s="428"/>
      <c r="D30" s="428"/>
      <c r="E30" s="418"/>
      <c r="F30" s="418"/>
      <c r="G30" s="411"/>
      <c r="H30" s="411"/>
      <c r="I30" s="411"/>
      <c r="J30" s="111"/>
      <c r="P30" s="111"/>
      <c r="Q30" s="111"/>
      <c r="R30" s="111"/>
      <c r="S30" s="111"/>
      <c r="T30" s="111"/>
    </row>
    <row r="31" spans="1:22" s="3" customFormat="1">
      <c r="A31" s="4">
        <v>1</v>
      </c>
      <c r="B31" s="4">
        <v>2</v>
      </c>
      <c r="C31" s="4">
        <v>3</v>
      </c>
      <c r="D31" s="4">
        <v>4</v>
      </c>
      <c r="E31" s="4">
        <v>2</v>
      </c>
      <c r="F31" s="4">
        <v>3</v>
      </c>
      <c r="G31" s="91">
        <v>4</v>
      </c>
      <c r="H31" s="91">
        <v>5</v>
      </c>
      <c r="I31" s="91">
        <v>6</v>
      </c>
      <c r="J31" s="111"/>
      <c r="P31" s="111"/>
      <c r="Q31" s="111"/>
      <c r="R31" s="111"/>
      <c r="S31" s="111"/>
      <c r="T31" s="111"/>
    </row>
    <row r="32" spans="1:22" s="74" customFormat="1" ht="42" customHeight="1">
      <c r="A32" s="78" t="s">
        <v>106</v>
      </c>
      <c r="B32" s="73"/>
      <c r="C32" s="73"/>
      <c r="D32" s="73"/>
      <c r="E32" s="73"/>
      <c r="F32" s="73"/>
      <c r="G32" s="92">
        <f>G34+G47+G148+G206+G260+G463+G529+G1010+G1020+G1040+G1114+G1436+G1467+G1472+G1487+G1503+G1509+G1548+G1607+G1641+G1896+G1939+G1982+G283</f>
        <v>2897490539.6930003</v>
      </c>
      <c r="H32" s="92">
        <f>H34+H47+H148+H206+H260+H463+H529+H1010+H1020+H1040+H1114+H1436+H1467+H1472+H1487+H1503+H1509+H1548+H1607+H1641+H1896+H1939+H1982+H283</f>
        <v>1577271409.7399995</v>
      </c>
      <c r="I32" s="92">
        <f>I34+I47+I148+I206+I260+I463+I529+I1010+I1020+I1040+I1114+I1436+I1467+I1472+I1487+I1503+I1509+I1548+I1607+I1641+I1896+I1939+I1982+I283</f>
        <v>1548444820.1599994</v>
      </c>
      <c r="J32" s="112"/>
      <c r="P32" s="112"/>
      <c r="Q32" s="112"/>
      <c r="R32" s="112"/>
      <c r="S32" s="112"/>
      <c r="T32" s="112"/>
      <c r="V32" s="112"/>
    </row>
    <row r="33" spans="1:22" s="3" customFormat="1">
      <c r="A33" s="4"/>
      <c r="B33" s="4"/>
      <c r="C33" s="4"/>
      <c r="D33" s="4"/>
      <c r="E33" s="4"/>
      <c r="F33" s="4"/>
      <c r="G33" s="91">
        <f>V32</f>
        <v>0</v>
      </c>
      <c r="H33" s="91"/>
      <c r="I33" s="91"/>
      <c r="J33" s="111"/>
      <c r="P33" s="111"/>
      <c r="Q33" s="111"/>
      <c r="R33" s="111"/>
      <c r="S33" s="111"/>
      <c r="T33" s="111"/>
      <c r="V33" s="111"/>
    </row>
    <row r="34" spans="1:22" s="74" customFormat="1" ht="42" customHeight="1">
      <c r="A34" s="340" t="s">
        <v>1127</v>
      </c>
      <c r="B34" s="221"/>
      <c r="C34" s="221"/>
      <c r="D34" s="221"/>
      <c r="E34" s="19" t="s">
        <v>107</v>
      </c>
      <c r="F34" s="73"/>
      <c r="G34" s="222">
        <f>G35+G41+G38+G44</f>
        <v>22477120.189999998</v>
      </c>
      <c r="H34" s="222">
        <f>H35+H41</f>
        <v>0</v>
      </c>
      <c r="I34" s="222">
        <f>I35+I41</f>
        <v>0</v>
      </c>
      <c r="J34" s="112">
        <v>2271304</v>
      </c>
      <c r="P34" s="112"/>
      <c r="Q34" s="112"/>
      <c r="R34" s="112"/>
      <c r="S34" s="112"/>
      <c r="T34" s="112">
        <f>прил4!G513</f>
        <v>22477120.189999998</v>
      </c>
      <c r="V34" s="112"/>
    </row>
    <row r="35" spans="1:22" ht="33" customHeight="1">
      <c r="A35" s="16" t="s">
        <v>179</v>
      </c>
      <c r="B35" s="14">
        <v>757</v>
      </c>
      <c r="C35" s="15" t="s">
        <v>68</v>
      </c>
      <c r="D35" s="15" t="s">
        <v>69</v>
      </c>
      <c r="E35" s="15" t="s">
        <v>397</v>
      </c>
      <c r="F35" s="15"/>
      <c r="G35" s="70">
        <f t="shared" ref="G35:I36" si="0">G36</f>
        <v>22477120.189999998</v>
      </c>
      <c r="H35" s="70">
        <f t="shared" si="0"/>
        <v>0</v>
      </c>
      <c r="I35" s="70">
        <f t="shared" si="0"/>
        <v>0</v>
      </c>
    </row>
    <row r="36" spans="1:22" ht="33" customHeight="1">
      <c r="A36" s="16" t="s">
        <v>144</v>
      </c>
      <c r="B36" s="14">
        <v>757</v>
      </c>
      <c r="C36" s="15" t="s">
        <v>68</v>
      </c>
      <c r="D36" s="15" t="s">
        <v>69</v>
      </c>
      <c r="E36" s="15" t="s">
        <v>397</v>
      </c>
      <c r="F36" s="15" t="s">
        <v>145</v>
      </c>
      <c r="G36" s="70">
        <f t="shared" si="0"/>
        <v>22477120.189999998</v>
      </c>
      <c r="H36" s="70">
        <f t="shared" si="0"/>
        <v>0</v>
      </c>
      <c r="I36" s="70">
        <f t="shared" si="0"/>
        <v>0</v>
      </c>
    </row>
    <row r="37" spans="1:22" ht="33" customHeight="1">
      <c r="A37" s="16" t="s">
        <v>146</v>
      </c>
      <c r="B37" s="14">
        <v>757</v>
      </c>
      <c r="C37" s="15" t="s">
        <v>68</v>
      </c>
      <c r="D37" s="15" t="s">
        <v>69</v>
      </c>
      <c r="E37" s="15" t="s">
        <v>397</v>
      </c>
      <c r="F37" s="15" t="s">
        <v>147</v>
      </c>
      <c r="G37" s="70">
        <f>прил4!G2785+прил4!G516</f>
        <v>22477120.189999998</v>
      </c>
      <c r="H37" s="70">
        <f>прил4!H2785+прил4!H516</f>
        <v>0</v>
      </c>
      <c r="I37" s="70">
        <f>прил4!I2785+прил4!I516</f>
        <v>0</v>
      </c>
    </row>
    <row r="38" spans="1:22" ht="33" hidden="1" customHeight="1">
      <c r="A38" s="16" t="s">
        <v>785</v>
      </c>
      <c r="B38" s="14">
        <v>757</v>
      </c>
      <c r="C38" s="15" t="s">
        <v>68</v>
      </c>
      <c r="D38" s="15" t="s">
        <v>53</v>
      </c>
      <c r="E38" s="15" t="s">
        <v>784</v>
      </c>
      <c r="F38" s="15"/>
      <c r="G38" s="70">
        <f t="shared" ref="G38:I39" si="1">G39</f>
        <v>0</v>
      </c>
      <c r="H38" s="70">
        <f t="shared" si="1"/>
        <v>0</v>
      </c>
      <c r="I38" s="70">
        <f t="shared" si="1"/>
        <v>0</v>
      </c>
      <c r="J38" s="1"/>
    </row>
    <row r="39" spans="1:22" ht="33" hidden="1" customHeight="1">
      <c r="A39" s="16" t="s">
        <v>144</v>
      </c>
      <c r="B39" s="14">
        <v>757</v>
      </c>
      <c r="C39" s="15" t="s">
        <v>68</v>
      </c>
      <c r="D39" s="15" t="s">
        <v>53</v>
      </c>
      <c r="E39" s="15" t="s">
        <v>784</v>
      </c>
      <c r="F39" s="15" t="s">
        <v>145</v>
      </c>
      <c r="G39" s="70">
        <f t="shared" si="1"/>
        <v>0</v>
      </c>
      <c r="H39" s="70">
        <f t="shared" si="1"/>
        <v>0</v>
      </c>
      <c r="I39" s="70">
        <f t="shared" si="1"/>
        <v>0</v>
      </c>
      <c r="J39" s="1"/>
    </row>
    <row r="40" spans="1:22" ht="33" hidden="1" customHeight="1">
      <c r="A40" s="16" t="s">
        <v>146</v>
      </c>
      <c r="B40" s="14">
        <v>757</v>
      </c>
      <c r="C40" s="15" t="s">
        <v>68</v>
      </c>
      <c r="D40" s="15" t="s">
        <v>53</v>
      </c>
      <c r="E40" s="15" t="s">
        <v>784</v>
      </c>
      <c r="F40" s="15" t="s">
        <v>147</v>
      </c>
      <c r="G40" s="70">
        <f>прил4!G482</f>
        <v>0</v>
      </c>
      <c r="H40" s="70">
        <v>0</v>
      </c>
      <c r="I40" s="70">
        <v>0</v>
      </c>
      <c r="J40" s="1"/>
    </row>
    <row r="41" spans="1:22" ht="82.5" hidden="1" customHeight="1">
      <c r="A41" s="50" t="s">
        <v>399</v>
      </c>
      <c r="B41" s="14">
        <v>757</v>
      </c>
      <c r="C41" s="15" t="s">
        <v>68</v>
      </c>
      <c r="D41" s="15" t="s">
        <v>69</v>
      </c>
      <c r="E41" s="15" t="s">
        <v>398</v>
      </c>
      <c r="F41" s="15"/>
      <c r="G41" s="70">
        <f t="shared" ref="G41:I42" si="2">G42</f>
        <v>0</v>
      </c>
      <c r="H41" s="70">
        <f>H42</f>
        <v>0</v>
      </c>
      <c r="I41" s="70">
        <f t="shared" si="2"/>
        <v>0</v>
      </c>
    </row>
    <row r="42" spans="1:22" ht="33" hidden="1" customHeight="1">
      <c r="A42" s="16" t="s">
        <v>144</v>
      </c>
      <c r="B42" s="14">
        <v>757</v>
      </c>
      <c r="C42" s="15" t="s">
        <v>68</v>
      </c>
      <c r="D42" s="15" t="s">
        <v>69</v>
      </c>
      <c r="E42" s="15" t="s">
        <v>398</v>
      </c>
      <c r="F42" s="15" t="s">
        <v>145</v>
      </c>
      <c r="G42" s="70">
        <f t="shared" si="2"/>
        <v>0</v>
      </c>
      <c r="H42" s="70">
        <f t="shared" si="2"/>
        <v>0</v>
      </c>
      <c r="I42" s="70">
        <f t="shared" si="2"/>
        <v>0</v>
      </c>
    </row>
    <row r="43" spans="1:22" ht="33" hidden="1" customHeight="1">
      <c r="A43" s="16" t="s">
        <v>146</v>
      </c>
      <c r="B43" s="14">
        <v>757</v>
      </c>
      <c r="C43" s="15" t="s">
        <v>68</v>
      </c>
      <c r="D43" s="15" t="s">
        <v>69</v>
      </c>
      <c r="E43" s="15" t="s">
        <v>398</v>
      </c>
      <c r="F43" s="15" t="s">
        <v>147</v>
      </c>
      <c r="G43" s="70">
        <f>прил4!G485</f>
        <v>0</v>
      </c>
      <c r="H43" s="70">
        <f>прил4!AH485</f>
        <v>0</v>
      </c>
      <c r="I43" s="70">
        <f>прил4!AI485</f>
        <v>0</v>
      </c>
    </row>
    <row r="44" spans="1:22" ht="33" hidden="1" customHeight="1">
      <c r="A44" s="16" t="s">
        <v>785</v>
      </c>
      <c r="B44" s="145">
        <v>757</v>
      </c>
      <c r="C44" s="84" t="s">
        <v>68</v>
      </c>
      <c r="D44" s="84" t="s">
        <v>53</v>
      </c>
      <c r="E44" s="84" t="s">
        <v>1281</v>
      </c>
      <c r="F44" s="84"/>
      <c r="G44" s="70">
        <f t="shared" ref="G44:I45" si="3">G45</f>
        <v>0</v>
      </c>
      <c r="H44" s="87">
        <f t="shared" si="3"/>
        <v>0</v>
      </c>
      <c r="I44" s="87">
        <f t="shared" si="3"/>
        <v>0</v>
      </c>
      <c r="J44" s="173"/>
      <c r="K44" s="181"/>
      <c r="L44" s="181"/>
      <c r="M44" s="181"/>
      <c r="N44" s="181"/>
      <c r="O44" s="181"/>
      <c r="P44" s="181"/>
      <c r="Q44" s="181"/>
      <c r="R44" s="181"/>
      <c r="S44" s="1"/>
      <c r="T44" s="1"/>
    </row>
    <row r="45" spans="1:22" ht="33" hidden="1" customHeight="1">
      <c r="A45" s="16" t="s">
        <v>144</v>
      </c>
      <c r="B45" s="145">
        <v>757</v>
      </c>
      <c r="C45" s="84" t="s">
        <v>68</v>
      </c>
      <c r="D45" s="84" t="s">
        <v>53</v>
      </c>
      <c r="E45" s="84" t="s">
        <v>1281</v>
      </c>
      <c r="F45" s="84" t="s">
        <v>145</v>
      </c>
      <c r="G45" s="70">
        <f t="shared" si="3"/>
        <v>0</v>
      </c>
      <c r="H45" s="87">
        <f t="shared" si="3"/>
        <v>0</v>
      </c>
      <c r="I45" s="87">
        <f t="shared" si="3"/>
        <v>0</v>
      </c>
      <c r="J45" s="173"/>
      <c r="K45" s="181"/>
      <c r="L45" s="181"/>
      <c r="M45" s="181"/>
      <c r="N45" s="181"/>
      <c r="O45" s="181"/>
      <c r="P45" s="181"/>
      <c r="Q45" s="181"/>
      <c r="R45" s="181"/>
      <c r="S45" s="1"/>
      <c r="T45" s="1"/>
    </row>
    <row r="46" spans="1:22" ht="33" hidden="1" customHeight="1">
      <c r="A46" s="16" t="s">
        <v>146</v>
      </c>
      <c r="B46" s="145">
        <v>757</v>
      </c>
      <c r="C46" s="84" t="s">
        <v>68</v>
      </c>
      <c r="D46" s="84" t="s">
        <v>53</v>
      </c>
      <c r="E46" s="84" t="s">
        <v>1281</v>
      </c>
      <c r="F46" s="84" t="s">
        <v>147</v>
      </c>
      <c r="G46" s="70">
        <f>прил4!G519</f>
        <v>0</v>
      </c>
      <c r="H46" s="87">
        <v>0</v>
      </c>
      <c r="I46" s="87">
        <v>0</v>
      </c>
      <c r="J46" s="173"/>
      <c r="K46" s="181"/>
      <c r="L46" s="181"/>
      <c r="M46" s="181"/>
      <c r="N46" s="181"/>
      <c r="O46" s="181"/>
      <c r="P46" s="181"/>
      <c r="Q46" s="181"/>
      <c r="R46" s="181"/>
      <c r="S46" s="1"/>
      <c r="T46" s="1"/>
    </row>
    <row r="47" spans="1:22" s="224" customFormat="1" ht="60" customHeight="1">
      <c r="A47" s="107" t="s">
        <v>1126</v>
      </c>
      <c r="B47" s="35">
        <v>793</v>
      </c>
      <c r="C47" s="36" t="s">
        <v>18</v>
      </c>
      <c r="D47" s="36" t="s">
        <v>22</v>
      </c>
      <c r="E47" s="35" t="s">
        <v>242</v>
      </c>
      <c r="F47" s="36"/>
      <c r="G47" s="71">
        <f>G48+G51+G131+G138+G60+G141+G145+G67+G70+G73+G76+G80+G83+G86+G89+G92+G95+G98+G101+G104+G107+G112+G117+G120+G77+G123+G128</f>
        <v>11480538.660000002</v>
      </c>
      <c r="H47" s="71">
        <f>H48+H51+H131+H138+H60</f>
        <v>2678654.1500000004</v>
      </c>
      <c r="I47" s="71">
        <f>I48+I51+I131+I138+I60</f>
        <v>1837983.55</v>
      </c>
      <c r="J47" s="223">
        <v>465200</v>
      </c>
      <c r="P47" s="223"/>
      <c r="Q47" s="223"/>
      <c r="R47" s="223"/>
      <c r="S47" s="223"/>
      <c r="T47" s="223">
        <f>прил4!G1603</f>
        <v>1746316.48</v>
      </c>
      <c r="V47" s="223"/>
    </row>
    <row r="48" spans="1:22" s="33" customFormat="1" ht="27.75" customHeight="1">
      <c r="A48" s="82" t="s">
        <v>182</v>
      </c>
      <c r="B48" s="14">
        <v>793</v>
      </c>
      <c r="C48" s="15" t="s">
        <v>18</v>
      </c>
      <c r="D48" s="15" t="s">
        <v>22</v>
      </c>
      <c r="E48" s="15" t="s">
        <v>369</v>
      </c>
      <c r="F48" s="15"/>
      <c r="G48" s="87">
        <f t="shared" ref="G48:I49" si="4">G49</f>
        <v>891092</v>
      </c>
      <c r="H48" s="87">
        <f t="shared" si="4"/>
        <v>500000</v>
      </c>
      <c r="I48" s="87">
        <f t="shared" si="4"/>
        <v>500000</v>
      </c>
      <c r="J48" s="113"/>
      <c r="P48" s="113"/>
      <c r="Q48" s="113"/>
      <c r="R48" s="113"/>
      <c r="S48" s="113"/>
      <c r="T48" s="113"/>
    </row>
    <row r="49" spans="1:20" s="33" customFormat="1" ht="28.5" customHeight="1">
      <c r="A49" s="82" t="s">
        <v>29</v>
      </c>
      <c r="B49" s="14">
        <v>793</v>
      </c>
      <c r="C49" s="15" t="s">
        <v>18</v>
      </c>
      <c r="D49" s="15" t="s">
        <v>22</v>
      </c>
      <c r="E49" s="15" t="s">
        <v>369</v>
      </c>
      <c r="F49" s="15" t="s">
        <v>30</v>
      </c>
      <c r="G49" s="87">
        <f t="shared" si="4"/>
        <v>891092</v>
      </c>
      <c r="H49" s="87">
        <f t="shared" si="4"/>
        <v>500000</v>
      </c>
      <c r="I49" s="87">
        <f t="shared" si="4"/>
        <v>500000</v>
      </c>
      <c r="J49" s="113"/>
      <c r="P49" s="113"/>
      <c r="Q49" s="113"/>
      <c r="R49" s="113"/>
      <c r="S49" s="113"/>
      <c r="T49" s="113"/>
    </row>
    <row r="50" spans="1:20" s="33" customFormat="1" ht="31.5" customHeight="1">
      <c r="A50" s="82" t="s">
        <v>8</v>
      </c>
      <c r="B50" s="14">
        <v>793</v>
      </c>
      <c r="C50" s="15" t="s">
        <v>18</v>
      </c>
      <c r="D50" s="15" t="s">
        <v>22</v>
      </c>
      <c r="E50" s="15" t="s">
        <v>369</v>
      </c>
      <c r="F50" s="15" t="s">
        <v>7</v>
      </c>
      <c r="G50" s="87">
        <f>прил4!G1606</f>
        <v>891092</v>
      </c>
      <c r="H50" s="87">
        <f>прил4!H1606</f>
        <v>500000</v>
      </c>
      <c r="I50" s="87">
        <f>прил4!I1606</f>
        <v>500000</v>
      </c>
      <c r="J50" s="113"/>
      <c r="P50" s="113"/>
      <c r="Q50" s="113"/>
      <c r="R50" s="113"/>
      <c r="S50" s="113"/>
      <c r="T50" s="113"/>
    </row>
    <row r="51" spans="1:20" ht="26.4">
      <c r="A51" s="139" t="s">
        <v>420</v>
      </c>
      <c r="B51" s="14">
        <v>793</v>
      </c>
      <c r="C51" s="15" t="s">
        <v>18</v>
      </c>
      <c r="D51" s="15" t="s">
        <v>22</v>
      </c>
      <c r="E51" s="15" t="s">
        <v>370</v>
      </c>
      <c r="F51" s="15"/>
      <c r="G51" s="87">
        <f>G58+G54+G56</f>
        <v>2365086.63</v>
      </c>
      <c r="H51" s="87">
        <f t="shared" ref="H51:I51" si="5">H58</f>
        <v>2073654.1500000001</v>
      </c>
      <c r="I51" s="87">
        <f t="shared" si="5"/>
        <v>1232983.55</v>
      </c>
      <c r="J51" s="2">
        <v>70000</v>
      </c>
    </row>
    <row r="52" spans="1:20" ht="25.5" hidden="1" customHeight="1">
      <c r="A52" s="82" t="s">
        <v>152</v>
      </c>
      <c r="B52" s="14">
        <v>793</v>
      </c>
      <c r="C52" s="15" t="s">
        <v>18</v>
      </c>
      <c r="D52" s="15" t="s">
        <v>22</v>
      </c>
      <c r="E52" s="15" t="s">
        <v>370</v>
      </c>
      <c r="F52" s="15" t="s">
        <v>153</v>
      </c>
      <c r="G52" s="70">
        <f>G53</f>
        <v>0</v>
      </c>
      <c r="H52" s="70">
        <f t="shared" ref="H52:I52" si="6">H53</f>
        <v>0</v>
      </c>
      <c r="I52" s="70">
        <f t="shared" si="6"/>
        <v>0</v>
      </c>
      <c r="J52" s="2">
        <v>35000</v>
      </c>
    </row>
    <row r="53" spans="1:20" ht="25.5" hidden="1" customHeight="1">
      <c r="A53" s="82" t="s">
        <v>164</v>
      </c>
      <c r="B53" s="14">
        <v>793</v>
      </c>
      <c r="C53" s="15" t="s">
        <v>18</v>
      </c>
      <c r="D53" s="15" t="s">
        <v>22</v>
      </c>
      <c r="E53" s="15" t="s">
        <v>370</v>
      </c>
      <c r="F53" s="15" t="s">
        <v>165</v>
      </c>
      <c r="G53" s="70"/>
      <c r="H53" s="103">
        <v>0</v>
      </c>
      <c r="I53" s="103">
        <v>0</v>
      </c>
      <c r="J53" s="2">
        <v>500000</v>
      </c>
    </row>
    <row r="54" spans="1:20" ht="25.5" hidden="1" customHeight="1">
      <c r="A54" s="82" t="s">
        <v>152</v>
      </c>
      <c r="B54" s="14">
        <v>793</v>
      </c>
      <c r="C54" s="15" t="s">
        <v>18</v>
      </c>
      <c r="D54" s="15" t="s">
        <v>22</v>
      </c>
      <c r="E54" s="15" t="s">
        <v>370</v>
      </c>
      <c r="F54" s="15" t="s">
        <v>153</v>
      </c>
      <c r="G54" s="70"/>
      <c r="H54" s="70"/>
      <c r="I54" s="70"/>
      <c r="J54" s="2">
        <v>35000</v>
      </c>
    </row>
    <row r="55" spans="1:20" ht="25.5" hidden="1" customHeight="1">
      <c r="A55" s="82" t="s">
        <v>172</v>
      </c>
      <c r="B55" s="14">
        <v>793</v>
      </c>
      <c r="C55" s="15" t="s">
        <v>18</v>
      </c>
      <c r="D55" s="15" t="s">
        <v>22</v>
      </c>
      <c r="E55" s="15" t="s">
        <v>370</v>
      </c>
      <c r="F55" s="15" t="s">
        <v>173</v>
      </c>
      <c r="G55" s="70">
        <f>прил4!G1609</f>
        <v>0</v>
      </c>
      <c r="H55" s="103">
        <f>прил4!H1609</f>
        <v>0</v>
      </c>
      <c r="I55" s="103">
        <f>прил4!I1609</f>
        <v>0</v>
      </c>
      <c r="J55" s="2">
        <v>500000</v>
      </c>
    </row>
    <row r="56" spans="1:20" ht="22.5" customHeight="1">
      <c r="A56" s="16" t="s">
        <v>316</v>
      </c>
      <c r="B56" s="14">
        <v>793</v>
      </c>
      <c r="C56" s="15" t="s">
        <v>18</v>
      </c>
      <c r="D56" s="15" t="s">
        <v>22</v>
      </c>
      <c r="E56" s="15" t="s">
        <v>370</v>
      </c>
      <c r="F56" s="15" t="s">
        <v>36</v>
      </c>
      <c r="G56" s="70">
        <f>G57</f>
        <v>2365086.63</v>
      </c>
      <c r="H56" s="70">
        <f t="shared" ref="H56:I56" si="7">H57</f>
        <v>0</v>
      </c>
      <c r="I56" s="70">
        <f t="shared" si="7"/>
        <v>0</v>
      </c>
      <c r="J56" s="172"/>
      <c r="K56" s="69"/>
      <c r="L56" s="69"/>
      <c r="M56" s="69"/>
      <c r="N56" s="69"/>
      <c r="O56" s="69"/>
      <c r="P56" s="69"/>
      <c r="Q56" s="69"/>
      <c r="R56" s="69"/>
      <c r="S56" s="1"/>
      <c r="T56" s="1"/>
    </row>
    <row r="57" spans="1:20" ht="28.5" customHeight="1">
      <c r="A57" s="16" t="s">
        <v>37</v>
      </c>
      <c r="B57" s="14">
        <v>793</v>
      </c>
      <c r="C57" s="15" t="s">
        <v>18</v>
      </c>
      <c r="D57" s="15" t="s">
        <v>22</v>
      </c>
      <c r="E57" s="15" t="s">
        <v>370</v>
      </c>
      <c r="F57" s="15" t="s">
        <v>38</v>
      </c>
      <c r="G57" s="70">
        <f>прил4!G2411</f>
        <v>2365086.63</v>
      </c>
      <c r="H57" s="70"/>
      <c r="I57" s="70"/>
      <c r="J57" s="172"/>
      <c r="K57" s="69"/>
      <c r="L57" s="69"/>
      <c r="M57" s="69"/>
      <c r="N57" s="69"/>
      <c r="O57" s="69"/>
      <c r="P57" s="69"/>
      <c r="Q57" s="69"/>
      <c r="R57" s="69"/>
      <c r="S57" s="1"/>
      <c r="T57" s="1"/>
    </row>
    <row r="58" spans="1:20" ht="16.5" customHeight="1">
      <c r="A58" s="82" t="s">
        <v>62</v>
      </c>
      <c r="B58" s="14">
        <v>793</v>
      </c>
      <c r="C58" s="15" t="s">
        <v>18</v>
      </c>
      <c r="D58" s="15" t="s">
        <v>22</v>
      </c>
      <c r="E58" s="15" t="s">
        <v>370</v>
      </c>
      <c r="F58" s="15" t="s">
        <v>63</v>
      </c>
      <c r="G58" s="70">
        <f>G59</f>
        <v>0</v>
      </c>
      <c r="H58" s="70">
        <f t="shared" ref="H58:I58" si="8">H59</f>
        <v>2073654.1500000001</v>
      </c>
      <c r="I58" s="70">
        <f t="shared" si="8"/>
        <v>1232983.55</v>
      </c>
      <c r="J58" s="1"/>
    </row>
    <row r="59" spans="1:20" ht="17.25" customHeight="1">
      <c r="A59" s="82" t="s">
        <v>174</v>
      </c>
      <c r="B59" s="14">
        <v>793</v>
      </c>
      <c r="C59" s="15" t="s">
        <v>18</v>
      </c>
      <c r="D59" s="15" t="s">
        <v>22</v>
      </c>
      <c r="E59" s="15" t="s">
        <v>370</v>
      </c>
      <c r="F59" s="15" t="s">
        <v>175</v>
      </c>
      <c r="G59" s="70">
        <f>прил4!G1611</f>
        <v>0</v>
      </c>
      <c r="H59" s="70">
        <f>прил4!H1611</f>
        <v>2073654.1500000001</v>
      </c>
      <c r="I59" s="70">
        <f>прил4!I1611</f>
        <v>1232983.55</v>
      </c>
      <c r="J59" s="1"/>
    </row>
    <row r="60" spans="1:20" ht="27.75" hidden="1" customHeight="1">
      <c r="A60" s="339" t="s">
        <v>868</v>
      </c>
      <c r="B60" s="14">
        <v>793</v>
      </c>
      <c r="C60" s="15" t="s">
        <v>18</v>
      </c>
      <c r="D60" s="15" t="s">
        <v>22</v>
      </c>
      <c r="E60" s="15" t="s">
        <v>831</v>
      </c>
      <c r="F60" s="15"/>
      <c r="G60" s="70">
        <f>G61+G63</f>
        <v>0</v>
      </c>
      <c r="H60" s="70">
        <f t="shared" ref="H60:I60" si="9">H61+H63</f>
        <v>0</v>
      </c>
      <c r="I60" s="70">
        <f t="shared" si="9"/>
        <v>0</v>
      </c>
      <c r="J60" s="1"/>
    </row>
    <row r="61" spans="1:20" ht="19.5" hidden="1" customHeight="1">
      <c r="A61" s="82" t="s">
        <v>152</v>
      </c>
      <c r="B61" s="14">
        <v>793</v>
      </c>
      <c r="C61" s="15" t="s">
        <v>18</v>
      </c>
      <c r="D61" s="15" t="s">
        <v>22</v>
      </c>
      <c r="E61" s="15" t="s">
        <v>370</v>
      </c>
      <c r="F61" s="15" t="s">
        <v>153</v>
      </c>
      <c r="G61" s="70">
        <f>G62</f>
        <v>0</v>
      </c>
      <c r="H61" s="70">
        <f t="shared" ref="H61:I63" si="10">H62</f>
        <v>0</v>
      </c>
      <c r="I61" s="70">
        <f t="shared" si="10"/>
        <v>0</v>
      </c>
      <c r="J61" s="1"/>
    </row>
    <row r="62" spans="1:20" ht="12" hidden="1" customHeight="1">
      <c r="A62" s="82" t="s">
        <v>172</v>
      </c>
      <c r="B62" s="14">
        <v>793</v>
      </c>
      <c r="C62" s="15" t="s">
        <v>18</v>
      </c>
      <c r="D62" s="15" t="s">
        <v>22</v>
      </c>
      <c r="E62" s="15" t="s">
        <v>370</v>
      </c>
      <c r="F62" s="15" t="s">
        <v>173</v>
      </c>
      <c r="G62" s="70"/>
      <c r="H62" s="70"/>
      <c r="I62" s="70"/>
      <c r="J62" s="1"/>
    </row>
    <row r="63" spans="1:20" ht="16.5" hidden="1" customHeight="1">
      <c r="A63" s="82" t="s">
        <v>62</v>
      </c>
      <c r="B63" s="14">
        <v>793</v>
      </c>
      <c r="C63" s="15" t="s">
        <v>18</v>
      </c>
      <c r="D63" s="15" t="s">
        <v>22</v>
      </c>
      <c r="E63" s="15" t="s">
        <v>831</v>
      </c>
      <c r="F63" s="15" t="s">
        <v>63</v>
      </c>
      <c r="G63" s="70">
        <f>G64</f>
        <v>0</v>
      </c>
      <c r="H63" s="70">
        <f t="shared" si="10"/>
        <v>0</v>
      </c>
      <c r="I63" s="70">
        <f t="shared" si="10"/>
        <v>0</v>
      </c>
      <c r="J63" s="1"/>
    </row>
    <row r="64" spans="1:20" ht="17.25" hidden="1" customHeight="1">
      <c r="A64" s="82" t="s">
        <v>174</v>
      </c>
      <c r="B64" s="14">
        <v>793</v>
      </c>
      <c r="C64" s="15" t="s">
        <v>18</v>
      </c>
      <c r="D64" s="15" t="s">
        <v>22</v>
      </c>
      <c r="E64" s="15" t="s">
        <v>831</v>
      </c>
      <c r="F64" s="15" t="s">
        <v>175</v>
      </c>
      <c r="G64" s="70">
        <f>прил4!G1616</f>
        <v>0</v>
      </c>
      <c r="H64" s="70">
        <f>прил4!H1616</f>
        <v>0</v>
      </c>
      <c r="I64" s="70">
        <f>прил4!I1616</f>
        <v>0</v>
      </c>
      <c r="J64" s="1"/>
    </row>
    <row r="65" spans="1:20" ht="40.5" customHeight="1">
      <c r="A65" s="16" t="s">
        <v>1343</v>
      </c>
      <c r="B65" s="14">
        <v>793</v>
      </c>
      <c r="C65" s="15" t="s">
        <v>18</v>
      </c>
      <c r="D65" s="15" t="s">
        <v>22</v>
      </c>
      <c r="E65" s="15" t="s">
        <v>1339</v>
      </c>
      <c r="F65" s="15"/>
      <c r="G65" s="70">
        <f>G66</f>
        <v>858423.78</v>
      </c>
      <c r="H65" s="70">
        <f t="shared" ref="H65:I65" si="11">H66</f>
        <v>0</v>
      </c>
      <c r="I65" s="70">
        <f t="shared" si="11"/>
        <v>0</v>
      </c>
      <c r="J65" s="172"/>
      <c r="K65" s="69"/>
      <c r="L65" s="69"/>
      <c r="M65" s="69"/>
      <c r="N65" s="69"/>
      <c r="O65" s="69"/>
      <c r="P65" s="69"/>
      <c r="Q65" s="69"/>
      <c r="R65" s="69"/>
      <c r="S65" s="1"/>
      <c r="T65" s="1"/>
    </row>
    <row r="66" spans="1:20" ht="25.5" customHeight="1">
      <c r="A66" s="16" t="s">
        <v>316</v>
      </c>
      <c r="B66" s="14">
        <v>793</v>
      </c>
      <c r="C66" s="15" t="s">
        <v>18</v>
      </c>
      <c r="D66" s="15" t="s">
        <v>22</v>
      </c>
      <c r="E66" s="15" t="s">
        <v>1339</v>
      </c>
      <c r="F66" s="15" t="s">
        <v>36</v>
      </c>
      <c r="G66" s="70">
        <f>G67</f>
        <v>858423.78</v>
      </c>
      <c r="H66" s="70">
        <f>H67</f>
        <v>0</v>
      </c>
      <c r="I66" s="70">
        <f>I67</f>
        <v>0</v>
      </c>
      <c r="J66" s="172"/>
      <c r="K66" s="69"/>
      <c r="L66" s="69"/>
      <c r="M66" s="69"/>
      <c r="N66" s="69"/>
      <c r="O66" s="69"/>
      <c r="P66" s="69"/>
      <c r="Q66" s="69"/>
      <c r="R66" s="69"/>
      <c r="S66" s="1"/>
      <c r="T66" s="1"/>
    </row>
    <row r="67" spans="1:20" ht="25.5" customHeight="1">
      <c r="A67" s="16" t="s">
        <v>37</v>
      </c>
      <c r="B67" s="14">
        <v>793</v>
      </c>
      <c r="C67" s="15" t="s">
        <v>18</v>
      </c>
      <c r="D67" s="15" t="s">
        <v>22</v>
      </c>
      <c r="E67" s="15" t="s">
        <v>1339</v>
      </c>
      <c r="F67" s="15" t="s">
        <v>38</v>
      </c>
      <c r="G67" s="70">
        <f>прил4!G2414</f>
        <v>858423.78</v>
      </c>
      <c r="H67" s="70"/>
      <c r="I67" s="70"/>
      <c r="J67" s="172"/>
      <c r="K67" s="69"/>
      <c r="L67" s="69"/>
      <c r="M67" s="69"/>
      <c r="N67" s="69"/>
      <c r="O67" s="69"/>
      <c r="P67" s="69"/>
      <c r="Q67" s="69"/>
      <c r="R67" s="69"/>
      <c r="S67" s="1"/>
      <c r="T67" s="1"/>
    </row>
    <row r="68" spans="1:20" ht="40.5" customHeight="1">
      <c r="A68" s="16" t="s">
        <v>1344</v>
      </c>
      <c r="B68" s="14">
        <v>793</v>
      </c>
      <c r="C68" s="15" t="s">
        <v>18</v>
      </c>
      <c r="D68" s="15" t="s">
        <v>22</v>
      </c>
      <c r="E68" s="15" t="s">
        <v>1340</v>
      </c>
      <c r="F68" s="15"/>
      <c r="G68" s="70">
        <f>G69</f>
        <v>45500</v>
      </c>
      <c r="H68" s="70">
        <f t="shared" ref="H68:I68" si="12">H69</f>
        <v>0</v>
      </c>
      <c r="I68" s="70">
        <f t="shared" si="12"/>
        <v>0</v>
      </c>
      <c r="J68" s="172"/>
      <c r="K68" s="69"/>
      <c r="L68" s="69"/>
      <c r="M68" s="69"/>
      <c r="N68" s="69"/>
      <c r="O68" s="69"/>
      <c r="P68" s="69"/>
      <c r="Q68" s="69"/>
      <c r="R68" s="69"/>
      <c r="S68" s="1"/>
      <c r="T68" s="1"/>
    </row>
    <row r="69" spans="1:20" ht="25.5" customHeight="1">
      <c r="A69" s="16" t="s">
        <v>316</v>
      </c>
      <c r="B69" s="14">
        <v>793</v>
      </c>
      <c r="C69" s="15" t="s">
        <v>18</v>
      </c>
      <c r="D69" s="15" t="s">
        <v>22</v>
      </c>
      <c r="E69" s="15" t="s">
        <v>1340</v>
      </c>
      <c r="F69" s="15" t="s">
        <v>36</v>
      </c>
      <c r="G69" s="70">
        <f>G70</f>
        <v>45500</v>
      </c>
      <c r="H69" s="70">
        <f>H70</f>
        <v>0</v>
      </c>
      <c r="I69" s="70">
        <f>I70</f>
        <v>0</v>
      </c>
      <c r="J69" s="172"/>
      <c r="K69" s="69"/>
      <c r="L69" s="69"/>
      <c r="M69" s="69"/>
      <c r="N69" s="69"/>
      <c r="O69" s="69"/>
      <c r="P69" s="69"/>
      <c r="Q69" s="69"/>
      <c r="R69" s="69"/>
      <c r="S69" s="1"/>
      <c r="T69" s="1"/>
    </row>
    <row r="70" spans="1:20" ht="25.5" customHeight="1">
      <c r="A70" s="16" t="s">
        <v>37</v>
      </c>
      <c r="B70" s="14">
        <v>793</v>
      </c>
      <c r="C70" s="15" t="s">
        <v>18</v>
      </c>
      <c r="D70" s="15" t="s">
        <v>22</v>
      </c>
      <c r="E70" s="15" t="s">
        <v>1340</v>
      </c>
      <c r="F70" s="15" t="s">
        <v>38</v>
      </c>
      <c r="G70" s="70">
        <f>прил4!G2417</f>
        <v>45500</v>
      </c>
      <c r="H70" s="70"/>
      <c r="I70" s="70"/>
      <c r="J70" s="172"/>
      <c r="K70" s="69"/>
      <c r="L70" s="69"/>
      <c r="M70" s="69"/>
      <c r="N70" s="69"/>
      <c r="O70" s="69"/>
      <c r="P70" s="69"/>
      <c r="Q70" s="69"/>
      <c r="R70" s="69"/>
      <c r="S70" s="1"/>
      <c r="T70" s="1"/>
    </row>
    <row r="71" spans="1:20" ht="40.5" customHeight="1">
      <c r="A71" s="16" t="s">
        <v>1381</v>
      </c>
      <c r="B71" s="14">
        <v>793</v>
      </c>
      <c r="C71" s="84" t="s">
        <v>43</v>
      </c>
      <c r="D71" s="84" t="s">
        <v>18</v>
      </c>
      <c r="E71" s="15" t="s">
        <v>1341</v>
      </c>
      <c r="F71" s="15"/>
      <c r="G71" s="70">
        <f>G72</f>
        <v>354286.35</v>
      </c>
      <c r="H71" s="70">
        <f t="shared" ref="H71:I71" si="13">H72</f>
        <v>0</v>
      </c>
      <c r="I71" s="70">
        <f t="shared" si="13"/>
        <v>0</v>
      </c>
      <c r="J71" s="172"/>
      <c r="K71" s="69"/>
      <c r="L71" s="69"/>
      <c r="M71" s="69"/>
      <c r="N71" s="69"/>
      <c r="O71" s="69"/>
      <c r="P71" s="69"/>
      <c r="Q71" s="69"/>
      <c r="R71" s="69"/>
      <c r="S71" s="1"/>
      <c r="T71" s="1"/>
    </row>
    <row r="72" spans="1:20" ht="25.5" customHeight="1">
      <c r="A72" s="16" t="s">
        <v>316</v>
      </c>
      <c r="B72" s="14">
        <v>793</v>
      </c>
      <c r="C72" s="84" t="s">
        <v>43</v>
      </c>
      <c r="D72" s="84" t="s">
        <v>18</v>
      </c>
      <c r="E72" s="15" t="s">
        <v>1341</v>
      </c>
      <c r="F72" s="15" t="s">
        <v>36</v>
      </c>
      <c r="G72" s="70">
        <f>G73</f>
        <v>354286.35</v>
      </c>
      <c r="H72" s="70">
        <f>H73</f>
        <v>0</v>
      </c>
      <c r="I72" s="70">
        <f>I73</f>
        <v>0</v>
      </c>
      <c r="J72" s="172"/>
      <c r="K72" s="69"/>
      <c r="L72" s="69"/>
      <c r="M72" s="69"/>
      <c r="N72" s="69"/>
      <c r="O72" s="69"/>
      <c r="P72" s="69"/>
      <c r="Q72" s="69"/>
      <c r="R72" s="69"/>
      <c r="S72" s="1"/>
      <c r="T72" s="1"/>
    </row>
    <row r="73" spans="1:20" ht="25.5" customHeight="1">
      <c r="A73" s="16" t="s">
        <v>37</v>
      </c>
      <c r="B73" s="14">
        <v>793</v>
      </c>
      <c r="C73" s="84" t="s">
        <v>43</v>
      </c>
      <c r="D73" s="84" t="s">
        <v>18</v>
      </c>
      <c r="E73" s="15" t="s">
        <v>1341</v>
      </c>
      <c r="F73" s="15" t="s">
        <v>38</v>
      </c>
      <c r="G73" s="70">
        <f>прил4!G2705</f>
        <v>354286.35</v>
      </c>
      <c r="H73" s="70"/>
      <c r="I73" s="70"/>
      <c r="J73" s="172"/>
      <c r="K73" s="69"/>
      <c r="L73" s="69"/>
      <c r="M73" s="69"/>
      <c r="N73" s="69"/>
      <c r="O73" s="69"/>
      <c r="P73" s="69"/>
      <c r="Q73" s="69"/>
      <c r="R73" s="69"/>
      <c r="S73" s="1"/>
      <c r="T73" s="1"/>
    </row>
    <row r="74" spans="1:20" ht="40.5" customHeight="1">
      <c r="A74" s="16" t="s">
        <v>1345</v>
      </c>
      <c r="B74" s="14">
        <v>793</v>
      </c>
      <c r="C74" s="84" t="s">
        <v>43</v>
      </c>
      <c r="D74" s="84" t="s">
        <v>18</v>
      </c>
      <c r="E74" s="15" t="s">
        <v>1342</v>
      </c>
      <c r="F74" s="15"/>
      <c r="G74" s="70">
        <f>G75</f>
        <v>18646.650000000001</v>
      </c>
      <c r="H74" s="70">
        <f t="shared" ref="H74:I74" si="14">H75</f>
        <v>0</v>
      </c>
      <c r="I74" s="70">
        <f t="shared" si="14"/>
        <v>0</v>
      </c>
      <c r="J74" s="172"/>
      <c r="K74" s="69"/>
      <c r="L74" s="69"/>
      <c r="M74" s="69"/>
      <c r="N74" s="69"/>
      <c r="O74" s="69"/>
      <c r="P74" s="69"/>
      <c r="Q74" s="69"/>
      <c r="R74" s="69"/>
      <c r="S74" s="1"/>
      <c r="T74" s="1"/>
    </row>
    <row r="75" spans="1:20" ht="25.5" customHeight="1">
      <c r="A75" s="16" t="s">
        <v>316</v>
      </c>
      <c r="B75" s="14">
        <v>793</v>
      </c>
      <c r="C75" s="84" t="s">
        <v>43</v>
      </c>
      <c r="D75" s="84" t="s">
        <v>18</v>
      </c>
      <c r="E75" s="15" t="s">
        <v>1342</v>
      </c>
      <c r="F75" s="15" t="s">
        <v>36</v>
      </c>
      <c r="G75" s="70">
        <f>G76</f>
        <v>18646.650000000001</v>
      </c>
      <c r="H75" s="70">
        <f>H76</f>
        <v>0</v>
      </c>
      <c r="I75" s="70">
        <f>I76</f>
        <v>0</v>
      </c>
      <c r="J75" s="172"/>
      <c r="K75" s="69"/>
      <c r="L75" s="69"/>
      <c r="M75" s="69"/>
      <c r="N75" s="69"/>
      <c r="O75" s="69"/>
      <c r="P75" s="69"/>
      <c r="Q75" s="69"/>
      <c r="R75" s="69"/>
      <c r="S75" s="1"/>
      <c r="T75" s="1"/>
    </row>
    <row r="76" spans="1:20" ht="25.5" customHeight="1">
      <c r="A76" s="16" t="s">
        <v>37</v>
      </c>
      <c r="B76" s="14">
        <v>793</v>
      </c>
      <c r="C76" s="84" t="s">
        <v>43</v>
      </c>
      <c r="D76" s="84" t="s">
        <v>18</v>
      </c>
      <c r="E76" s="15" t="s">
        <v>1342</v>
      </c>
      <c r="F76" s="15" t="s">
        <v>38</v>
      </c>
      <c r="G76" s="70">
        <f>прил4!G2708</f>
        <v>18646.650000000001</v>
      </c>
      <c r="H76" s="70"/>
      <c r="I76" s="70"/>
      <c r="J76" s="172"/>
      <c r="K76" s="69"/>
      <c r="L76" s="69"/>
      <c r="M76" s="69"/>
      <c r="N76" s="69"/>
      <c r="O76" s="69"/>
      <c r="P76" s="69"/>
      <c r="Q76" s="69"/>
      <c r="R76" s="69"/>
      <c r="S76" s="1"/>
      <c r="T76" s="1"/>
    </row>
    <row r="77" spans="1:20" s="28" customFormat="1" ht="45" customHeight="1">
      <c r="A77" s="37" t="s">
        <v>1348</v>
      </c>
      <c r="B77" s="14">
        <v>793</v>
      </c>
      <c r="C77" s="15" t="s">
        <v>71</v>
      </c>
      <c r="D77" s="15" t="s">
        <v>27</v>
      </c>
      <c r="E77" s="15" t="s">
        <v>1346</v>
      </c>
      <c r="F77" s="15"/>
      <c r="G77" s="70">
        <f>G78</f>
        <v>1045000.4</v>
      </c>
      <c r="H77" s="70">
        <f t="shared" ref="H77:I77" si="15">H78</f>
        <v>0</v>
      </c>
      <c r="I77" s="70">
        <f t="shared" si="15"/>
        <v>0</v>
      </c>
      <c r="J77" s="172"/>
      <c r="K77" s="313"/>
      <c r="L77" s="313"/>
      <c r="M77" s="313"/>
      <c r="N77" s="313"/>
      <c r="O77" s="313"/>
      <c r="P77" s="313"/>
      <c r="Q77" s="313"/>
      <c r="R77" s="313"/>
    </row>
    <row r="78" spans="1:20" s="32" customFormat="1" ht="28.5" customHeight="1">
      <c r="A78" s="16" t="s">
        <v>35</v>
      </c>
      <c r="B78" s="14">
        <v>793</v>
      </c>
      <c r="C78" s="15" t="s">
        <v>71</v>
      </c>
      <c r="D78" s="15" t="s">
        <v>27</v>
      </c>
      <c r="E78" s="15" t="s">
        <v>1346</v>
      </c>
      <c r="F78" s="15" t="s">
        <v>36</v>
      </c>
      <c r="G78" s="70">
        <f>G79</f>
        <v>1045000.4</v>
      </c>
      <c r="H78" s="70">
        <f>H79</f>
        <v>0</v>
      </c>
      <c r="I78" s="70">
        <f>I79</f>
        <v>0</v>
      </c>
      <c r="J78" s="172"/>
      <c r="K78" s="336"/>
      <c r="L78" s="336"/>
      <c r="M78" s="336"/>
      <c r="N78" s="336"/>
      <c r="O78" s="336"/>
      <c r="P78" s="336"/>
      <c r="Q78" s="336"/>
      <c r="R78" s="336"/>
    </row>
    <row r="79" spans="1:20" s="32" customFormat="1" ht="26.4">
      <c r="A79" s="16" t="s">
        <v>37</v>
      </c>
      <c r="B79" s="14">
        <v>793</v>
      </c>
      <c r="C79" s="15" t="s">
        <v>71</v>
      </c>
      <c r="D79" s="15" t="s">
        <v>27</v>
      </c>
      <c r="E79" s="15" t="s">
        <v>1346</v>
      </c>
      <c r="F79" s="15" t="s">
        <v>38</v>
      </c>
      <c r="G79" s="70">
        <f>прил4!G2825</f>
        <v>1045000.4</v>
      </c>
      <c r="H79" s="70"/>
      <c r="I79" s="70"/>
      <c r="J79" s="172"/>
      <c r="K79" s="338"/>
      <c r="L79" s="336"/>
      <c r="M79" s="336"/>
      <c r="N79" s="336"/>
      <c r="O79" s="336"/>
      <c r="P79" s="336"/>
      <c r="Q79" s="336"/>
      <c r="R79" s="336"/>
    </row>
    <row r="80" spans="1:20" s="28" customFormat="1" ht="45" customHeight="1">
      <c r="A80" s="37" t="s">
        <v>1347</v>
      </c>
      <c r="B80" s="14">
        <v>793</v>
      </c>
      <c r="C80" s="15" t="s">
        <v>71</v>
      </c>
      <c r="D80" s="15" t="s">
        <v>27</v>
      </c>
      <c r="E80" s="15" t="s">
        <v>1349</v>
      </c>
      <c r="F80" s="15"/>
      <c r="G80" s="70">
        <f>G81</f>
        <v>55000</v>
      </c>
      <c r="H80" s="70">
        <f t="shared" ref="H80:I80" si="16">H81</f>
        <v>0</v>
      </c>
      <c r="I80" s="70">
        <f t="shared" si="16"/>
        <v>0</v>
      </c>
      <c r="J80" s="172"/>
      <c r="K80" s="313"/>
      <c r="L80" s="313"/>
      <c r="M80" s="313"/>
      <c r="N80" s="313"/>
      <c r="O80" s="313"/>
      <c r="P80" s="313"/>
      <c r="Q80" s="313"/>
      <c r="R80" s="313"/>
    </row>
    <row r="81" spans="1:18" s="32" customFormat="1" ht="28.5" customHeight="1">
      <c r="A81" s="16" t="s">
        <v>35</v>
      </c>
      <c r="B81" s="14">
        <v>793</v>
      </c>
      <c r="C81" s="15" t="s">
        <v>71</v>
      </c>
      <c r="D81" s="15" t="s">
        <v>27</v>
      </c>
      <c r="E81" s="15" t="s">
        <v>1349</v>
      </c>
      <c r="F81" s="15" t="s">
        <v>36</v>
      </c>
      <c r="G81" s="70">
        <f>G82</f>
        <v>55000</v>
      </c>
      <c r="H81" s="70">
        <f>H82</f>
        <v>0</v>
      </c>
      <c r="I81" s="70">
        <f>I82</f>
        <v>0</v>
      </c>
      <c r="J81" s="172"/>
      <c r="K81" s="336"/>
      <c r="L81" s="336"/>
      <c r="M81" s="336"/>
      <c r="N81" s="336"/>
      <c r="O81" s="336"/>
      <c r="P81" s="336"/>
      <c r="Q81" s="336"/>
      <c r="R81" s="336"/>
    </row>
    <row r="82" spans="1:18" s="32" customFormat="1" ht="26.4">
      <c r="A82" s="16" t="s">
        <v>37</v>
      </c>
      <c r="B82" s="14">
        <v>793</v>
      </c>
      <c r="C82" s="15" t="s">
        <v>71</v>
      </c>
      <c r="D82" s="15" t="s">
        <v>27</v>
      </c>
      <c r="E82" s="15" t="s">
        <v>1349</v>
      </c>
      <c r="F82" s="15" t="s">
        <v>38</v>
      </c>
      <c r="G82" s="70">
        <f>прил4!G2828</f>
        <v>55000</v>
      </c>
      <c r="H82" s="70"/>
      <c r="I82" s="70"/>
      <c r="J82" s="172"/>
      <c r="K82" s="338"/>
      <c r="L82" s="336"/>
      <c r="M82" s="336"/>
      <c r="N82" s="336"/>
      <c r="O82" s="336"/>
      <c r="P82" s="336"/>
      <c r="Q82" s="336"/>
      <c r="R82" s="336"/>
    </row>
    <row r="83" spans="1:18" s="28" customFormat="1" ht="45" customHeight="1">
      <c r="A83" s="37" t="s">
        <v>1352</v>
      </c>
      <c r="B83" s="14">
        <v>793</v>
      </c>
      <c r="C83" s="15" t="s">
        <v>71</v>
      </c>
      <c r="D83" s="15" t="s">
        <v>27</v>
      </c>
      <c r="E83" s="15" t="s">
        <v>1350</v>
      </c>
      <c r="F83" s="15"/>
      <c r="G83" s="70">
        <f>G84</f>
        <v>1045000.4</v>
      </c>
      <c r="H83" s="70">
        <f t="shared" ref="H83:I83" si="17">H84</f>
        <v>0</v>
      </c>
      <c r="I83" s="70">
        <f t="shared" si="17"/>
        <v>0</v>
      </c>
      <c r="J83" s="172"/>
      <c r="K83" s="313"/>
      <c r="L83" s="313"/>
      <c r="M83" s="313"/>
      <c r="N83" s="313"/>
      <c r="O83" s="313"/>
      <c r="P83" s="313"/>
      <c r="Q83" s="313"/>
      <c r="R83" s="313"/>
    </row>
    <row r="84" spans="1:18" s="32" customFormat="1" ht="28.5" customHeight="1">
      <c r="A84" s="16" t="s">
        <v>35</v>
      </c>
      <c r="B84" s="14">
        <v>793</v>
      </c>
      <c r="C84" s="15" t="s">
        <v>71</v>
      </c>
      <c r="D84" s="15" t="s">
        <v>27</v>
      </c>
      <c r="E84" s="15" t="s">
        <v>1350</v>
      </c>
      <c r="F84" s="15" t="s">
        <v>36</v>
      </c>
      <c r="G84" s="70">
        <f>G85</f>
        <v>1045000.4</v>
      </c>
      <c r="H84" s="70">
        <f>H85</f>
        <v>0</v>
      </c>
      <c r="I84" s="70">
        <f>I85</f>
        <v>0</v>
      </c>
      <c r="J84" s="172"/>
      <c r="K84" s="336"/>
      <c r="L84" s="336"/>
      <c r="M84" s="336"/>
      <c r="N84" s="336"/>
      <c r="O84" s="336"/>
      <c r="P84" s="336"/>
      <c r="Q84" s="336"/>
      <c r="R84" s="336"/>
    </row>
    <row r="85" spans="1:18" s="32" customFormat="1" ht="26.4">
      <c r="A85" s="16" t="s">
        <v>37</v>
      </c>
      <c r="B85" s="14">
        <v>793</v>
      </c>
      <c r="C85" s="15" t="s">
        <v>71</v>
      </c>
      <c r="D85" s="15" t="s">
        <v>27</v>
      </c>
      <c r="E85" s="15" t="s">
        <v>1350</v>
      </c>
      <c r="F85" s="15" t="s">
        <v>38</v>
      </c>
      <c r="G85" s="70">
        <f>прил4!G2834</f>
        <v>1045000.4</v>
      </c>
      <c r="H85" s="70"/>
      <c r="I85" s="70"/>
      <c r="J85" s="172"/>
      <c r="K85" s="338"/>
      <c r="L85" s="336"/>
      <c r="M85" s="336"/>
      <c r="N85" s="336"/>
      <c r="O85" s="336"/>
      <c r="P85" s="336"/>
      <c r="Q85" s="336"/>
      <c r="R85" s="336"/>
    </row>
    <row r="86" spans="1:18" s="28" customFormat="1" ht="57" customHeight="1">
      <c r="A86" s="37" t="s">
        <v>1353</v>
      </c>
      <c r="B86" s="14">
        <v>793</v>
      </c>
      <c r="C86" s="15" t="s">
        <v>71</v>
      </c>
      <c r="D86" s="15" t="s">
        <v>27</v>
      </c>
      <c r="E86" s="15" t="s">
        <v>1351</v>
      </c>
      <c r="F86" s="15"/>
      <c r="G86" s="70">
        <f>G87</f>
        <v>55000</v>
      </c>
      <c r="H86" s="70">
        <f t="shared" ref="H86:I86" si="18">H87</f>
        <v>0</v>
      </c>
      <c r="I86" s="70">
        <f t="shared" si="18"/>
        <v>0</v>
      </c>
      <c r="J86" s="172"/>
      <c r="K86" s="313"/>
      <c r="L86" s="313"/>
      <c r="M86" s="313"/>
      <c r="N86" s="313"/>
      <c r="O86" s="313"/>
      <c r="P86" s="313"/>
      <c r="Q86" s="313"/>
      <c r="R86" s="313"/>
    </row>
    <row r="87" spans="1:18" s="32" customFormat="1" ht="28.5" customHeight="1">
      <c r="A87" s="16" t="s">
        <v>35</v>
      </c>
      <c r="B87" s="14">
        <v>793</v>
      </c>
      <c r="C87" s="15" t="s">
        <v>71</v>
      </c>
      <c r="D87" s="15" t="s">
        <v>27</v>
      </c>
      <c r="E87" s="15" t="s">
        <v>1351</v>
      </c>
      <c r="F87" s="15" t="s">
        <v>36</v>
      </c>
      <c r="G87" s="70">
        <f>G88</f>
        <v>55000</v>
      </c>
      <c r="H87" s="70">
        <f>H88</f>
        <v>0</v>
      </c>
      <c r="I87" s="70">
        <f>I88</f>
        <v>0</v>
      </c>
      <c r="J87" s="172"/>
      <c r="K87" s="336"/>
      <c r="L87" s="336"/>
      <c r="M87" s="336"/>
      <c r="N87" s="336"/>
      <c r="O87" s="336"/>
      <c r="P87" s="336"/>
      <c r="Q87" s="336"/>
      <c r="R87" s="336"/>
    </row>
    <row r="88" spans="1:18" s="32" customFormat="1" ht="26.4">
      <c r="A88" s="16" t="s">
        <v>37</v>
      </c>
      <c r="B88" s="14">
        <v>793</v>
      </c>
      <c r="C88" s="15" t="s">
        <v>71</v>
      </c>
      <c r="D88" s="15" t="s">
        <v>27</v>
      </c>
      <c r="E88" s="15" t="s">
        <v>1351</v>
      </c>
      <c r="F88" s="15" t="s">
        <v>38</v>
      </c>
      <c r="G88" s="70">
        <f>прил4!G2837</f>
        <v>55000</v>
      </c>
      <c r="H88" s="70"/>
      <c r="I88" s="70"/>
      <c r="J88" s="172"/>
      <c r="K88" s="338"/>
      <c r="L88" s="336"/>
      <c r="M88" s="336"/>
      <c r="N88" s="336"/>
      <c r="O88" s="336"/>
      <c r="P88" s="336"/>
      <c r="Q88" s="336"/>
      <c r="R88" s="336"/>
    </row>
    <row r="89" spans="1:18" s="28" customFormat="1" ht="45" customHeight="1">
      <c r="A89" s="37" t="s">
        <v>1370</v>
      </c>
      <c r="B89" s="14">
        <v>793</v>
      </c>
      <c r="C89" s="15" t="s">
        <v>167</v>
      </c>
      <c r="D89" s="15" t="s">
        <v>69</v>
      </c>
      <c r="E89" s="15" t="s">
        <v>1354</v>
      </c>
      <c r="F89" s="15"/>
      <c r="G89" s="70">
        <f>G90</f>
        <v>1045000.4</v>
      </c>
      <c r="H89" s="70">
        <f t="shared" ref="H89:I89" si="19">H90</f>
        <v>0</v>
      </c>
      <c r="I89" s="70">
        <f t="shared" si="19"/>
        <v>0</v>
      </c>
      <c r="J89" s="172"/>
      <c r="K89" s="313"/>
      <c r="L89" s="313"/>
      <c r="M89" s="313"/>
      <c r="N89" s="313"/>
      <c r="O89" s="313"/>
      <c r="P89" s="313"/>
      <c r="Q89" s="313"/>
      <c r="R89" s="313"/>
    </row>
    <row r="90" spans="1:18" s="32" customFormat="1" ht="28.5" customHeight="1">
      <c r="A90" s="16" t="s">
        <v>35</v>
      </c>
      <c r="B90" s="14">
        <v>793</v>
      </c>
      <c r="C90" s="15" t="s">
        <v>167</v>
      </c>
      <c r="D90" s="15" t="s">
        <v>69</v>
      </c>
      <c r="E90" s="15" t="s">
        <v>1354</v>
      </c>
      <c r="F90" s="15" t="s">
        <v>36</v>
      </c>
      <c r="G90" s="70">
        <f>G91</f>
        <v>1045000.4</v>
      </c>
      <c r="H90" s="70">
        <f>H91</f>
        <v>0</v>
      </c>
      <c r="I90" s="70">
        <f>I91</f>
        <v>0</v>
      </c>
      <c r="J90" s="172"/>
      <c r="K90" s="336"/>
      <c r="L90" s="336"/>
      <c r="M90" s="336"/>
      <c r="N90" s="336"/>
      <c r="O90" s="336"/>
      <c r="P90" s="336"/>
      <c r="Q90" s="336"/>
      <c r="R90" s="336"/>
    </row>
    <row r="91" spans="1:18" s="32" customFormat="1" ht="26.4">
      <c r="A91" s="16" t="s">
        <v>37</v>
      </c>
      <c r="B91" s="14">
        <v>793</v>
      </c>
      <c r="C91" s="15" t="s">
        <v>167</v>
      </c>
      <c r="D91" s="15" t="s">
        <v>69</v>
      </c>
      <c r="E91" s="15" t="s">
        <v>1354</v>
      </c>
      <c r="F91" s="15" t="s">
        <v>38</v>
      </c>
      <c r="G91" s="70">
        <f>прил4!G2420</f>
        <v>1045000.4</v>
      </c>
      <c r="H91" s="70"/>
      <c r="I91" s="70"/>
      <c r="J91" s="172"/>
      <c r="K91" s="338"/>
      <c r="L91" s="336"/>
      <c r="M91" s="336"/>
      <c r="N91" s="336"/>
      <c r="O91" s="336"/>
      <c r="P91" s="336"/>
      <c r="Q91" s="336"/>
      <c r="R91" s="336"/>
    </row>
    <row r="92" spans="1:18" s="28" customFormat="1" ht="42.75" customHeight="1">
      <c r="A92" s="37" t="s">
        <v>1372</v>
      </c>
      <c r="B92" s="14">
        <v>793</v>
      </c>
      <c r="C92" s="15" t="s">
        <v>167</v>
      </c>
      <c r="D92" s="15" t="s">
        <v>69</v>
      </c>
      <c r="E92" s="15" t="s">
        <v>1355</v>
      </c>
      <c r="F92" s="15"/>
      <c r="G92" s="70">
        <f>G93</f>
        <v>55000</v>
      </c>
      <c r="H92" s="70">
        <f t="shared" ref="H92:I92" si="20">H93</f>
        <v>0</v>
      </c>
      <c r="I92" s="70">
        <f t="shared" si="20"/>
        <v>0</v>
      </c>
      <c r="J92" s="172"/>
      <c r="K92" s="313"/>
      <c r="L92" s="313"/>
      <c r="M92" s="313"/>
      <c r="N92" s="313"/>
      <c r="O92" s="313"/>
      <c r="P92" s="313"/>
      <c r="Q92" s="313"/>
      <c r="R92" s="313"/>
    </row>
    <row r="93" spans="1:18" s="32" customFormat="1" ht="28.5" customHeight="1">
      <c r="A93" s="16" t="s">
        <v>35</v>
      </c>
      <c r="B93" s="14">
        <v>793</v>
      </c>
      <c r="C93" s="15" t="s">
        <v>167</v>
      </c>
      <c r="D93" s="15" t="s">
        <v>69</v>
      </c>
      <c r="E93" s="15" t="s">
        <v>1355</v>
      </c>
      <c r="F93" s="15" t="s">
        <v>36</v>
      </c>
      <c r="G93" s="70">
        <f>G94</f>
        <v>55000</v>
      </c>
      <c r="H93" s="70">
        <f>H94</f>
        <v>0</v>
      </c>
      <c r="I93" s="70">
        <f>I94</f>
        <v>0</v>
      </c>
      <c r="J93" s="172"/>
      <c r="K93" s="336"/>
      <c r="L93" s="336"/>
      <c r="M93" s="336"/>
      <c r="N93" s="336"/>
      <c r="O93" s="336"/>
      <c r="P93" s="336"/>
      <c r="Q93" s="336"/>
      <c r="R93" s="336"/>
    </row>
    <row r="94" spans="1:18" s="32" customFormat="1" ht="26.4">
      <c r="A94" s="16" t="s">
        <v>37</v>
      </c>
      <c r="B94" s="14">
        <v>793</v>
      </c>
      <c r="C94" s="15" t="s">
        <v>167</v>
      </c>
      <c r="D94" s="15" t="s">
        <v>69</v>
      </c>
      <c r="E94" s="15" t="s">
        <v>1355</v>
      </c>
      <c r="F94" s="15" t="s">
        <v>38</v>
      </c>
      <c r="G94" s="70">
        <f>прил4!G2423</f>
        <v>55000</v>
      </c>
      <c r="H94" s="70"/>
      <c r="I94" s="70"/>
      <c r="J94" s="172"/>
      <c r="K94" s="338"/>
      <c r="L94" s="336"/>
      <c r="M94" s="336"/>
      <c r="N94" s="336"/>
      <c r="O94" s="336"/>
      <c r="P94" s="336"/>
      <c r="Q94" s="336"/>
      <c r="R94" s="336"/>
    </row>
    <row r="95" spans="1:18" s="28" customFormat="1" ht="45" customHeight="1">
      <c r="A95" s="37" t="s">
        <v>1358</v>
      </c>
      <c r="B95" s="14">
        <v>793</v>
      </c>
      <c r="C95" s="15" t="s">
        <v>53</v>
      </c>
      <c r="D95" s="15" t="s">
        <v>87</v>
      </c>
      <c r="E95" s="15" t="s">
        <v>1356</v>
      </c>
      <c r="F95" s="15"/>
      <c r="G95" s="70">
        <f>G96</f>
        <v>474050</v>
      </c>
      <c r="H95" s="70">
        <f t="shared" ref="H95:I95" si="21">H96</f>
        <v>0</v>
      </c>
      <c r="I95" s="70">
        <f t="shared" si="21"/>
        <v>0</v>
      </c>
      <c r="J95" s="172"/>
      <c r="K95" s="313"/>
      <c r="L95" s="313"/>
      <c r="M95" s="313"/>
      <c r="N95" s="313"/>
      <c r="O95" s="313"/>
      <c r="P95" s="313"/>
      <c r="Q95" s="313"/>
      <c r="R95" s="313"/>
    </row>
    <row r="96" spans="1:18" s="32" customFormat="1" ht="28.5" customHeight="1">
      <c r="A96" s="16" t="s">
        <v>35</v>
      </c>
      <c r="B96" s="14">
        <v>793</v>
      </c>
      <c r="C96" s="15" t="s">
        <v>53</v>
      </c>
      <c r="D96" s="15" t="s">
        <v>87</v>
      </c>
      <c r="E96" s="15" t="s">
        <v>1356</v>
      </c>
      <c r="F96" s="15" t="s">
        <v>36</v>
      </c>
      <c r="G96" s="70">
        <f>G97</f>
        <v>474050</v>
      </c>
      <c r="H96" s="70">
        <f>H97</f>
        <v>0</v>
      </c>
      <c r="I96" s="70">
        <f>I97</f>
        <v>0</v>
      </c>
      <c r="J96" s="172"/>
      <c r="K96" s="336"/>
      <c r="L96" s="336"/>
      <c r="M96" s="336"/>
      <c r="N96" s="336"/>
      <c r="O96" s="336"/>
      <c r="P96" s="336"/>
      <c r="Q96" s="336"/>
      <c r="R96" s="336"/>
    </row>
    <row r="97" spans="1:18" s="32" customFormat="1" ht="26.4">
      <c r="A97" s="16" t="s">
        <v>37</v>
      </c>
      <c r="B97" s="14">
        <v>793</v>
      </c>
      <c r="C97" s="15" t="s">
        <v>53</v>
      </c>
      <c r="D97" s="15" t="s">
        <v>87</v>
      </c>
      <c r="E97" s="15" t="s">
        <v>1356</v>
      </c>
      <c r="F97" s="15" t="s">
        <v>38</v>
      </c>
      <c r="G97" s="70">
        <f>прил4!G2020</f>
        <v>474050</v>
      </c>
      <c r="H97" s="70"/>
      <c r="I97" s="70"/>
      <c r="J97" s="172"/>
      <c r="K97" s="338"/>
      <c r="L97" s="336"/>
      <c r="M97" s="336"/>
      <c r="N97" s="336"/>
      <c r="O97" s="336"/>
      <c r="P97" s="336"/>
      <c r="Q97" s="336"/>
      <c r="R97" s="336"/>
    </row>
    <row r="98" spans="1:18" s="28" customFormat="1" ht="42" customHeight="1">
      <c r="A98" s="37" t="s">
        <v>1359</v>
      </c>
      <c r="B98" s="14">
        <v>793</v>
      </c>
      <c r="C98" s="15" t="s">
        <v>53</v>
      </c>
      <c r="D98" s="15" t="s">
        <v>87</v>
      </c>
      <c r="E98" s="15" t="s">
        <v>1357</v>
      </c>
      <c r="F98" s="15"/>
      <c r="G98" s="70">
        <f>G99</f>
        <v>24950</v>
      </c>
      <c r="H98" s="70">
        <f t="shared" ref="H98:I98" si="22">H99</f>
        <v>0</v>
      </c>
      <c r="I98" s="70">
        <f t="shared" si="22"/>
        <v>0</v>
      </c>
      <c r="J98" s="172"/>
      <c r="K98" s="313"/>
      <c r="L98" s="313"/>
      <c r="M98" s="313"/>
      <c r="N98" s="313"/>
      <c r="O98" s="313"/>
      <c r="P98" s="313"/>
      <c r="Q98" s="313"/>
      <c r="R98" s="313"/>
    </row>
    <row r="99" spans="1:18" s="32" customFormat="1" ht="28.5" customHeight="1">
      <c r="A99" s="16" t="s">
        <v>35</v>
      </c>
      <c r="B99" s="14">
        <v>793</v>
      </c>
      <c r="C99" s="15" t="s">
        <v>53</v>
      </c>
      <c r="D99" s="15" t="s">
        <v>87</v>
      </c>
      <c r="E99" s="15" t="s">
        <v>1357</v>
      </c>
      <c r="F99" s="15" t="s">
        <v>36</v>
      </c>
      <c r="G99" s="70">
        <f>G100</f>
        <v>24950</v>
      </c>
      <c r="H99" s="70">
        <f>H100</f>
        <v>0</v>
      </c>
      <c r="I99" s="70">
        <f>I100</f>
        <v>0</v>
      </c>
      <c r="J99" s="172"/>
      <c r="K99" s="336"/>
      <c r="L99" s="336"/>
      <c r="M99" s="336"/>
      <c r="N99" s="336"/>
      <c r="O99" s="336"/>
      <c r="P99" s="336"/>
      <c r="Q99" s="336"/>
      <c r="R99" s="336"/>
    </row>
    <row r="100" spans="1:18" s="32" customFormat="1" ht="26.4">
      <c r="A100" s="16" t="s">
        <v>37</v>
      </c>
      <c r="B100" s="14">
        <v>793</v>
      </c>
      <c r="C100" s="15" t="s">
        <v>53</v>
      </c>
      <c r="D100" s="15" t="s">
        <v>87</v>
      </c>
      <c r="E100" s="15" t="s">
        <v>1357</v>
      </c>
      <c r="F100" s="15" t="s">
        <v>38</v>
      </c>
      <c r="G100" s="87">
        <f>прил4!G2023</f>
        <v>24950</v>
      </c>
      <c r="H100" s="70"/>
      <c r="I100" s="70"/>
      <c r="J100" s="172"/>
      <c r="K100" s="338"/>
      <c r="L100" s="336"/>
      <c r="M100" s="336"/>
      <c r="N100" s="336"/>
      <c r="O100" s="336"/>
      <c r="P100" s="336"/>
      <c r="Q100" s="336"/>
      <c r="R100" s="336"/>
    </row>
    <row r="101" spans="1:18" s="28" customFormat="1" ht="28.5" customHeight="1">
      <c r="A101" s="37" t="s">
        <v>1362</v>
      </c>
      <c r="B101" s="14">
        <v>793</v>
      </c>
      <c r="C101" s="15" t="s">
        <v>53</v>
      </c>
      <c r="D101" s="15" t="s">
        <v>87</v>
      </c>
      <c r="E101" s="15" t="s">
        <v>1360</v>
      </c>
      <c r="F101" s="15"/>
      <c r="G101" s="70">
        <f>G102</f>
        <v>712975</v>
      </c>
      <c r="H101" s="70">
        <f t="shared" ref="H101:I101" si="23">H102</f>
        <v>0</v>
      </c>
      <c r="I101" s="70">
        <f t="shared" si="23"/>
        <v>0</v>
      </c>
      <c r="J101" s="172"/>
      <c r="K101" s="313"/>
      <c r="L101" s="313"/>
      <c r="M101" s="313"/>
      <c r="N101" s="313"/>
      <c r="O101" s="313"/>
      <c r="P101" s="313"/>
      <c r="Q101" s="313"/>
      <c r="R101" s="313"/>
    </row>
    <row r="102" spans="1:18" s="32" customFormat="1" ht="28.5" customHeight="1">
      <c r="A102" s="16" t="s">
        <v>35</v>
      </c>
      <c r="B102" s="14">
        <v>793</v>
      </c>
      <c r="C102" s="15" t="s">
        <v>53</v>
      </c>
      <c r="D102" s="15" t="s">
        <v>87</v>
      </c>
      <c r="E102" s="15" t="s">
        <v>1360</v>
      </c>
      <c r="F102" s="15" t="s">
        <v>36</v>
      </c>
      <c r="G102" s="70">
        <f>G103</f>
        <v>712975</v>
      </c>
      <c r="H102" s="70">
        <f>H103</f>
        <v>0</v>
      </c>
      <c r="I102" s="70">
        <f>I103</f>
        <v>0</v>
      </c>
      <c r="J102" s="172"/>
      <c r="K102" s="336"/>
      <c r="L102" s="336"/>
      <c r="M102" s="336"/>
      <c r="N102" s="336"/>
      <c r="O102" s="336"/>
      <c r="P102" s="336"/>
      <c r="Q102" s="336"/>
      <c r="R102" s="336"/>
    </row>
    <row r="103" spans="1:18" s="32" customFormat="1" ht="26.4">
      <c r="A103" s="16" t="s">
        <v>37</v>
      </c>
      <c r="B103" s="14">
        <v>793</v>
      </c>
      <c r="C103" s="15" t="s">
        <v>53</v>
      </c>
      <c r="D103" s="15" t="s">
        <v>87</v>
      </c>
      <c r="E103" s="15" t="s">
        <v>1360</v>
      </c>
      <c r="F103" s="15" t="s">
        <v>38</v>
      </c>
      <c r="G103" s="70">
        <f>прил4!G2026</f>
        <v>712975</v>
      </c>
      <c r="H103" s="70"/>
      <c r="I103" s="70"/>
      <c r="J103" s="172"/>
      <c r="K103" s="338"/>
      <c r="L103" s="336"/>
      <c r="M103" s="336"/>
      <c r="N103" s="336"/>
      <c r="O103" s="336"/>
      <c r="P103" s="336"/>
      <c r="Q103" s="336"/>
      <c r="R103" s="336"/>
    </row>
    <row r="104" spans="1:18" s="28" customFormat="1" ht="42" customHeight="1">
      <c r="A104" s="37" t="s">
        <v>1363</v>
      </c>
      <c r="B104" s="14">
        <v>793</v>
      </c>
      <c r="C104" s="15" t="s">
        <v>53</v>
      </c>
      <c r="D104" s="15" t="s">
        <v>87</v>
      </c>
      <c r="E104" s="15" t="s">
        <v>1361</v>
      </c>
      <c r="F104" s="15"/>
      <c r="G104" s="70">
        <f>G105</f>
        <v>37525</v>
      </c>
      <c r="H104" s="70">
        <f t="shared" ref="H104:I104" si="24">H105</f>
        <v>0</v>
      </c>
      <c r="I104" s="70">
        <f t="shared" si="24"/>
        <v>0</v>
      </c>
      <c r="J104" s="172"/>
      <c r="K104" s="313"/>
      <c r="L104" s="313"/>
      <c r="M104" s="313"/>
      <c r="N104" s="313"/>
      <c r="O104" s="313"/>
      <c r="P104" s="313"/>
      <c r="Q104" s="313"/>
      <c r="R104" s="313"/>
    </row>
    <row r="105" spans="1:18" s="32" customFormat="1" ht="28.5" customHeight="1">
      <c r="A105" s="16" t="s">
        <v>35</v>
      </c>
      <c r="B105" s="14">
        <v>793</v>
      </c>
      <c r="C105" s="15" t="s">
        <v>53</v>
      </c>
      <c r="D105" s="15" t="s">
        <v>87</v>
      </c>
      <c r="E105" s="15" t="s">
        <v>1361</v>
      </c>
      <c r="F105" s="15" t="s">
        <v>36</v>
      </c>
      <c r="G105" s="70">
        <f>G106</f>
        <v>37525</v>
      </c>
      <c r="H105" s="70">
        <f>H106</f>
        <v>0</v>
      </c>
      <c r="I105" s="70">
        <f>I106</f>
        <v>0</v>
      </c>
      <c r="J105" s="172"/>
      <c r="K105" s="336"/>
      <c r="L105" s="336"/>
      <c r="M105" s="336"/>
      <c r="N105" s="336"/>
      <c r="O105" s="336"/>
      <c r="P105" s="336"/>
      <c r="Q105" s="336"/>
      <c r="R105" s="336"/>
    </row>
    <row r="106" spans="1:18" s="32" customFormat="1" ht="26.4">
      <c r="A106" s="16" t="s">
        <v>37</v>
      </c>
      <c r="B106" s="14">
        <v>793</v>
      </c>
      <c r="C106" s="15" t="s">
        <v>53</v>
      </c>
      <c r="D106" s="15" t="s">
        <v>87</v>
      </c>
      <c r="E106" s="15" t="s">
        <v>1361</v>
      </c>
      <c r="F106" s="15" t="s">
        <v>38</v>
      </c>
      <c r="G106" s="70">
        <f>прил4!G2029</f>
        <v>37525</v>
      </c>
      <c r="H106" s="70"/>
      <c r="I106" s="70"/>
      <c r="J106" s="172"/>
      <c r="K106" s="338"/>
      <c r="L106" s="336"/>
      <c r="M106" s="336"/>
      <c r="N106" s="336"/>
      <c r="O106" s="336"/>
      <c r="P106" s="336"/>
      <c r="Q106" s="336"/>
      <c r="R106" s="336"/>
    </row>
    <row r="107" spans="1:18" s="28" customFormat="1" ht="45" customHeight="1">
      <c r="A107" s="37" t="s">
        <v>1366</v>
      </c>
      <c r="B107" s="14">
        <v>793</v>
      </c>
      <c r="C107" s="15" t="s">
        <v>53</v>
      </c>
      <c r="D107" s="15" t="s">
        <v>87</v>
      </c>
      <c r="E107" s="15" t="s">
        <v>1364</v>
      </c>
      <c r="F107" s="15"/>
      <c r="G107" s="70">
        <f>G108+G110</f>
        <v>394729.75</v>
      </c>
      <c r="H107" s="70">
        <f t="shared" ref="H107:I107" si="25">H108</f>
        <v>0</v>
      </c>
      <c r="I107" s="70">
        <f t="shared" si="25"/>
        <v>0</v>
      </c>
      <c r="J107" s="172"/>
      <c r="K107" s="313"/>
      <c r="L107" s="313"/>
      <c r="M107" s="313"/>
      <c r="N107" s="313"/>
      <c r="O107" s="313"/>
      <c r="P107" s="313"/>
      <c r="Q107" s="313"/>
      <c r="R107" s="313"/>
    </row>
    <row r="108" spans="1:18" s="32" customFormat="1" ht="28.5" customHeight="1">
      <c r="A108" s="16" t="s">
        <v>35</v>
      </c>
      <c r="B108" s="14">
        <v>793</v>
      </c>
      <c r="C108" s="15" t="s">
        <v>53</v>
      </c>
      <c r="D108" s="15" t="s">
        <v>87</v>
      </c>
      <c r="E108" s="15" t="s">
        <v>1364</v>
      </c>
      <c r="F108" s="15" t="s">
        <v>36</v>
      </c>
      <c r="G108" s="70">
        <f>G109</f>
        <v>394630.75</v>
      </c>
      <c r="H108" s="70">
        <f>H109</f>
        <v>0</v>
      </c>
      <c r="I108" s="70">
        <f>I109</f>
        <v>0</v>
      </c>
      <c r="J108" s="172"/>
      <c r="K108" s="336"/>
      <c r="L108" s="336"/>
      <c r="M108" s="336"/>
      <c r="N108" s="336"/>
      <c r="O108" s="336"/>
      <c r="P108" s="336"/>
      <c r="Q108" s="336"/>
      <c r="R108" s="336"/>
    </row>
    <row r="109" spans="1:18" s="32" customFormat="1" ht="26.4">
      <c r="A109" s="16" t="s">
        <v>37</v>
      </c>
      <c r="B109" s="14">
        <v>793</v>
      </c>
      <c r="C109" s="15" t="s">
        <v>53</v>
      </c>
      <c r="D109" s="15" t="s">
        <v>87</v>
      </c>
      <c r="E109" s="15" t="s">
        <v>1364</v>
      </c>
      <c r="F109" s="15" t="s">
        <v>38</v>
      </c>
      <c r="G109" s="70">
        <f>прил4!G2032</f>
        <v>394630.75</v>
      </c>
      <c r="H109" s="70"/>
      <c r="I109" s="70"/>
      <c r="J109" s="172"/>
      <c r="K109" s="338"/>
      <c r="L109" s="336"/>
      <c r="M109" s="336"/>
      <c r="N109" s="336"/>
      <c r="O109" s="336"/>
      <c r="P109" s="336"/>
      <c r="Q109" s="336"/>
      <c r="R109" s="336"/>
    </row>
    <row r="110" spans="1:18" s="32" customFormat="1" ht="21" customHeight="1">
      <c r="A110" s="16" t="s">
        <v>62</v>
      </c>
      <c r="B110" s="14">
        <v>793</v>
      </c>
      <c r="C110" s="15" t="s">
        <v>53</v>
      </c>
      <c r="D110" s="15" t="s">
        <v>87</v>
      </c>
      <c r="E110" s="15" t="s">
        <v>1364</v>
      </c>
      <c r="F110" s="15" t="s">
        <v>63</v>
      </c>
      <c r="G110" s="70">
        <f>G111</f>
        <v>99</v>
      </c>
      <c r="H110" s="70"/>
      <c r="I110" s="70"/>
      <c r="J110" s="172"/>
      <c r="K110" s="338"/>
      <c r="L110" s="336"/>
      <c r="M110" s="336"/>
      <c r="N110" s="336"/>
      <c r="O110" s="336"/>
      <c r="P110" s="336"/>
      <c r="Q110" s="336"/>
      <c r="R110" s="336"/>
    </row>
    <row r="111" spans="1:18" s="32" customFormat="1" ht="22.5" customHeight="1">
      <c r="A111" s="16" t="s">
        <v>140</v>
      </c>
      <c r="B111" s="14">
        <v>793</v>
      </c>
      <c r="C111" s="15" t="s">
        <v>53</v>
      </c>
      <c r="D111" s="15" t="s">
        <v>87</v>
      </c>
      <c r="E111" s="15" t="s">
        <v>1364</v>
      </c>
      <c r="F111" s="15" t="s">
        <v>66</v>
      </c>
      <c r="G111" s="70">
        <f>прил4!G2034</f>
        <v>99</v>
      </c>
      <c r="H111" s="70"/>
      <c r="I111" s="70"/>
      <c r="J111" s="172"/>
      <c r="K111" s="338"/>
      <c r="L111" s="336"/>
      <c r="M111" s="336"/>
      <c r="N111" s="336"/>
      <c r="O111" s="336"/>
      <c r="P111" s="336"/>
      <c r="Q111" s="336"/>
      <c r="R111" s="336"/>
    </row>
    <row r="112" spans="1:18" s="28" customFormat="1" ht="48.75" customHeight="1">
      <c r="A112" s="37" t="s">
        <v>1367</v>
      </c>
      <c r="B112" s="14">
        <v>793</v>
      </c>
      <c r="C112" s="15" t="s">
        <v>53</v>
      </c>
      <c r="D112" s="15" t="s">
        <v>87</v>
      </c>
      <c r="E112" s="15" t="s">
        <v>1365</v>
      </c>
      <c r="F112" s="15"/>
      <c r="G112" s="70">
        <f>G113+G115</f>
        <v>20775.25</v>
      </c>
      <c r="H112" s="70">
        <f t="shared" ref="H112:I112" si="26">H113</f>
        <v>0</v>
      </c>
      <c r="I112" s="70">
        <f t="shared" si="26"/>
        <v>0</v>
      </c>
      <c r="J112" s="172"/>
      <c r="K112" s="313"/>
      <c r="L112" s="313"/>
      <c r="M112" s="313"/>
      <c r="N112" s="313"/>
      <c r="O112" s="313"/>
      <c r="P112" s="313"/>
      <c r="Q112" s="313"/>
      <c r="R112" s="313"/>
    </row>
    <row r="113" spans="1:20" s="32" customFormat="1" ht="28.5" customHeight="1">
      <c r="A113" s="16" t="s">
        <v>35</v>
      </c>
      <c r="B113" s="14">
        <v>793</v>
      </c>
      <c r="C113" s="15" t="s">
        <v>53</v>
      </c>
      <c r="D113" s="15" t="s">
        <v>87</v>
      </c>
      <c r="E113" s="15" t="s">
        <v>1365</v>
      </c>
      <c r="F113" s="15" t="s">
        <v>36</v>
      </c>
      <c r="G113" s="70">
        <f>G114</f>
        <v>20770.04</v>
      </c>
      <c r="H113" s="70">
        <f>H114</f>
        <v>0</v>
      </c>
      <c r="I113" s="70">
        <f>I114</f>
        <v>0</v>
      </c>
      <c r="J113" s="172"/>
      <c r="K113" s="336"/>
      <c r="L113" s="336"/>
      <c r="M113" s="336"/>
      <c r="N113" s="336"/>
      <c r="O113" s="336"/>
      <c r="P113" s="336"/>
      <c r="Q113" s="336"/>
      <c r="R113" s="336"/>
    </row>
    <row r="114" spans="1:20" s="32" customFormat="1" ht="26.4">
      <c r="A114" s="16" t="s">
        <v>37</v>
      </c>
      <c r="B114" s="14">
        <v>793</v>
      </c>
      <c r="C114" s="15" t="s">
        <v>53</v>
      </c>
      <c r="D114" s="15" t="s">
        <v>87</v>
      </c>
      <c r="E114" s="15" t="s">
        <v>1365</v>
      </c>
      <c r="F114" s="15" t="s">
        <v>38</v>
      </c>
      <c r="G114" s="70">
        <f>прил4!G2037</f>
        <v>20770.04</v>
      </c>
      <c r="H114" s="70"/>
      <c r="I114" s="70"/>
      <c r="J114" s="172"/>
      <c r="K114" s="338"/>
      <c r="L114" s="336"/>
      <c r="M114" s="336"/>
      <c r="N114" s="336"/>
      <c r="O114" s="336"/>
      <c r="P114" s="336"/>
      <c r="Q114" s="336"/>
      <c r="R114" s="336"/>
    </row>
    <row r="115" spans="1:20" s="32" customFormat="1" ht="21" customHeight="1">
      <c r="A115" s="16" t="s">
        <v>62</v>
      </c>
      <c r="B115" s="14">
        <v>793</v>
      </c>
      <c r="C115" s="15" t="s">
        <v>53</v>
      </c>
      <c r="D115" s="15" t="s">
        <v>87</v>
      </c>
      <c r="E115" s="15" t="s">
        <v>1365</v>
      </c>
      <c r="F115" s="15" t="s">
        <v>63</v>
      </c>
      <c r="G115" s="70">
        <f>G116</f>
        <v>5.21</v>
      </c>
      <c r="H115" s="70"/>
      <c r="I115" s="70"/>
      <c r="J115" s="172"/>
      <c r="K115" s="338"/>
      <c r="L115" s="336"/>
      <c r="M115" s="336"/>
      <c r="N115" s="336"/>
      <c r="O115" s="336"/>
      <c r="P115" s="336"/>
      <c r="Q115" s="336"/>
      <c r="R115" s="336"/>
    </row>
    <row r="116" spans="1:20" s="32" customFormat="1" ht="22.5" customHeight="1">
      <c r="A116" s="16" t="s">
        <v>140</v>
      </c>
      <c r="B116" s="14">
        <v>793</v>
      </c>
      <c r="C116" s="15" t="s">
        <v>53</v>
      </c>
      <c r="D116" s="15" t="s">
        <v>87</v>
      </c>
      <c r="E116" s="15" t="s">
        <v>1365</v>
      </c>
      <c r="F116" s="15" t="s">
        <v>66</v>
      </c>
      <c r="G116" s="70">
        <f>прил4!G2039</f>
        <v>5.21</v>
      </c>
      <c r="H116" s="70"/>
      <c r="I116" s="70"/>
      <c r="J116" s="172"/>
      <c r="K116" s="338"/>
      <c r="L116" s="336"/>
      <c r="M116" s="336"/>
      <c r="N116" s="336"/>
      <c r="O116" s="336"/>
      <c r="P116" s="336"/>
      <c r="Q116" s="336"/>
      <c r="R116" s="336"/>
    </row>
    <row r="117" spans="1:20" s="28" customFormat="1" ht="45" customHeight="1">
      <c r="A117" s="37" t="s">
        <v>1373</v>
      </c>
      <c r="B117" s="14">
        <v>793</v>
      </c>
      <c r="C117" s="15" t="s">
        <v>53</v>
      </c>
      <c r="D117" s="15" t="s">
        <v>87</v>
      </c>
      <c r="E117" s="15" t="s">
        <v>1368</v>
      </c>
      <c r="F117" s="15"/>
      <c r="G117" s="70">
        <f>G118</f>
        <v>591036.98</v>
      </c>
      <c r="H117" s="70">
        <f t="shared" ref="H117:I117" si="27">H118</f>
        <v>0</v>
      </c>
      <c r="I117" s="70">
        <f t="shared" si="27"/>
        <v>0</v>
      </c>
      <c r="J117" s="172"/>
      <c r="K117" s="313"/>
      <c r="L117" s="313"/>
      <c r="M117" s="313"/>
      <c r="N117" s="313"/>
      <c r="O117" s="313"/>
      <c r="P117" s="313"/>
      <c r="Q117" s="313"/>
      <c r="R117" s="313"/>
    </row>
    <row r="118" spans="1:20" s="32" customFormat="1" ht="28.5" customHeight="1">
      <c r="A118" s="16" t="s">
        <v>35</v>
      </c>
      <c r="B118" s="14">
        <v>793</v>
      </c>
      <c r="C118" s="15" t="s">
        <v>53</v>
      </c>
      <c r="D118" s="15" t="s">
        <v>87</v>
      </c>
      <c r="E118" s="15" t="s">
        <v>1368</v>
      </c>
      <c r="F118" s="15" t="s">
        <v>36</v>
      </c>
      <c r="G118" s="70">
        <f>G119</f>
        <v>591036.98</v>
      </c>
      <c r="H118" s="70">
        <f>H119</f>
        <v>0</v>
      </c>
      <c r="I118" s="70">
        <f>I119</f>
        <v>0</v>
      </c>
      <c r="J118" s="172"/>
      <c r="K118" s="336"/>
      <c r="L118" s="336"/>
      <c r="M118" s="336"/>
      <c r="N118" s="336"/>
      <c r="O118" s="336"/>
      <c r="P118" s="336"/>
      <c r="Q118" s="336"/>
      <c r="R118" s="336"/>
    </row>
    <row r="119" spans="1:20" s="32" customFormat="1" ht="26.4">
      <c r="A119" s="16" t="s">
        <v>37</v>
      </c>
      <c r="B119" s="14">
        <v>793</v>
      </c>
      <c r="C119" s="15" t="s">
        <v>53</v>
      </c>
      <c r="D119" s="15" t="s">
        <v>87</v>
      </c>
      <c r="E119" s="15" t="s">
        <v>1368</v>
      </c>
      <c r="F119" s="15" t="s">
        <v>38</v>
      </c>
      <c r="G119" s="70">
        <f>прил4!G2042</f>
        <v>591036.98</v>
      </c>
      <c r="H119" s="70"/>
      <c r="I119" s="70"/>
      <c r="J119" s="172"/>
      <c r="K119" s="338"/>
      <c r="L119" s="336"/>
      <c r="M119" s="336"/>
      <c r="N119" s="336"/>
      <c r="O119" s="336"/>
      <c r="P119" s="336"/>
      <c r="Q119" s="336"/>
      <c r="R119" s="336"/>
    </row>
    <row r="120" spans="1:20" s="28" customFormat="1" ht="48.75" customHeight="1">
      <c r="A120" s="37" t="s">
        <v>1374</v>
      </c>
      <c r="B120" s="14">
        <v>793</v>
      </c>
      <c r="C120" s="15" t="s">
        <v>53</v>
      </c>
      <c r="D120" s="15" t="s">
        <v>87</v>
      </c>
      <c r="E120" s="15" t="s">
        <v>1369</v>
      </c>
      <c r="F120" s="15"/>
      <c r="G120" s="70">
        <f>G121</f>
        <v>31463.02</v>
      </c>
      <c r="H120" s="70">
        <f t="shared" ref="H120:I120" si="28">H121</f>
        <v>0</v>
      </c>
      <c r="I120" s="70">
        <f t="shared" si="28"/>
        <v>0</v>
      </c>
      <c r="J120" s="172"/>
      <c r="K120" s="313"/>
      <c r="L120" s="313"/>
      <c r="M120" s="313"/>
      <c r="N120" s="313"/>
      <c r="O120" s="313"/>
      <c r="P120" s="313"/>
      <c r="Q120" s="313"/>
      <c r="R120" s="313"/>
    </row>
    <row r="121" spans="1:20" s="32" customFormat="1" ht="28.5" customHeight="1">
      <c r="A121" s="16" t="s">
        <v>35</v>
      </c>
      <c r="B121" s="14">
        <v>793</v>
      </c>
      <c r="C121" s="15" t="s">
        <v>53</v>
      </c>
      <c r="D121" s="15" t="s">
        <v>87</v>
      </c>
      <c r="E121" s="15" t="s">
        <v>1369</v>
      </c>
      <c r="F121" s="15" t="s">
        <v>36</v>
      </c>
      <c r="G121" s="70">
        <f>G122</f>
        <v>31463.02</v>
      </c>
      <c r="H121" s="70">
        <f>H122</f>
        <v>0</v>
      </c>
      <c r="I121" s="70">
        <f>I122</f>
        <v>0</v>
      </c>
      <c r="J121" s="172"/>
      <c r="K121" s="336"/>
      <c r="L121" s="336"/>
      <c r="M121" s="336"/>
      <c r="N121" s="336"/>
      <c r="O121" s="336"/>
      <c r="P121" s="336"/>
      <c r="Q121" s="336"/>
      <c r="R121" s="336"/>
    </row>
    <row r="122" spans="1:20" s="32" customFormat="1" ht="26.4">
      <c r="A122" s="16" t="s">
        <v>37</v>
      </c>
      <c r="B122" s="14">
        <v>793</v>
      </c>
      <c r="C122" s="15" t="s">
        <v>53</v>
      </c>
      <c r="D122" s="15" t="s">
        <v>87</v>
      </c>
      <c r="E122" s="15" t="s">
        <v>1369</v>
      </c>
      <c r="F122" s="15" t="s">
        <v>38</v>
      </c>
      <c r="G122" s="70">
        <f>прил4!G2045</f>
        <v>31463.02</v>
      </c>
      <c r="H122" s="70"/>
      <c r="I122" s="70"/>
      <c r="J122" s="172"/>
      <c r="K122" s="338"/>
      <c r="L122" s="336"/>
      <c r="M122" s="336"/>
      <c r="N122" s="336"/>
      <c r="O122" s="336"/>
      <c r="P122" s="336"/>
      <c r="Q122" s="336"/>
      <c r="R122" s="336"/>
    </row>
    <row r="123" spans="1:20" ht="42" customHeight="1">
      <c r="A123" s="80" t="s">
        <v>1470</v>
      </c>
      <c r="B123" s="14">
        <v>793</v>
      </c>
      <c r="C123" s="15" t="s">
        <v>167</v>
      </c>
      <c r="D123" s="15" t="s">
        <v>69</v>
      </c>
      <c r="E123" s="15" t="s">
        <v>1471</v>
      </c>
      <c r="F123" s="15"/>
      <c r="G123" s="70">
        <f>G124+G126</f>
        <v>25275.63</v>
      </c>
      <c r="H123" s="70">
        <f t="shared" ref="H123:I123" si="29">H124+H126</f>
        <v>0</v>
      </c>
      <c r="I123" s="70">
        <f t="shared" si="29"/>
        <v>0</v>
      </c>
      <c r="J123" s="172"/>
      <c r="K123" s="69"/>
      <c r="L123" s="69"/>
      <c r="M123" s="69"/>
      <c r="N123" s="69"/>
      <c r="O123" s="69"/>
      <c r="P123" s="69"/>
      <c r="Q123" s="69"/>
      <c r="R123" s="69"/>
      <c r="S123" s="1"/>
      <c r="T123" s="1"/>
    </row>
    <row r="124" spans="1:20" ht="19.5" hidden="1" customHeight="1">
      <c r="A124" s="16" t="s">
        <v>152</v>
      </c>
      <c r="B124" s="14">
        <v>793</v>
      </c>
      <c r="C124" s="15" t="s">
        <v>18</v>
      </c>
      <c r="D124" s="15" t="s">
        <v>22</v>
      </c>
      <c r="E124" s="15" t="s">
        <v>370</v>
      </c>
      <c r="F124" s="15" t="s">
        <v>153</v>
      </c>
      <c r="G124" s="70">
        <f>G125</f>
        <v>0</v>
      </c>
      <c r="H124" s="70">
        <f t="shared" ref="H124:I126" si="30">H125</f>
        <v>0</v>
      </c>
      <c r="I124" s="70">
        <f t="shared" si="30"/>
        <v>0</v>
      </c>
      <c r="J124" s="172"/>
      <c r="K124" s="69"/>
      <c r="L124" s="69"/>
      <c r="M124" s="69"/>
      <c r="N124" s="69"/>
      <c r="O124" s="69"/>
      <c r="P124" s="69"/>
      <c r="Q124" s="69"/>
      <c r="R124" s="69"/>
      <c r="S124" s="1"/>
      <c r="T124" s="1"/>
    </row>
    <row r="125" spans="1:20" ht="12" hidden="1" customHeight="1">
      <c r="A125" s="16" t="s">
        <v>172</v>
      </c>
      <c r="B125" s="14">
        <v>793</v>
      </c>
      <c r="C125" s="15" t="s">
        <v>18</v>
      </c>
      <c r="D125" s="15" t="s">
        <v>22</v>
      </c>
      <c r="E125" s="15" t="s">
        <v>370</v>
      </c>
      <c r="F125" s="15" t="s">
        <v>173</v>
      </c>
      <c r="G125" s="70"/>
      <c r="H125" s="70"/>
      <c r="I125" s="70"/>
      <c r="J125" s="172"/>
      <c r="K125" s="69"/>
      <c r="L125" s="69"/>
      <c r="M125" s="69"/>
      <c r="N125" s="69"/>
      <c r="O125" s="69"/>
      <c r="P125" s="69"/>
      <c r="Q125" s="69"/>
      <c r="R125" s="69"/>
      <c r="S125" s="1"/>
      <c r="T125" s="1"/>
    </row>
    <row r="126" spans="1:20" ht="22.5" customHeight="1">
      <c r="A126" s="16" t="s">
        <v>316</v>
      </c>
      <c r="B126" s="14">
        <v>793</v>
      </c>
      <c r="C126" s="15" t="s">
        <v>167</v>
      </c>
      <c r="D126" s="15" t="s">
        <v>69</v>
      </c>
      <c r="E126" s="15" t="s">
        <v>1471</v>
      </c>
      <c r="F126" s="15" t="s">
        <v>36</v>
      </c>
      <c r="G126" s="70">
        <f>G127</f>
        <v>25275.63</v>
      </c>
      <c r="H126" s="70">
        <f t="shared" si="30"/>
        <v>0</v>
      </c>
      <c r="I126" s="70">
        <f t="shared" si="30"/>
        <v>0</v>
      </c>
      <c r="J126" s="172"/>
      <c r="K126" s="69"/>
      <c r="L126" s="69"/>
      <c r="M126" s="69"/>
      <c r="N126" s="69"/>
      <c r="O126" s="69"/>
      <c r="P126" s="69"/>
      <c r="Q126" s="69"/>
      <c r="R126" s="69"/>
      <c r="S126" s="1"/>
      <c r="T126" s="1"/>
    </row>
    <row r="127" spans="1:20" ht="28.5" customHeight="1">
      <c r="A127" s="16" t="s">
        <v>37</v>
      </c>
      <c r="B127" s="14">
        <v>793</v>
      </c>
      <c r="C127" s="15" t="s">
        <v>167</v>
      </c>
      <c r="D127" s="15" t="s">
        <v>69</v>
      </c>
      <c r="E127" s="15" t="s">
        <v>1471</v>
      </c>
      <c r="F127" s="15" t="s">
        <v>38</v>
      </c>
      <c r="G127" s="70">
        <f>прил4!G2690</f>
        <v>25275.63</v>
      </c>
      <c r="H127" s="70">
        <v>0</v>
      </c>
      <c r="I127" s="70">
        <v>0</v>
      </c>
      <c r="J127" s="172"/>
      <c r="K127" s="69"/>
      <c r="L127" s="69"/>
      <c r="M127" s="69"/>
      <c r="N127" s="69"/>
      <c r="O127" s="69"/>
      <c r="P127" s="69"/>
      <c r="Q127" s="69"/>
      <c r="R127" s="69"/>
      <c r="S127" s="1"/>
      <c r="T127" s="1"/>
    </row>
    <row r="128" spans="1:20" ht="40.5" customHeight="1">
      <c r="A128" s="16" t="s">
        <v>1473</v>
      </c>
      <c r="B128" s="14">
        <v>793</v>
      </c>
      <c r="C128" s="15" t="s">
        <v>167</v>
      </c>
      <c r="D128" s="15" t="s">
        <v>69</v>
      </c>
      <c r="E128" s="15" t="s">
        <v>1472</v>
      </c>
      <c r="F128" s="15"/>
      <c r="G128" s="70">
        <f>G129</f>
        <v>479496.94</v>
      </c>
      <c r="H128" s="70">
        <f t="shared" ref="H128:I128" si="31">H129</f>
        <v>0</v>
      </c>
      <c r="I128" s="70">
        <f t="shared" si="31"/>
        <v>0</v>
      </c>
      <c r="J128" s="172"/>
      <c r="K128" s="69"/>
      <c r="L128" s="69"/>
      <c r="M128" s="69"/>
      <c r="N128" s="69"/>
      <c r="O128" s="69"/>
      <c r="P128" s="69"/>
      <c r="Q128" s="69"/>
      <c r="R128" s="69"/>
      <c r="S128" s="1"/>
      <c r="T128" s="1"/>
    </row>
    <row r="129" spans="1:20" ht="25.5" customHeight="1">
      <c r="A129" s="16" t="s">
        <v>316</v>
      </c>
      <c r="B129" s="14">
        <v>793</v>
      </c>
      <c r="C129" s="15" t="s">
        <v>167</v>
      </c>
      <c r="D129" s="15" t="s">
        <v>69</v>
      </c>
      <c r="E129" s="15" t="s">
        <v>1472</v>
      </c>
      <c r="F129" s="15" t="s">
        <v>36</v>
      </c>
      <c r="G129" s="70">
        <f>G130</f>
        <v>479496.94</v>
      </c>
      <c r="H129" s="70">
        <f>H130</f>
        <v>0</v>
      </c>
      <c r="I129" s="70">
        <f>I130</f>
        <v>0</v>
      </c>
      <c r="J129" s="172"/>
      <c r="K129" s="69"/>
      <c r="L129" s="69"/>
      <c r="M129" s="69"/>
      <c r="N129" s="69"/>
      <c r="O129" s="69"/>
      <c r="P129" s="69"/>
      <c r="Q129" s="69"/>
      <c r="R129" s="69"/>
      <c r="S129" s="1"/>
      <c r="T129" s="1"/>
    </row>
    <row r="130" spans="1:20" ht="25.5" customHeight="1">
      <c r="A130" s="16" t="s">
        <v>37</v>
      </c>
      <c r="B130" s="14">
        <v>793</v>
      </c>
      <c r="C130" s="15" t="s">
        <v>167</v>
      </c>
      <c r="D130" s="15" t="s">
        <v>69</v>
      </c>
      <c r="E130" s="15" t="s">
        <v>1472</v>
      </c>
      <c r="F130" s="15" t="s">
        <v>38</v>
      </c>
      <c r="G130" s="70">
        <f>прил4!G2693</f>
        <v>479496.94</v>
      </c>
      <c r="H130" s="70">
        <v>0</v>
      </c>
      <c r="I130" s="70">
        <v>0</v>
      </c>
      <c r="J130" s="172"/>
      <c r="K130" s="69"/>
      <c r="L130" s="69"/>
      <c r="M130" s="69"/>
      <c r="N130" s="69"/>
      <c r="O130" s="69"/>
      <c r="P130" s="69"/>
      <c r="Q130" s="69"/>
      <c r="R130" s="69"/>
      <c r="S130" s="1"/>
      <c r="T130" s="1"/>
    </row>
    <row r="131" spans="1:20" ht="25.5" customHeight="1">
      <c r="A131" s="16" t="s">
        <v>117</v>
      </c>
      <c r="B131" s="14">
        <v>793</v>
      </c>
      <c r="C131" s="15" t="s">
        <v>18</v>
      </c>
      <c r="D131" s="15" t="s">
        <v>22</v>
      </c>
      <c r="E131" s="15" t="s">
        <v>243</v>
      </c>
      <c r="F131" s="15"/>
      <c r="G131" s="87">
        <f>G132+G136+G135</f>
        <v>35000</v>
      </c>
      <c r="H131" s="87">
        <f t="shared" ref="H131:I131" si="32">H132+H136+H135</f>
        <v>35000</v>
      </c>
      <c r="I131" s="87">
        <f t="shared" si="32"/>
        <v>35000</v>
      </c>
      <c r="J131" s="2">
        <v>50000</v>
      </c>
    </row>
    <row r="132" spans="1:20" ht="25.5" hidden="1" customHeight="1">
      <c r="A132" s="16" t="s">
        <v>316</v>
      </c>
      <c r="B132" s="14">
        <v>793</v>
      </c>
      <c r="C132" s="15" t="s">
        <v>18</v>
      </c>
      <c r="D132" s="15" t="s">
        <v>22</v>
      </c>
      <c r="E132" s="15" t="s">
        <v>243</v>
      </c>
      <c r="F132" s="15" t="s">
        <v>36</v>
      </c>
      <c r="G132" s="87">
        <f>G133</f>
        <v>0</v>
      </c>
      <c r="H132" s="87">
        <f>H133</f>
        <v>0</v>
      </c>
      <c r="I132" s="87">
        <f>I133</f>
        <v>0</v>
      </c>
      <c r="J132" s="2">
        <f>SUM(J47:J131)</f>
        <v>1655200</v>
      </c>
    </row>
    <row r="133" spans="1:20" ht="25.5" hidden="1" customHeight="1">
      <c r="A133" s="16" t="s">
        <v>37</v>
      </c>
      <c r="B133" s="14">
        <v>793</v>
      </c>
      <c r="C133" s="15" t="s">
        <v>18</v>
      </c>
      <c r="D133" s="15" t="s">
        <v>22</v>
      </c>
      <c r="E133" s="15" t="s">
        <v>243</v>
      </c>
      <c r="F133" s="15" t="s">
        <v>38</v>
      </c>
      <c r="G133" s="87">
        <f>прил4!G1619</f>
        <v>0</v>
      </c>
      <c r="H133" s="87">
        <f>прил4!H1619</f>
        <v>0</v>
      </c>
      <c r="I133" s="87">
        <f>прил4!I1619</f>
        <v>0</v>
      </c>
    </row>
    <row r="134" spans="1:20" ht="25.5" hidden="1" customHeight="1">
      <c r="A134" s="16" t="s">
        <v>29</v>
      </c>
      <c r="B134" s="14">
        <v>793</v>
      </c>
      <c r="C134" s="15" t="s">
        <v>18</v>
      </c>
      <c r="D134" s="15" t="s">
        <v>22</v>
      </c>
      <c r="E134" s="15" t="s">
        <v>243</v>
      </c>
      <c r="F134" s="15" t="s">
        <v>30</v>
      </c>
      <c r="G134" s="70">
        <f>G135</f>
        <v>0</v>
      </c>
      <c r="H134" s="70">
        <f t="shared" ref="H134:I134" si="33">H135</f>
        <v>0</v>
      </c>
      <c r="I134" s="70">
        <f t="shared" si="33"/>
        <v>0</v>
      </c>
      <c r="J134" s="1"/>
    </row>
    <row r="135" spans="1:20" ht="25.5" hidden="1" customHeight="1">
      <c r="A135" s="16" t="s">
        <v>8</v>
      </c>
      <c r="B135" s="14">
        <v>793</v>
      </c>
      <c r="C135" s="15" t="s">
        <v>18</v>
      </c>
      <c r="D135" s="15" t="s">
        <v>22</v>
      </c>
      <c r="E135" s="15" t="s">
        <v>243</v>
      </c>
      <c r="F135" s="15" t="s">
        <v>7</v>
      </c>
      <c r="G135" s="70"/>
      <c r="H135" s="70"/>
      <c r="I135" s="70"/>
      <c r="J135" s="1"/>
    </row>
    <row r="136" spans="1:20" ht="25.5" customHeight="1">
      <c r="A136" s="16" t="s">
        <v>62</v>
      </c>
      <c r="B136" s="14">
        <v>793</v>
      </c>
      <c r="C136" s="15" t="s">
        <v>18</v>
      </c>
      <c r="D136" s="15" t="s">
        <v>22</v>
      </c>
      <c r="E136" s="15" t="s">
        <v>243</v>
      </c>
      <c r="F136" s="15" t="s">
        <v>63</v>
      </c>
      <c r="G136" s="87">
        <f>G137</f>
        <v>35000</v>
      </c>
      <c r="H136" s="87">
        <f>H137</f>
        <v>35000</v>
      </c>
      <c r="I136" s="87">
        <f>I137</f>
        <v>35000</v>
      </c>
    </row>
    <row r="137" spans="1:20" ht="25.5" customHeight="1">
      <c r="A137" s="16" t="s">
        <v>140</v>
      </c>
      <c r="B137" s="14">
        <v>793</v>
      </c>
      <c r="C137" s="15" t="s">
        <v>18</v>
      </c>
      <c r="D137" s="15" t="s">
        <v>22</v>
      </c>
      <c r="E137" s="15" t="s">
        <v>243</v>
      </c>
      <c r="F137" s="15" t="s">
        <v>66</v>
      </c>
      <c r="G137" s="87">
        <f>прил4!G1623</f>
        <v>35000</v>
      </c>
      <c r="H137" s="87">
        <f>прил4!H1623</f>
        <v>35000</v>
      </c>
      <c r="I137" s="87">
        <f>прил4!I1623</f>
        <v>35000</v>
      </c>
    </row>
    <row r="138" spans="1:20" ht="25.5" customHeight="1">
      <c r="A138" s="16" t="s">
        <v>430</v>
      </c>
      <c r="B138" s="14">
        <v>793</v>
      </c>
      <c r="C138" s="15" t="s">
        <v>18</v>
      </c>
      <c r="D138" s="15" t="s">
        <v>22</v>
      </c>
      <c r="E138" s="15" t="s">
        <v>431</v>
      </c>
      <c r="F138" s="15"/>
      <c r="G138" s="70">
        <f t="shared" ref="G138:I139" si="34">G139</f>
        <v>70000</v>
      </c>
      <c r="H138" s="8">
        <f t="shared" si="34"/>
        <v>70000</v>
      </c>
      <c r="I138" s="8">
        <f t="shared" si="34"/>
        <v>70000</v>
      </c>
    </row>
    <row r="139" spans="1:20" ht="25.5" customHeight="1">
      <c r="A139" s="16" t="s">
        <v>316</v>
      </c>
      <c r="B139" s="14">
        <v>793</v>
      </c>
      <c r="C139" s="15" t="s">
        <v>18</v>
      </c>
      <c r="D139" s="15" t="s">
        <v>22</v>
      </c>
      <c r="E139" s="15" t="s">
        <v>431</v>
      </c>
      <c r="F139" s="15" t="s">
        <v>36</v>
      </c>
      <c r="G139" s="70">
        <f t="shared" si="34"/>
        <v>70000</v>
      </c>
      <c r="H139" s="8">
        <f t="shared" si="34"/>
        <v>70000</v>
      </c>
      <c r="I139" s="8">
        <f t="shared" si="34"/>
        <v>70000</v>
      </c>
    </row>
    <row r="140" spans="1:20" ht="25.5" customHeight="1">
      <c r="A140" s="16" t="s">
        <v>37</v>
      </c>
      <c r="B140" s="14">
        <v>793</v>
      </c>
      <c r="C140" s="15" t="s">
        <v>18</v>
      </c>
      <c r="D140" s="15" t="s">
        <v>22</v>
      </c>
      <c r="E140" s="15" t="s">
        <v>431</v>
      </c>
      <c r="F140" s="15" t="s">
        <v>38</v>
      </c>
      <c r="G140" s="70">
        <f>прил4!G1626</f>
        <v>70000</v>
      </c>
      <c r="H140" s="8">
        <f>прил4!H1626</f>
        <v>70000</v>
      </c>
      <c r="I140" s="8">
        <f>прил4!I1626</f>
        <v>70000</v>
      </c>
    </row>
    <row r="141" spans="1:20" s="46" customFormat="1" ht="66.75" customHeight="1">
      <c r="A141" s="326" t="s">
        <v>1118</v>
      </c>
      <c r="B141" s="14">
        <v>793</v>
      </c>
      <c r="C141" s="15" t="s">
        <v>18</v>
      </c>
      <c r="D141" s="15" t="s">
        <v>22</v>
      </c>
      <c r="E141" s="15" t="s">
        <v>1273</v>
      </c>
      <c r="F141" s="15"/>
      <c r="G141" s="70">
        <f t="shared" ref="G141:I141" si="35">G142</f>
        <v>750224.48</v>
      </c>
      <c r="H141" s="70">
        <f t="shared" si="35"/>
        <v>0</v>
      </c>
      <c r="I141" s="70">
        <f t="shared" si="35"/>
        <v>0</v>
      </c>
      <c r="J141" s="172"/>
      <c r="K141" s="58"/>
      <c r="L141" s="58"/>
      <c r="M141" s="58"/>
      <c r="N141" s="58"/>
      <c r="O141" s="58"/>
      <c r="P141" s="58"/>
      <c r="Q141" s="58"/>
      <c r="R141" s="58"/>
    </row>
    <row r="142" spans="1:20" s="46" customFormat="1">
      <c r="A142" s="16" t="s">
        <v>144</v>
      </c>
      <c r="B142" s="14">
        <v>793</v>
      </c>
      <c r="C142" s="15" t="s">
        <v>18</v>
      </c>
      <c r="D142" s="15" t="s">
        <v>22</v>
      </c>
      <c r="E142" s="15" t="s">
        <v>1273</v>
      </c>
      <c r="F142" s="15" t="s">
        <v>145</v>
      </c>
      <c r="G142" s="70">
        <f>G143</f>
        <v>750224.48</v>
      </c>
      <c r="H142" s="70">
        <f>H143</f>
        <v>0</v>
      </c>
      <c r="I142" s="70">
        <f>I143</f>
        <v>0</v>
      </c>
      <c r="J142" s="172"/>
      <c r="K142" s="58"/>
      <c r="L142" s="58"/>
      <c r="M142" s="58"/>
      <c r="N142" s="58"/>
      <c r="O142" s="58"/>
      <c r="P142" s="58"/>
      <c r="Q142" s="58"/>
      <c r="R142" s="58"/>
    </row>
    <row r="143" spans="1:20" s="46" customFormat="1" ht="26.4">
      <c r="A143" s="16" t="s">
        <v>146</v>
      </c>
      <c r="B143" s="14">
        <v>793</v>
      </c>
      <c r="C143" s="15" t="s">
        <v>18</v>
      </c>
      <c r="D143" s="15" t="s">
        <v>22</v>
      </c>
      <c r="E143" s="15" t="s">
        <v>1273</v>
      </c>
      <c r="F143" s="15" t="s">
        <v>147</v>
      </c>
      <c r="G143" s="70">
        <f>прил4!G1629</f>
        <v>750224.48</v>
      </c>
      <c r="H143" s="70"/>
      <c r="I143" s="70"/>
      <c r="J143" s="172"/>
      <c r="K143" s="58"/>
      <c r="L143" s="58"/>
      <c r="M143" s="58"/>
      <c r="N143" s="58"/>
      <c r="O143" s="58"/>
      <c r="P143" s="58"/>
      <c r="Q143" s="58"/>
      <c r="R143" s="58"/>
    </row>
    <row r="144" spans="1:20" ht="51.75" hidden="1" customHeight="1">
      <c r="A144" s="16"/>
      <c r="B144" s="14"/>
      <c r="C144" s="15"/>
      <c r="D144" s="15"/>
      <c r="E144" s="14"/>
      <c r="F144" s="14"/>
      <c r="G144" s="70"/>
      <c r="H144" s="70"/>
      <c r="I144" s="70"/>
      <c r="J144" s="172"/>
      <c r="K144" s="69"/>
      <c r="L144" s="69"/>
      <c r="M144" s="69"/>
      <c r="N144" s="69"/>
      <c r="O144" s="69"/>
      <c r="P144" s="69"/>
      <c r="Q144" s="69"/>
      <c r="R144" s="69"/>
      <c r="S144" s="1"/>
      <c r="T144" s="1"/>
    </row>
    <row r="145" spans="1:22" ht="39" customHeight="1">
      <c r="A145" s="16" t="s">
        <v>1304</v>
      </c>
      <c r="B145" s="14">
        <v>793</v>
      </c>
      <c r="C145" s="15" t="s">
        <v>53</v>
      </c>
      <c r="D145" s="15" t="s">
        <v>87</v>
      </c>
      <c r="E145" s="14" t="s">
        <v>1303</v>
      </c>
      <c r="F145" s="14"/>
      <c r="G145" s="70">
        <f>G146</f>
        <v>0</v>
      </c>
      <c r="H145" s="70">
        <f t="shared" ref="H145:I145" si="36">H146</f>
        <v>0</v>
      </c>
      <c r="I145" s="70">
        <f t="shared" si="36"/>
        <v>0</v>
      </c>
      <c r="J145" s="172"/>
      <c r="K145" s="69"/>
      <c r="L145" s="69"/>
      <c r="M145" s="69"/>
      <c r="N145" s="69"/>
      <c r="O145" s="69"/>
      <c r="P145" s="69"/>
      <c r="Q145" s="69"/>
      <c r="R145" s="69"/>
      <c r="S145" s="1"/>
      <c r="T145" s="1"/>
    </row>
    <row r="146" spans="1:22" ht="17.25" customHeight="1">
      <c r="A146" s="16" t="s">
        <v>62</v>
      </c>
      <c r="B146" s="14">
        <v>793</v>
      </c>
      <c r="C146" s="15" t="s">
        <v>53</v>
      </c>
      <c r="D146" s="15" t="s">
        <v>87</v>
      </c>
      <c r="E146" s="14" t="s">
        <v>1303</v>
      </c>
      <c r="F146" s="14">
        <v>800</v>
      </c>
      <c r="G146" s="70">
        <f>G147</f>
        <v>0</v>
      </c>
      <c r="H146" s="70">
        <f>H147</f>
        <v>0</v>
      </c>
      <c r="I146" s="70">
        <f>I147</f>
        <v>0</v>
      </c>
      <c r="J146" s="172"/>
      <c r="K146" s="69"/>
      <c r="L146" s="69"/>
      <c r="M146" s="69"/>
      <c r="N146" s="69"/>
      <c r="O146" s="69"/>
      <c r="P146" s="69"/>
      <c r="Q146" s="69"/>
      <c r="R146" s="69"/>
      <c r="S146" s="1"/>
      <c r="T146" s="1"/>
    </row>
    <row r="147" spans="1:22" ht="27.75" customHeight="1">
      <c r="A147" s="16" t="s">
        <v>174</v>
      </c>
      <c r="B147" s="14">
        <v>793</v>
      </c>
      <c r="C147" s="15" t="s">
        <v>53</v>
      </c>
      <c r="D147" s="15" t="s">
        <v>87</v>
      </c>
      <c r="E147" s="14" t="s">
        <v>1303</v>
      </c>
      <c r="F147" s="14">
        <v>870</v>
      </c>
      <c r="G147" s="70">
        <f>прил4!G2090+прил4!G1633</f>
        <v>0</v>
      </c>
      <c r="H147" s="70"/>
      <c r="I147" s="70"/>
      <c r="J147" s="172"/>
      <c r="K147" s="69"/>
      <c r="L147" s="69"/>
      <c r="M147" s="69"/>
      <c r="N147" s="69"/>
      <c r="O147" s="69"/>
      <c r="P147" s="69"/>
      <c r="Q147" s="69"/>
      <c r="R147" s="69"/>
      <c r="S147" s="1"/>
      <c r="T147" s="1"/>
    </row>
    <row r="148" spans="1:22" s="224" customFormat="1" ht="39.6">
      <c r="A148" s="107" t="s">
        <v>1128</v>
      </c>
      <c r="B148" s="35">
        <v>763</v>
      </c>
      <c r="C148" s="36" t="s">
        <v>18</v>
      </c>
      <c r="D148" s="36" t="s">
        <v>53</v>
      </c>
      <c r="E148" s="36" t="s">
        <v>201</v>
      </c>
      <c r="F148" s="75"/>
      <c r="G148" s="71">
        <f>G160+G170+G176+G179+G182+G185+G188++G191+G194+G200+G197+G203+G153+G152+G157+G167</f>
        <v>27121853.669999994</v>
      </c>
      <c r="H148" s="71">
        <f>H160+H170+H173+H176+H179+H191</f>
        <v>18273759</v>
      </c>
      <c r="I148" s="71">
        <f>I160+I170+I173+I176+I179+I191</f>
        <v>18371286</v>
      </c>
      <c r="J148" s="223">
        <v>9155959</v>
      </c>
      <c r="L148" s="223">
        <f>G148+H148+I148-G160-H160-I160</f>
        <v>12946518.819999993</v>
      </c>
      <c r="P148" s="223"/>
      <c r="Q148" s="223"/>
      <c r="R148" s="223"/>
      <c r="S148" s="223"/>
      <c r="T148" s="223">
        <f>прил4!G548+прил4!G560+прил4!G596</f>
        <v>27121853.669999994</v>
      </c>
      <c r="U148" s="223">
        <f>T148-G148</f>
        <v>0</v>
      </c>
      <c r="V148" s="223"/>
    </row>
    <row r="149" spans="1:22" s="18" customFormat="1" ht="76.5" customHeight="1">
      <c r="A149" s="82" t="s">
        <v>1454</v>
      </c>
      <c r="B149" s="145">
        <v>763</v>
      </c>
      <c r="C149" s="84" t="s">
        <v>18</v>
      </c>
      <c r="D149" s="84" t="s">
        <v>22</v>
      </c>
      <c r="E149" s="15" t="s">
        <v>1205</v>
      </c>
      <c r="F149" s="15"/>
      <c r="G149" s="70">
        <f>G151</f>
        <v>5644150</v>
      </c>
      <c r="H149" s="70">
        <f>H151</f>
        <v>0</v>
      </c>
      <c r="I149" s="70">
        <f>I151</f>
        <v>0</v>
      </c>
      <c r="J149" s="172">
        <f>G152+G177</f>
        <v>6300240</v>
      </c>
      <c r="K149" s="180"/>
      <c r="L149" s="180"/>
      <c r="M149" s="180"/>
      <c r="N149" s="180"/>
      <c r="O149" s="180"/>
      <c r="P149" s="180"/>
      <c r="Q149" s="180"/>
      <c r="R149" s="180"/>
    </row>
    <row r="150" spans="1:22" s="18" customFormat="1" ht="39" hidden="1" customHeight="1">
      <c r="A150" s="16" t="s">
        <v>1066</v>
      </c>
      <c r="B150" s="145">
        <v>763</v>
      </c>
      <c r="C150" s="84" t="s">
        <v>18</v>
      </c>
      <c r="D150" s="84" t="s">
        <v>22</v>
      </c>
      <c r="E150" s="15" t="s">
        <v>1205</v>
      </c>
      <c r="F150" s="15"/>
      <c r="G150" s="70">
        <f>G151</f>
        <v>5644150</v>
      </c>
      <c r="H150" s="70">
        <f t="shared" ref="H150:I150" si="37">H151</f>
        <v>0</v>
      </c>
      <c r="I150" s="70">
        <f t="shared" si="37"/>
        <v>0</v>
      </c>
      <c r="J150" s="172"/>
      <c r="K150" s="180"/>
      <c r="L150" s="180"/>
      <c r="M150" s="180"/>
      <c r="N150" s="180"/>
      <c r="O150" s="180"/>
      <c r="P150" s="180"/>
      <c r="Q150" s="180"/>
      <c r="R150" s="180"/>
    </row>
    <row r="151" spans="1:22" ht="30.75" customHeight="1">
      <c r="A151" s="16" t="s">
        <v>35</v>
      </c>
      <c r="B151" s="145">
        <v>763</v>
      </c>
      <c r="C151" s="84" t="s">
        <v>18</v>
      </c>
      <c r="D151" s="84" t="s">
        <v>22</v>
      </c>
      <c r="E151" s="15" t="s">
        <v>1205</v>
      </c>
      <c r="F151" s="15" t="s">
        <v>36</v>
      </c>
      <c r="G151" s="70">
        <f t="shared" ref="G151:I151" si="38">G152</f>
        <v>5644150</v>
      </c>
      <c r="H151" s="70">
        <f t="shared" si="38"/>
        <v>0</v>
      </c>
      <c r="I151" s="70">
        <f t="shared" si="38"/>
        <v>0</v>
      </c>
      <c r="J151" s="172"/>
      <c r="K151" s="69"/>
      <c r="L151" s="69"/>
      <c r="M151" s="69"/>
      <c r="N151" s="69"/>
      <c r="O151" s="69"/>
      <c r="P151" s="69"/>
      <c r="Q151" s="69"/>
      <c r="R151" s="69"/>
      <c r="S151" s="1"/>
      <c r="T151" s="1"/>
    </row>
    <row r="152" spans="1:22" s="18" customFormat="1" ht="34.5" customHeight="1">
      <c r="A152" s="16" t="s">
        <v>37</v>
      </c>
      <c r="B152" s="360">
        <v>763</v>
      </c>
      <c r="C152" s="84" t="s">
        <v>18</v>
      </c>
      <c r="D152" s="84" t="s">
        <v>22</v>
      </c>
      <c r="E152" s="15" t="s">
        <v>1205</v>
      </c>
      <c r="F152" s="15" t="s">
        <v>38</v>
      </c>
      <c r="G152" s="70">
        <f>прил4!G574</f>
        <v>5644150</v>
      </c>
      <c r="H152" s="70">
        <v>0</v>
      </c>
      <c r="I152" s="70">
        <v>0</v>
      </c>
      <c r="J152" s="172"/>
      <c r="K152" s="180"/>
      <c r="L152" s="180"/>
      <c r="M152" s="180"/>
      <c r="N152" s="180"/>
      <c r="O152" s="180"/>
      <c r="P152" s="180"/>
      <c r="Q152" s="180"/>
      <c r="R152" s="180"/>
    </row>
    <row r="153" spans="1:22" s="18" customFormat="1" ht="63.75" customHeight="1">
      <c r="A153" s="16" t="s">
        <v>1182</v>
      </c>
      <c r="B153" s="145">
        <v>763</v>
      </c>
      <c r="C153" s="84" t="s">
        <v>43</v>
      </c>
      <c r="D153" s="84" t="s">
        <v>18</v>
      </c>
      <c r="E153" s="15" t="s">
        <v>1226</v>
      </c>
      <c r="F153" s="15"/>
      <c r="G153" s="70">
        <f>G155</f>
        <v>1705850</v>
      </c>
      <c r="H153" s="70">
        <f>H155</f>
        <v>0</v>
      </c>
      <c r="I153" s="70">
        <f>I155</f>
        <v>0</v>
      </c>
      <c r="J153" s="172"/>
      <c r="K153" s="180"/>
      <c r="L153" s="180"/>
      <c r="M153" s="180"/>
      <c r="N153" s="180"/>
      <c r="O153" s="180"/>
      <c r="P153" s="180"/>
      <c r="Q153" s="180"/>
      <c r="R153" s="180"/>
    </row>
    <row r="154" spans="1:22" s="18" customFormat="1" ht="39" hidden="1" customHeight="1">
      <c r="A154" s="16" t="s">
        <v>1066</v>
      </c>
      <c r="B154" s="145">
        <v>763</v>
      </c>
      <c r="C154" s="84" t="s">
        <v>43</v>
      </c>
      <c r="D154" s="84" t="s">
        <v>18</v>
      </c>
      <c r="E154" s="15" t="s">
        <v>1226</v>
      </c>
      <c r="F154" s="15"/>
      <c r="G154" s="70">
        <f>G155</f>
        <v>1705850</v>
      </c>
      <c r="H154" s="70">
        <f t="shared" ref="H154:I154" si="39">H155</f>
        <v>0</v>
      </c>
      <c r="I154" s="70">
        <f t="shared" si="39"/>
        <v>0</v>
      </c>
      <c r="J154" s="172"/>
      <c r="K154" s="180"/>
      <c r="L154" s="180"/>
      <c r="M154" s="180"/>
      <c r="N154" s="180"/>
      <c r="O154" s="180"/>
      <c r="P154" s="180"/>
      <c r="Q154" s="180"/>
      <c r="R154" s="180"/>
    </row>
    <row r="155" spans="1:22" ht="30.75" customHeight="1">
      <c r="A155" s="16" t="s">
        <v>35</v>
      </c>
      <c r="B155" s="145">
        <v>763</v>
      </c>
      <c r="C155" s="84" t="s">
        <v>43</v>
      </c>
      <c r="D155" s="84" t="s">
        <v>18</v>
      </c>
      <c r="E155" s="15" t="s">
        <v>1226</v>
      </c>
      <c r="F155" s="15" t="s">
        <v>36</v>
      </c>
      <c r="G155" s="70">
        <f t="shared" ref="G155:I155" si="40">G156</f>
        <v>1705850</v>
      </c>
      <c r="H155" s="70">
        <f t="shared" si="40"/>
        <v>0</v>
      </c>
      <c r="I155" s="70">
        <f t="shared" si="40"/>
        <v>0</v>
      </c>
      <c r="J155" s="172"/>
      <c r="K155" s="69"/>
      <c r="L155" s="69"/>
      <c r="M155" s="69"/>
      <c r="N155" s="69"/>
      <c r="O155" s="69"/>
      <c r="P155" s="69"/>
      <c r="Q155" s="69"/>
      <c r="R155" s="69"/>
      <c r="S155" s="1"/>
      <c r="T155" s="1"/>
    </row>
    <row r="156" spans="1:22" s="18" customFormat="1" ht="34.5" customHeight="1">
      <c r="A156" s="16" t="s">
        <v>37</v>
      </c>
      <c r="B156" s="145">
        <v>763</v>
      </c>
      <c r="C156" s="84" t="s">
        <v>43</v>
      </c>
      <c r="D156" s="84" t="s">
        <v>18</v>
      </c>
      <c r="E156" s="15" t="s">
        <v>1226</v>
      </c>
      <c r="F156" s="15" t="s">
        <v>38</v>
      </c>
      <c r="G156" s="70">
        <f>прил4!G578</f>
        <v>1705850</v>
      </c>
      <c r="H156" s="70">
        <v>0</v>
      </c>
      <c r="I156" s="70">
        <v>0</v>
      </c>
      <c r="J156" s="172"/>
      <c r="K156" s="180"/>
      <c r="L156" s="180"/>
      <c r="M156" s="180"/>
      <c r="N156" s="180"/>
      <c r="O156" s="180"/>
      <c r="P156" s="180"/>
      <c r="Q156" s="180"/>
      <c r="R156" s="180"/>
    </row>
    <row r="157" spans="1:22" ht="27.75" customHeight="1">
      <c r="A157" s="30" t="s">
        <v>766</v>
      </c>
      <c r="B157" s="145">
        <v>763</v>
      </c>
      <c r="C157" s="84" t="s">
        <v>53</v>
      </c>
      <c r="D157" s="84" t="s">
        <v>87</v>
      </c>
      <c r="E157" s="84" t="s">
        <v>1266</v>
      </c>
      <c r="F157" s="84"/>
      <c r="G157" s="87">
        <f>G158</f>
        <v>599000</v>
      </c>
      <c r="H157" s="87">
        <f t="shared" ref="H157:I157" si="41">H158</f>
        <v>0</v>
      </c>
      <c r="I157" s="87">
        <f t="shared" si="41"/>
        <v>0</v>
      </c>
      <c r="J157" s="173"/>
      <c r="K157" s="181"/>
      <c r="L157" s="181"/>
      <c r="M157" s="181"/>
      <c r="N157" s="181"/>
      <c r="O157" s="181"/>
      <c r="P157" s="181"/>
      <c r="Q157" s="181"/>
      <c r="R157" s="181"/>
      <c r="S157" s="1"/>
      <c r="T157" s="1"/>
    </row>
    <row r="158" spans="1:22" ht="26.4">
      <c r="A158" s="16" t="s">
        <v>35</v>
      </c>
      <c r="B158" s="145">
        <v>763</v>
      </c>
      <c r="C158" s="84" t="s">
        <v>53</v>
      </c>
      <c r="D158" s="84" t="s">
        <v>87</v>
      </c>
      <c r="E158" s="84" t="s">
        <v>1266</v>
      </c>
      <c r="F158" s="84" t="s">
        <v>36</v>
      </c>
      <c r="G158" s="87">
        <f>SUM(G159)</f>
        <v>599000</v>
      </c>
      <c r="H158" s="87">
        <f>SUM(H159)</f>
        <v>0</v>
      </c>
      <c r="I158" s="87">
        <f>SUM(I159)</f>
        <v>0</v>
      </c>
      <c r="J158" s="173"/>
      <c r="K158" s="181"/>
      <c r="L158" s="181"/>
      <c r="M158" s="181"/>
      <c r="N158" s="181"/>
      <c r="O158" s="181"/>
      <c r="P158" s="181"/>
      <c r="Q158" s="181"/>
      <c r="R158" s="181"/>
      <c r="S158" s="1"/>
      <c r="T158" s="1"/>
    </row>
    <row r="159" spans="1:22" ht="25.5" customHeight="1">
      <c r="A159" s="16" t="s">
        <v>37</v>
      </c>
      <c r="B159" s="145">
        <v>763</v>
      </c>
      <c r="C159" s="84" t="s">
        <v>53</v>
      </c>
      <c r="D159" s="84" t="s">
        <v>87</v>
      </c>
      <c r="E159" s="84" t="s">
        <v>1266</v>
      </c>
      <c r="F159" s="84" t="s">
        <v>38</v>
      </c>
      <c r="G159" s="87">
        <f>прил4!G626</f>
        <v>599000</v>
      </c>
      <c r="H159" s="87">
        <v>0</v>
      </c>
      <c r="I159" s="87">
        <v>0</v>
      </c>
      <c r="J159" s="173"/>
      <c r="K159" s="181"/>
      <c r="L159" s="181"/>
      <c r="M159" s="181"/>
      <c r="N159" s="181"/>
      <c r="O159" s="181"/>
      <c r="P159" s="181"/>
      <c r="Q159" s="181"/>
      <c r="R159" s="181"/>
      <c r="S159" s="1"/>
      <c r="T159" s="1"/>
    </row>
    <row r="160" spans="1:22" s="33" customFormat="1" ht="26.4">
      <c r="A160" s="82" t="s">
        <v>75</v>
      </c>
      <c r="B160" s="14">
        <v>763</v>
      </c>
      <c r="C160" s="15" t="s">
        <v>18</v>
      </c>
      <c r="D160" s="15" t="s">
        <v>53</v>
      </c>
      <c r="E160" s="15" t="s">
        <v>202</v>
      </c>
      <c r="F160" s="39"/>
      <c r="G160" s="87">
        <f>G161+G163+G165</f>
        <v>17075334.849999998</v>
      </c>
      <c r="H160" s="87">
        <f t="shared" ref="H160:I160" si="42">H161+H163+H165</f>
        <v>16823759</v>
      </c>
      <c r="I160" s="87">
        <f t="shared" si="42"/>
        <v>16921286</v>
      </c>
      <c r="J160" s="113">
        <v>567396</v>
      </c>
      <c r="P160" s="113"/>
      <c r="Q160" s="113"/>
      <c r="R160" s="113"/>
      <c r="S160" s="113"/>
      <c r="T160" s="113"/>
    </row>
    <row r="161" spans="1:20" ht="52.8">
      <c r="A161" s="16" t="s">
        <v>54</v>
      </c>
      <c r="B161" s="14">
        <v>763</v>
      </c>
      <c r="C161" s="15" t="s">
        <v>18</v>
      </c>
      <c r="D161" s="15" t="s">
        <v>53</v>
      </c>
      <c r="E161" s="15" t="s">
        <v>202</v>
      </c>
      <c r="F161" s="15" t="s">
        <v>57</v>
      </c>
      <c r="G161" s="87">
        <f>SUM(G162)</f>
        <v>16131754.279999999</v>
      </c>
      <c r="H161" s="87">
        <f>SUM(H162)</f>
        <v>16115607</v>
      </c>
      <c r="I161" s="87">
        <f>SUM(I162)</f>
        <v>16213134</v>
      </c>
      <c r="J161" s="2">
        <v>15000</v>
      </c>
    </row>
    <row r="162" spans="1:20" ht="26.4">
      <c r="A162" s="16" t="s">
        <v>55</v>
      </c>
      <c r="B162" s="14">
        <v>763</v>
      </c>
      <c r="C162" s="15" t="s">
        <v>18</v>
      </c>
      <c r="D162" s="15" t="s">
        <v>53</v>
      </c>
      <c r="E162" s="15" t="s">
        <v>202</v>
      </c>
      <c r="F162" s="15" t="s">
        <v>58</v>
      </c>
      <c r="G162" s="87">
        <f>прил4!G551</f>
        <v>16131754.279999999</v>
      </c>
      <c r="H162" s="87">
        <f>прил4!AH551+прил4!H551</f>
        <v>16115607</v>
      </c>
      <c r="I162" s="87">
        <f>прил4!AI551+прил4!I551</f>
        <v>16213134</v>
      </c>
      <c r="J162" s="2">
        <v>200000</v>
      </c>
    </row>
    <row r="163" spans="1:20" ht="26.4">
      <c r="A163" s="16" t="s">
        <v>35</v>
      </c>
      <c r="B163" s="14">
        <v>763</v>
      </c>
      <c r="C163" s="15" t="s">
        <v>18</v>
      </c>
      <c r="D163" s="15" t="s">
        <v>53</v>
      </c>
      <c r="E163" s="15" t="s">
        <v>202</v>
      </c>
      <c r="F163" s="15" t="s">
        <v>36</v>
      </c>
      <c r="G163" s="87">
        <f>SUM(G164)</f>
        <v>907498.57000000007</v>
      </c>
      <c r="H163" s="87">
        <f>SUM(H164)</f>
        <v>670712</v>
      </c>
      <c r="I163" s="87">
        <f>SUM(I164)</f>
        <v>670712</v>
      </c>
      <c r="J163" s="2">
        <v>200000</v>
      </c>
    </row>
    <row r="164" spans="1:20" ht="26.4">
      <c r="A164" s="16" t="s">
        <v>37</v>
      </c>
      <c r="B164" s="14">
        <v>763</v>
      </c>
      <c r="C164" s="15" t="s">
        <v>18</v>
      </c>
      <c r="D164" s="15" t="s">
        <v>53</v>
      </c>
      <c r="E164" s="15" t="s">
        <v>202</v>
      </c>
      <c r="F164" s="15" t="s">
        <v>38</v>
      </c>
      <c r="G164" s="87">
        <f>прил4!G553</f>
        <v>907498.57000000007</v>
      </c>
      <c r="H164" s="87">
        <f>прил4!AH553+прил4!H553</f>
        <v>670712</v>
      </c>
      <c r="I164" s="87">
        <f>прил4!AI553+прил4!I553</f>
        <v>670712</v>
      </c>
      <c r="J164" s="2">
        <v>210000</v>
      </c>
    </row>
    <row r="165" spans="1:20">
      <c r="A165" s="16" t="s">
        <v>62</v>
      </c>
      <c r="B165" s="14"/>
      <c r="C165" s="15"/>
      <c r="D165" s="15"/>
      <c r="E165" s="15" t="s">
        <v>202</v>
      </c>
      <c r="F165" s="15" t="s">
        <v>63</v>
      </c>
      <c r="G165" s="87">
        <f>G166</f>
        <v>36082</v>
      </c>
      <c r="H165" s="87">
        <f>H166</f>
        <v>37440</v>
      </c>
      <c r="I165" s="87">
        <f>I166</f>
        <v>37440</v>
      </c>
      <c r="J165" s="2">
        <f>SUM(J148:J164)</f>
        <v>16648595</v>
      </c>
    </row>
    <row r="166" spans="1:20">
      <c r="A166" s="16" t="s">
        <v>140</v>
      </c>
      <c r="B166" s="14"/>
      <c r="C166" s="15"/>
      <c r="D166" s="15"/>
      <c r="E166" s="15" t="s">
        <v>202</v>
      </c>
      <c r="F166" s="15" t="s">
        <v>66</v>
      </c>
      <c r="G166" s="87">
        <f>прил4!G555</f>
        <v>36082</v>
      </c>
      <c r="H166" s="87">
        <f>прил4!AH555+прил4!H555</f>
        <v>37440</v>
      </c>
      <c r="I166" s="87">
        <f>прил4!AI555+прил4!I555</f>
        <v>37440</v>
      </c>
    </row>
    <row r="167" spans="1:20" ht="84.75" customHeight="1">
      <c r="A167" s="82" t="s">
        <v>1435</v>
      </c>
      <c r="B167" s="145">
        <v>763</v>
      </c>
      <c r="C167" s="354" t="s">
        <v>18</v>
      </c>
      <c r="D167" s="354" t="s">
        <v>53</v>
      </c>
      <c r="E167" s="84" t="s">
        <v>1529</v>
      </c>
      <c r="F167" s="84"/>
      <c r="G167" s="87">
        <f>G168</f>
        <v>187708.08</v>
      </c>
      <c r="H167" s="87">
        <f t="shared" ref="H167:I167" si="43">H168</f>
        <v>0</v>
      </c>
      <c r="I167" s="87">
        <f t="shared" si="43"/>
        <v>0</v>
      </c>
      <c r="J167" s="173"/>
      <c r="K167" s="181"/>
      <c r="L167" s="181"/>
      <c r="M167" s="181"/>
      <c r="N167" s="181"/>
      <c r="O167" s="181"/>
      <c r="P167" s="181"/>
      <c r="Q167" s="181"/>
      <c r="R167" s="181"/>
      <c r="S167" s="1"/>
      <c r="T167" s="1"/>
    </row>
    <row r="168" spans="1:20" ht="29.25" customHeight="1">
      <c r="A168" s="82" t="s">
        <v>54</v>
      </c>
      <c r="B168" s="145">
        <v>763</v>
      </c>
      <c r="C168" s="354" t="s">
        <v>18</v>
      </c>
      <c r="D168" s="354" t="s">
        <v>53</v>
      </c>
      <c r="E168" s="84" t="s">
        <v>1529</v>
      </c>
      <c r="F168" s="84" t="s">
        <v>57</v>
      </c>
      <c r="G168" s="87">
        <f>G169</f>
        <v>187708.08</v>
      </c>
      <c r="H168" s="87">
        <f>H169</f>
        <v>0</v>
      </c>
      <c r="I168" s="87">
        <f>I169</f>
        <v>0</v>
      </c>
      <c r="J168" s="173"/>
      <c r="K168" s="181"/>
      <c r="L168" s="181"/>
      <c r="M168" s="181"/>
      <c r="N168" s="181"/>
      <c r="O168" s="181"/>
      <c r="P168" s="181"/>
      <c r="Q168" s="181"/>
      <c r="R168" s="181"/>
      <c r="S168" s="1"/>
      <c r="T168" s="1"/>
    </row>
    <row r="169" spans="1:20" ht="36.75" customHeight="1">
      <c r="A169" s="82" t="s">
        <v>55</v>
      </c>
      <c r="B169" s="145">
        <v>763</v>
      </c>
      <c r="C169" s="354" t="s">
        <v>18</v>
      </c>
      <c r="D169" s="354" t="s">
        <v>53</v>
      </c>
      <c r="E169" s="84" t="s">
        <v>1529</v>
      </c>
      <c r="F169" s="84" t="s">
        <v>58</v>
      </c>
      <c r="G169" s="70">
        <f>прил4!G558</f>
        <v>187708.08</v>
      </c>
      <c r="H169" s="87">
        <v>0</v>
      </c>
      <c r="I169" s="87">
        <v>0</v>
      </c>
      <c r="J169" s="173"/>
      <c r="K169" s="181"/>
      <c r="L169" s="181"/>
      <c r="M169" s="181"/>
      <c r="N169" s="181"/>
      <c r="O169" s="181"/>
      <c r="P169" s="181"/>
      <c r="Q169" s="181"/>
      <c r="R169" s="181"/>
      <c r="S169" s="1"/>
      <c r="T169" s="1"/>
    </row>
    <row r="170" spans="1:20" ht="33.75" customHeight="1">
      <c r="A170" s="16" t="s">
        <v>615</v>
      </c>
      <c r="B170" s="14">
        <v>763</v>
      </c>
      <c r="C170" s="15" t="s">
        <v>18</v>
      </c>
      <c r="D170" s="15" t="s">
        <v>22</v>
      </c>
      <c r="E170" s="15" t="s">
        <v>203</v>
      </c>
      <c r="F170" s="15"/>
      <c r="G170" s="87">
        <f>G171+G173</f>
        <v>992720.74</v>
      </c>
      <c r="H170" s="87">
        <f t="shared" ref="G170:I171" si="44">H171</f>
        <v>429000</v>
      </c>
      <c r="I170" s="87">
        <f t="shared" si="44"/>
        <v>429000</v>
      </c>
    </row>
    <row r="171" spans="1:20" ht="27.75" customHeight="1">
      <c r="A171" s="16" t="s">
        <v>35</v>
      </c>
      <c r="B171" s="14">
        <v>763</v>
      </c>
      <c r="C171" s="15" t="s">
        <v>18</v>
      </c>
      <c r="D171" s="15" t="s">
        <v>22</v>
      </c>
      <c r="E171" s="15" t="s">
        <v>203</v>
      </c>
      <c r="F171" s="15" t="s">
        <v>36</v>
      </c>
      <c r="G171" s="87">
        <f t="shared" si="44"/>
        <v>967426.74</v>
      </c>
      <c r="H171" s="87">
        <f t="shared" si="44"/>
        <v>429000</v>
      </c>
      <c r="I171" s="87">
        <f t="shared" si="44"/>
        <v>429000</v>
      </c>
    </row>
    <row r="172" spans="1:20" ht="28.5" customHeight="1">
      <c r="A172" s="16" t="s">
        <v>37</v>
      </c>
      <c r="B172" s="14">
        <v>763</v>
      </c>
      <c r="C172" s="15" t="s">
        <v>18</v>
      </c>
      <c r="D172" s="15" t="s">
        <v>22</v>
      </c>
      <c r="E172" s="15" t="s">
        <v>203</v>
      </c>
      <c r="F172" s="15" t="s">
        <v>38</v>
      </c>
      <c r="G172" s="87">
        <f>прил4!G563</f>
        <v>967426.74</v>
      </c>
      <c r="H172" s="87">
        <f>прил4!AH563+прил4!H563</f>
        <v>429000</v>
      </c>
      <c r="I172" s="87">
        <f>прил4!AI563+прил4!I563</f>
        <v>429000</v>
      </c>
    </row>
    <row r="173" spans="1:20">
      <c r="A173" s="16" t="s">
        <v>62</v>
      </c>
      <c r="B173" s="14">
        <v>763</v>
      </c>
      <c r="C173" s="15" t="s">
        <v>18</v>
      </c>
      <c r="D173" s="15" t="s">
        <v>22</v>
      </c>
      <c r="E173" s="15" t="s">
        <v>203</v>
      </c>
      <c r="F173" s="15" t="s">
        <v>63</v>
      </c>
      <c r="G173" s="87">
        <f>G174</f>
        <v>25294</v>
      </c>
      <c r="H173" s="70">
        <v>0</v>
      </c>
      <c r="I173" s="70">
        <v>0</v>
      </c>
    </row>
    <row r="174" spans="1:20" ht="15" customHeight="1">
      <c r="A174" s="16" t="s">
        <v>140</v>
      </c>
      <c r="B174" s="14">
        <v>763</v>
      </c>
      <c r="C174" s="15" t="s">
        <v>18</v>
      </c>
      <c r="D174" s="15" t="s">
        <v>22</v>
      </c>
      <c r="E174" s="15" t="s">
        <v>203</v>
      </c>
      <c r="F174" s="15" t="s">
        <v>66</v>
      </c>
      <c r="G174" s="87">
        <f>прил4!G565</f>
        <v>25294</v>
      </c>
      <c r="H174" s="70">
        <v>0</v>
      </c>
      <c r="I174" s="70">
        <v>0</v>
      </c>
    </row>
    <row r="175" spans="1:20" ht="28.5" hidden="1" customHeight="1">
      <c r="A175" s="16"/>
      <c r="B175" s="14"/>
      <c r="C175" s="15"/>
      <c r="D175" s="15"/>
      <c r="E175" s="15"/>
      <c r="F175" s="15"/>
      <c r="G175" s="70"/>
      <c r="H175" s="70"/>
      <c r="I175" s="70"/>
      <c r="J175" s="1"/>
    </row>
    <row r="176" spans="1:20" ht="125.25" customHeight="1">
      <c r="A176" s="16" t="s">
        <v>1202</v>
      </c>
      <c r="B176" s="14">
        <v>763</v>
      </c>
      <c r="C176" s="15" t="s">
        <v>53</v>
      </c>
      <c r="D176" s="15" t="s">
        <v>87</v>
      </c>
      <c r="E176" s="15" t="s">
        <v>206</v>
      </c>
      <c r="F176" s="15"/>
      <c r="G176" s="87">
        <f>G177</f>
        <v>656090</v>
      </c>
      <c r="H176" s="87">
        <f t="shared" ref="H176:I176" si="45">H177</f>
        <v>760000</v>
      </c>
      <c r="I176" s="87">
        <f t="shared" si="45"/>
        <v>760000</v>
      </c>
    </row>
    <row r="177" spans="1:10" ht="26.4">
      <c r="A177" s="16" t="s">
        <v>35</v>
      </c>
      <c r="B177" s="14">
        <v>763</v>
      </c>
      <c r="C177" s="15" t="s">
        <v>53</v>
      </c>
      <c r="D177" s="15" t="s">
        <v>87</v>
      </c>
      <c r="E177" s="15" t="s">
        <v>206</v>
      </c>
      <c r="F177" s="15" t="s">
        <v>36</v>
      </c>
      <c r="G177" s="87">
        <f>SUM(G178)</f>
        <v>656090</v>
      </c>
      <c r="H177" s="87">
        <f>SUM(H178)</f>
        <v>760000</v>
      </c>
      <c r="I177" s="87">
        <f>SUM(I178)</f>
        <v>760000</v>
      </c>
    </row>
    <row r="178" spans="1:10" ht="25.5" customHeight="1">
      <c r="A178" s="16" t="s">
        <v>37</v>
      </c>
      <c r="B178" s="14">
        <v>763</v>
      </c>
      <c r="C178" s="15" t="s">
        <v>53</v>
      </c>
      <c r="D178" s="15" t="s">
        <v>87</v>
      </c>
      <c r="E178" s="15" t="s">
        <v>206</v>
      </c>
      <c r="F178" s="15" t="s">
        <v>38</v>
      </c>
      <c r="G178" s="87">
        <f>прил4!G599</f>
        <v>656090</v>
      </c>
      <c r="H178" s="87">
        <f>прил4!AH599+прил4!H599</f>
        <v>760000</v>
      </c>
      <c r="I178" s="87">
        <f>прил4!AI599+прил4!I599</f>
        <v>760000</v>
      </c>
    </row>
    <row r="179" spans="1:10" ht="94.5" customHeight="1">
      <c r="A179" s="30" t="s">
        <v>1203</v>
      </c>
      <c r="B179" s="14">
        <v>763</v>
      </c>
      <c r="C179" s="15" t="s">
        <v>53</v>
      </c>
      <c r="D179" s="15" t="s">
        <v>87</v>
      </c>
      <c r="E179" s="15" t="s">
        <v>207</v>
      </c>
      <c r="F179" s="15"/>
      <c r="G179" s="87">
        <f>G180</f>
        <v>261000</v>
      </c>
      <c r="H179" s="87">
        <f t="shared" ref="H179:I179" si="46">H180</f>
        <v>261000</v>
      </c>
      <c r="I179" s="87">
        <f t="shared" si="46"/>
        <v>261000</v>
      </c>
    </row>
    <row r="180" spans="1:10" ht="26.4">
      <c r="A180" s="16" t="s">
        <v>35</v>
      </c>
      <c r="B180" s="14">
        <v>763</v>
      </c>
      <c r="C180" s="15" t="s">
        <v>53</v>
      </c>
      <c r="D180" s="15" t="s">
        <v>87</v>
      </c>
      <c r="E180" s="15" t="s">
        <v>207</v>
      </c>
      <c r="F180" s="15" t="s">
        <v>36</v>
      </c>
      <c r="G180" s="87">
        <f>SUM(G181)</f>
        <v>261000</v>
      </c>
      <c r="H180" s="87">
        <f>SUM(H181)</f>
        <v>261000</v>
      </c>
      <c r="I180" s="87">
        <f>SUM(I181)</f>
        <v>261000</v>
      </c>
    </row>
    <row r="181" spans="1:10" ht="25.5" customHeight="1">
      <c r="A181" s="16" t="s">
        <v>37</v>
      </c>
      <c r="B181" s="14">
        <v>763</v>
      </c>
      <c r="C181" s="15" t="s">
        <v>53</v>
      </c>
      <c r="D181" s="15" t="s">
        <v>87</v>
      </c>
      <c r="E181" s="15" t="s">
        <v>207</v>
      </c>
      <c r="F181" s="15" t="s">
        <v>38</v>
      </c>
      <c r="G181" s="87">
        <f>прил4!G602</f>
        <v>261000</v>
      </c>
      <c r="H181" s="87">
        <f>прил4!AH602+прил4!H602</f>
        <v>261000</v>
      </c>
      <c r="I181" s="87">
        <f>прил4!AI602+прил4!I602</f>
        <v>261000</v>
      </c>
    </row>
    <row r="182" spans="1:10" ht="81.75" hidden="1" customHeight="1">
      <c r="A182" s="30" t="s">
        <v>571</v>
      </c>
      <c r="B182" s="14">
        <v>763</v>
      </c>
      <c r="C182" s="15" t="s">
        <v>53</v>
      </c>
      <c r="D182" s="15" t="s">
        <v>87</v>
      </c>
      <c r="E182" s="15" t="s">
        <v>538</v>
      </c>
      <c r="F182" s="15"/>
      <c r="G182" s="70">
        <f>G183</f>
        <v>0</v>
      </c>
      <c r="H182" s="70">
        <v>0</v>
      </c>
      <c r="I182" s="70">
        <v>0</v>
      </c>
      <c r="J182" s="1"/>
    </row>
    <row r="183" spans="1:10" ht="26.4" hidden="1">
      <c r="A183" s="16" t="s">
        <v>35</v>
      </c>
      <c r="B183" s="14">
        <v>763</v>
      </c>
      <c r="C183" s="15" t="s">
        <v>53</v>
      </c>
      <c r="D183" s="15" t="s">
        <v>87</v>
      </c>
      <c r="E183" s="15" t="s">
        <v>538</v>
      </c>
      <c r="F183" s="15" t="s">
        <v>36</v>
      </c>
      <c r="G183" s="70">
        <f>SUM(G184)</f>
        <v>0</v>
      </c>
      <c r="H183" s="70">
        <f>SUM(H184)</f>
        <v>0</v>
      </c>
      <c r="I183" s="70">
        <f>SUM(I184)</f>
        <v>0</v>
      </c>
      <c r="J183" s="1"/>
    </row>
    <row r="184" spans="1:10" ht="25.5" hidden="1" customHeight="1">
      <c r="A184" s="16" t="s">
        <v>37</v>
      </c>
      <c r="B184" s="14">
        <v>763</v>
      </c>
      <c r="C184" s="15" t="s">
        <v>53</v>
      </c>
      <c r="D184" s="15" t="s">
        <v>87</v>
      </c>
      <c r="E184" s="15" t="s">
        <v>538</v>
      </c>
      <c r="F184" s="15" t="s">
        <v>38</v>
      </c>
      <c r="G184" s="70"/>
      <c r="H184" s="70">
        <v>0</v>
      </c>
      <c r="I184" s="70">
        <v>0</v>
      </c>
      <c r="J184" s="1"/>
    </row>
    <row r="185" spans="1:10" ht="23.25" hidden="1" customHeight="1">
      <c r="A185" s="120" t="s">
        <v>540</v>
      </c>
      <c r="B185" s="14">
        <v>763</v>
      </c>
      <c r="C185" s="15" t="s">
        <v>53</v>
      </c>
      <c r="D185" s="15" t="s">
        <v>87</v>
      </c>
      <c r="E185" s="15" t="s">
        <v>539</v>
      </c>
      <c r="F185" s="15"/>
      <c r="G185" s="70">
        <f>G186</f>
        <v>0</v>
      </c>
      <c r="H185" s="70">
        <v>0</v>
      </c>
      <c r="I185" s="70">
        <v>0</v>
      </c>
      <c r="J185" s="1"/>
    </row>
    <row r="186" spans="1:10" ht="26.4" hidden="1">
      <c r="A186" s="16" t="s">
        <v>35</v>
      </c>
      <c r="B186" s="14">
        <v>763</v>
      </c>
      <c r="C186" s="15" t="s">
        <v>53</v>
      </c>
      <c r="D186" s="15" t="s">
        <v>87</v>
      </c>
      <c r="E186" s="15" t="s">
        <v>539</v>
      </c>
      <c r="F186" s="15" t="s">
        <v>36</v>
      </c>
      <c r="G186" s="70">
        <f>SUM(G187)</f>
        <v>0</v>
      </c>
      <c r="H186" s="70">
        <f>SUM(H187)</f>
        <v>0</v>
      </c>
      <c r="I186" s="70">
        <f>SUM(I187)</f>
        <v>0</v>
      </c>
      <c r="J186" s="1"/>
    </row>
    <row r="187" spans="1:10" ht="25.5" hidden="1" customHeight="1">
      <c r="A187" s="16" t="s">
        <v>37</v>
      </c>
      <c r="B187" s="14">
        <v>763</v>
      </c>
      <c r="C187" s="15" t="s">
        <v>53</v>
      </c>
      <c r="D187" s="15" t="s">
        <v>87</v>
      </c>
      <c r="E187" s="15" t="s">
        <v>539</v>
      </c>
      <c r="F187" s="15" t="s">
        <v>38</v>
      </c>
      <c r="G187" s="70"/>
      <c r="H187" s="70">
        <v>0</v>
      </c>
      <c r="I187" s="70">
        <v>0</v>
      </c>
      <c r="J187" s="1"/>
    </row>
    <row r="188" spans="1:10" ht="23.25" hidden="1" customHeight="1">
      <c r="A188" s="120" t="s">
        <v>542</v>
      </c>
      <c r="B188" s="14">
        <v>763</v>
      </c>
      <c r="C188" s="15" t="s">
        <v>53</v>
      </c>
      <c r="D188" s="15" t="s">
        <v>87</v>
      </c>
      <c r="E188" s="15" t="s">
        <v>541</v>
      </c>
      <c r="F188" s="15"/>
      <c r="G188" s="70">
        <f>G189</f>
        <v>0</v>
      </c>
      <c r="H188" s="70">
        <v>0</v>
      </c>
      <c r="I188" s="70">
        <v>0</v>
      </c>
      <c r="J188" s="1"/>
    </row>
    <row r="189" spans="1:10" ht="26.4" hidden="1">
      <c r="A189" s="16" t="s">
        <v>35</v>
      </c>
      <c r="B189" s="14">
        <v>763</v>
      </c>
      <c r="C189" s="15" t="s">
        <v>53</v>
      </c>
      <c r="D189" s="15" t="s">
        <v>87</v>
      </c>
      <c r="E189" s="15" t="s">
        <v>541</v>
      </c>
      <c r="F189" s="15" t="s">
        <v>36</v>
      </c>
      <c r="G189" s="70">
        <f>SUM(G190)</f>
        <v>0</v>
      </c>
      <c r="H189" s="70">
        <f>SUM(H190)</f>
        <v>0</v>
      </c>
      <c r="I189" s="70">
        <f>SUM(I190)</f>
        <v>0</v>
      </c>
      <c r="J189" s="1"/>
    </row>
    <row r="190" spans="1:10" ht="25.5" hidden="1" customHeight="1">
      <c r="A190" s="16" t="s">
        <v>37</v>
      </c>
      <c r="B190" s="14">
        <v>763</v>
      </c>
      <c r="C190" s="15" t="s">
        <v>53</v>
      </c>
      <c r="D190" s="15" t="s">
        <v>87</v>
      </c>
      <c r="E190" s="15" t="s">
        <v>541</v>
      </c>
      <c r="F190" s="15" t="s">
        <v>38</v>
      </c>
      <c r="G190" s="70"/>
      <c r="H190" s="70">
        <v>0</v>
      </c>
      <c r="I190" s="70">
        <v>0</v>
      </c>
      <c r="J190" s="1"/>
    </row>
    <row r="191" spans="1:10" ht="34.5" hidden="1" customHeight="1">
      <c r="A191" s="16" t="s">
        <v>556</v>
      </c>
      <c r="B191" s="14">
        <v>763</v>
      </c>
      <c r="C191" s="15" t="s">
        <v>53</v>
      </c>
      <c r="D191" s="15" t="s">
        <v>87</v>
      </c>
      <c r="E191" s="15" t="s">
        <v>555</v>
      </c>
      <c r="F191" s="15"/>
      <c r="G191" s="70">
        <f>G192</f>
        <v>0</v>
      </c>
      <c r="H191" s="70">
        <f t="shared" ref="H191:I191" si="47">H192</f>
        <v>0</v>
      </c>
      <c r="I191" s="70">
        <f t="shared" si="47"/>
        <v>0</v>
      </c>
      <c r="J191" s="1"/>
    </row>
    <row r="192" spans="1:10" ht="26.4" hidden="1">
      <c r="A192" s="16" t="s">
        <v>35</v>
      </c>
      <c r="B192" s="14">
        <v>763</v>
      </c>
      <c r="C192" s="15" t="s">
        <v>53</v>
      </c>
      <c r="D192" s="15" t="s">
        <v>87</v>
      </c>
      <c r="E192" s="15" t="s">
        <v>555</v>
      </c>
      <c r="F192" s="15" t="s">
        <v>36</v>
      </c>
      <c r="G192" s="70">
        <f>SUM(G193)</f>
        <v>0</v>
      </c>
      <c r="H192" s="70">
        <f>SUM(H193)</f>
        <v>0</v>
      </c>
      <c r="I192" s="70">
        <f>SUM(I193)</f>
        <v>0</v>
      </c>
      <c r="J192" s="1"/>
    </row>
    <row r="193" spans="1:22" ht="30.75" hidden="1" customHeight="1">
      <c r="A193" s="16" t="s">
        <v>37</v>
      </c>
      <c r="B193" s="14">
        <v>763</v>
      </c>
      <c r="C193" s="15" t="s">
        <v>53</v>
      </c>
      <c r="D193" s="15" t="s">
        <v>87</v>
      </c>
      <c r="E193" s="15" t="s">
        <v>555</v>
      </c>
      <c r="F193" s="15" t="s">
        <v>38</v>
      </c>
      <c r="G193" s="70">
        <f>прил4!G614</f>
        <v>0</v>
      </c>
      <c r="H193" s="70">
        <f>прил4!H614</f>
        <v>0</v>
      </c>
      <c r="I193" s="70">
        <f>прил4!I614</f>
        <v>0</v>
      </c>
      <c r="J193" s="1"/>
    </row>
    <row r="194" spans="1:22" ht="34.5" hidden="1" customHeight="1">
      <c r="A194" s="16" t="s">
        <v>755</v>
      </c>
      <c r="B194" s="14">
        <v>763</v>
      </c>
      <c r="C194" s="15" t="s">
        <v>53</v>
      </c>
      <c r="D194" s="15" t="s">
        <v>87</v>
      </c>
      <c r="E194" s="15" t="s">
        <v>754</v>
      </c>
      <c r="F194" s="15"/>
      <c r="G194" s="70">
        <f>G195</f>
        <v>0</v>
      </c>
      <c r="H194" s="70">
        <f>SUM(H195)</f>
        <v>0</v>
      </c>
      <c r="I194" s="70">
        <f>SUM(I195)</f>
        <v>0</v>
      </c>
      <c r="J194" s="1"/>
    </row>
    <row r="195" spans="1:22" ht="26.4" hidden="1">
      <c r="A195" s="16" t="s">
        <v>35</v>
      </c>
      <c r="B195" s="14">
        <v>763</v>
      </c>
      <c r="C195" s="15" t="s">
        <v>53</v>
      </c>
      <c r="D195" s="15" t="s">
        <v>87</v>
      </c>
      <c r="E195" s="15" t="s">
        <v>754</v>
      </c>
      <c r="F195" s="15" t="s">
        <v>36</v>
      </c>
      <c r="G195" s="70">
        <f>SUM(G196)</f>
        <v>0</v>
      </c>
      <c r="H195" s="70">
        <f>SUM(H196)</f>
        <v>0</v>
      </c>
      <c r="I195" s="70">
        <f>SUM(I196)</f>
        <v>0</v>
      </c>
      <c r="J195" s="1"/>
    </row>
    <row r="196" spans="1:22" ht="30.75" hidden="1" customHeight="1">
      <c r="A196" s="16" t="s">
        <v>37</v>
      </c>
      <c r="B196" s="14">
        <v>763</v>
      </c>
      <c r="C196" s="15" t="s">
        <v>53</v>
      </c>
      <c r="D196" s="15" t="s">
        <v>87</v>
      </c>
      <c r="E196" s="15" t="s">
        <v>754</v>
      </c>
      <c r="F196" s="15" t="s">
        <v>38</v>
      </c>
      <c r="G196" s="70"/>
      <c r="H196" s="70">
        <v>0</v>
      </c>
      <c r="I196" s="70">
        <v>0</v>
      </c>
      <c r="J196" s="1"/>
    </row>
    <row r="197" spans="1:22" ht="34.5" hidden="1" customHeight="1">
      <c r="A197" s="16" t="s">
        <v>763</v>
      </c>
      <c r="B197" s="14">
        <v>763</v>
      </c>
      <c r="C197" s="15" t="s">
        <v>53</v>
      </c>
      <c r="D197" s="15" t="s">
        <v>87</v>
      </c>
      <c r="E197" s="15" t="s">
        <v>762</v>
      </c>
      <c r="F197" s="15"/>
      <c r="G197" s="70">
        <f>G198</f>
        <v>0</v>
      </c>
      <c r="H197" s="70">
        <f>SUM(H198)</f>
        <v>0</v>
      </c>
      <c r="I197" s="70">
        <f>SUM(I198)</f>
        <v>0</v>
      </c>
      <c r="J197" s="1"/>
    </row>
    <row r="198" spans="1:22" ht="26.4" hidden="1">
      <c r="A198" s="16" t="s">
        <v>35</v>
      </c>
      <c r="B198" s="14">
        <v>763</v>
      </c>
      <c r="C198" s="15" t="s">
        <v>53</v>
      </c>
      <c r="D198" s="15" t="s">
        <v>87</v>
      </c>
      <c r="E198" s="15" t="s">
        <v>762</v>
      </c>
      <c r="F198" s="15" t="s">
        <v>36</v>
      </c>
      <c r="G198" s="70">
        <f>SUM(G199)</f>
        <v>0</v>
      </c>
      <c r="H198" s="70">
        <f>SUM(H199)</f>
        <v>0</v>
      </c>
      <c r="I198" s="70">
        <f>SUM(I199)</f>
        <v>0</v>
      </c>
      <c r="J198" s="1"/>
    </row>
    <row r="199" spans="1:22" ht="30.75" hidden="1" customHeight="1">
      <c r="A199" s="16" t="s">
        <v>37</v>
      </c>
      <c r="B199" s="14">
        <v>763</v>
      </c>
      <c r="C199" s="15" t="s">
        <v>53</v>
      </c>
      <c r="D199" s="15" t="s">
        <v>87</v>
      </c>
      <c r="E199" s="15" t="s">
        <v>762</v>
      </c>
      <c r="F199" s="15" t="s">
        <v>38</v>
      </c>
      <c r="G199" s="70"/>
      <c r="H199" s="70"/>
      <c r="I199" s="70"/>
      <c r="J199" s="1"/>
    </row>
    <row r="200" spans="1:22" ht="40.5" hidden="1" customHeight="1">
      <c r="A200" s="16" t="s">
        <v>752</v>
      </c>
      <c r="B200" s="14">
        <v>763</v>
      </c>
      <c r="C200" s="15" t="s">
        <v>53</v>
      </c>
      <c r="D200" s="15" t="s">
        <v>167</v>
      </c>
      <c r="E200" s="14" t="s">
        <v>761</v>
      </c>
      <c r="F200" s="14"/>
      <c r="G200" s="70">
        <f>G201</f>
        <v>0</v>
      </c>
      <c r="H200" s="70">
        <f>H202</f>
        <v>0</v>
      </c>
      <c r="I200" s="70">
        <f>I202</f>
        <v>0</v>
      </c>
      <c r="J200" s="1"/>
    </row>
    <row r="201" spans="1:22" ht="26.4" hidden="1">
      <c r="A201" s="16" t="s">
        <v>35</v>
      </c>
      <c r="B201" s="14">
        <v>763</v>
      </c>
      <c r="C201" s="15" t="s">
        <v>53</v>
      </c>
      <c r="D201" s="15" t="s">
        <v>167</v>
      </c>
      <c r="E201" s="14" t="s">
        <v>761</v>
      </c>
      <c r="F201" s="14">
        <v>200</v>
      </c>
      <c r="G201" s="70">
        <f t="shared" ref="G201:I201" si="48">G202</f>
        <v>0</v>
      </c>
      <c r="H201" s="70">
        <f t="shared" si="48"/>
        <v>0</v>
      </c>
      <c r="I201" s="70">
        <f t="shared" si="48"/>
        <v>0</v>
      </c>
      <c r="J201" s="1"/>
    </row>
    <row r="202" spans="1:22" ht="48" hidden="1" customHeight="1">
      <c r="A202" s="16" t="s">
        <v>37</v>
      </c>
      <c r="B202" s="14">
        <v>763</v>
      </c>
      <c r="C202" s="15" t="s">
        <v>53</v>
      </c>
      <c r="D202" s="15" t="s">
        <v>167</v>
      </c>
      <c r="E202" s="14" t="s">
        <v>761</v>
      </c>
      <c r="F202" s="14">
        <v>240</v>
      </c>
      <c r="G202" s="70">
        <f>прил4!G594</f>
        <v>0</v>
      </c>
      <c r="H202" s="8">
        <v>0</v>
      </c>
      <c r="I202" s="8">
        <v>0</v>
      </c>
      <c r="J202" s="1"/>
    </row>
    <row r="203" spans="1:22" ht="34.5" hidden="1" customHeight="1">
      <c r="A203" s="16" t="s">
        <v>766</v>
      </c>
      <c r="B203" s="14">
        <v>763</v>
      </c>
      <c r="C203" s="15" t="s">
        <v>53</v>
      </c>
      <c r="D203" s="15" t="s">
        <v>87</v>
      </c>
      <c r="E203" s="15" t="s">
        <v>765</v>
      </c>
      <c r="F203" s="15"/>
      <c r="G203" s="70">
        <f>G204</f>
        <v>0</v>
      </c>
      <c r="H203" s="70">
        <f>SUM(H204)</f>
        <v>0</v>
      </c>
      <c r="I203" s="70">
        <f>SUM(I204)</f>
        <v>0</v>
      </c>
      <c r="J203" s="1"/>
    </row>
    <row r="204" spans="1:22" ht="26.4" hidden="1">
      <c r="A204" s="16" t="s">
        <v>35</v>
      </c>
      <c r="B204" s="14">
        <v>763</v>
      </c>
      <c r="C204" s="15" t="s">
        <v>53</v>
      </c>
      <c r="D204" s="15" t="s">
        <v>87</v>
      </c>
      <c r="E204" s="15" t="s">
        <v>765</v>
      </c>
      <c r="F204" s="15" t="s">
        <v>36</v>
      </c>
      <c r="G204" s="70">
        <f>SUM(G205)</f>
        <v>0</v>
      </c>
      <c r="H204" s="70">
        <f>SUM(H205)</f>
        <v>0</v>
      </c>
      <c r="I204" s="70">
        <f>SUM(I205)</f>
        <v>0</v>
      </c>
      <c r="J204" s="1"/>
    </row>
    <row r="205" spans="1:22" ht="30.75" hidden="1" customHeight="1">
      <c r="A205" s="16" t="s">
        <v>37</v>
      </c>
      <c r="B205" s="14">
        <v>763</v>
      </c>
      <c r="C205" s="15" t="s">
        <v>53</v>
      </c>
      <c r="D205" s="15" t="s">
        <v>87</v>
      </c>
      <c r="E205" s="15" t="s">
        <v>765</v>
      </c>
      <c r="F205" s="15" t="s">
        <v>38</v>
      </c>
      <c r="G205" s="70"/>
      <c r="H205" s="70"/>
      <c r="I205" s="70"/>
      <c r="J205" s="1"/>
    </row>
    <row r="206" spans="1:22" s="22" customFormat="1" ht="48" customHeight="1">
      <c r="A206" s="107" t="s">
        <v>1129</v>
      </c>
      <c r="B206" s="35">
        <v>793</v>
      </c>
      <c r="C206" s="36" t="s">
        <v>68</v>
      </c>
      <c r="D206" s="36" t="s">
        <v>69</v>
      </c>
      <c r="E206" s="36" t="s">
        <v>257</v>
      </c>
      <c r="F206" s="36"/>
      <c r="G206" s="71">
        <f>G224+G233+G245+G248+G241+G244+G253+G257+G254</f>
        <v>7736528.25</v>
      </c>
      <c r="H206" s="71">
        <f>H224+H233+H245+H248</f>
        <v>350000</v>
      </c>
      <c r="I206" s="71">
        <f>I224+I233+I245+I248</f>
        <v>350000</v>
      </c>
      <c r="J206" s="21">
        <v>100000</v>
      </c>
      <c r="P206" s="21"/>
      <c r="Q206" s="21"/>
      <c r="R206" s="21"/>
      <c r="S206" s="21"/>
      <c r="T206" s="21">
        <f>прил4!G2371+прил4!G2610+прил4!G2732</f>
        <v>5541764.1399999997</v>
      </c>
      <c r="U206" s="21">
        <f>T206-G206</f>
        <v>-2194764.1100000003</v>
      </c>
      <c r="V206" s="21"/>
    </row>
    <row r="207" spans="1:22" ht="42.75" hidden="1" customHeight="1">
      <c r="A207" s="16"/>
      <c r="B207" s="14"/>
      <c r="C207" s="15"/>
      <c r="D207" s="15"/>
      <c r="E207" s="15"/>
      <c r="F207" s="15"/>
      <c r="G207" s="87"/>
      <c r="H207" s="87"/>
      <c r="I207" s="87"/>
    </row>
    <row r="208" spans="1:22" s="18" customFormat="1" ht="26.4" hidden="1">
      <c r="A208" s="16" t="s">
        <v>453</v>
      </c>
      <c r="B208" s="15" t="s">
        <v>92</v>
      </c>
      <c r="C208" s="15" t="s">
        <v>25</v>
      </c>
      <c r="D208" s="15" t="s">
        <v>27</v>
      </c>
      <c r="E208" s="15" t="s">
        <v>428</v>
      </c>
      <c r="F208" s="15"/>
      <c r="G208" s="70">
        <f>G209</f>
        <v>0</v>
      </c>
      <c r="H208" s="70">
        <f t="shared" ref="H208:I208" si="49">H209</f>
        <v>0</v>
      </c>
      <c r="I208" s="70">
        <f t="shared" si="49"/>
        <v>0</v>
      </c>
      <c r="J208" s="17"/>
      <c r="P208" s="17"/>
      <c r="Q208" s="17"/>
      <c r="R208" s="17"/>
      <c r="S208" s="17"/>
      <c r="T208" s="17"/>
    </row>
    <row r="209" spans="1:20" s="18" customFormat="1" ht="26.4" hidden="1">
      <c r="A209" s="16" t="s">
        <v>94</v>
      </c>
      <c r="B209" s="15" t="s">
        <v>92</v>
      </c>
      <c r="C209" s="15" t="s">
        <v>25</v>
      </c>
      <c r="D209" s="15" t="s">
        <v>27</v>
      </c>
      <c r="E209" s="15" t="s">
        <v>428</v>
      </c>
      <c r="F209" s="15" t="s">
        <v>338</v>
      </c>
      <c r="G209" s="70">
        <f>G210</f>
        <v>0</v>
      </c>
      <c r="H209" s="70">
        <f>H210</f>
        <v>0</v>
      </c>
      <c r="I209" s="70">
        <f>I210</f>
        <v>0</v>
      </c>
      <c r="J209" s="17"/>
      <c r="P209" s="17"/>
      <c r="Q209" s="17"/>
      <c r="R209" s="17"/>
      <c r="S209" s="17"/>
      <c r="T209" s="17"/>
    </row>
    <row r="210" spans="1:20" s="18" customFormat="1" ht="92.4" hidden="1">
      <c r="A210" s="50" t="s">
        <v>407</v>
      </c>
      <c r="B210" s="15" t="s">
        <v>92</v>
      </c>
      <c r="C210" s="15" t="s">
        <v>25</v>
      </c>
      <c r="D210" s="15" t="s">
        <v>27</v>
      </c>
      <c r="E210" s="15" t="s">
        <v>428</v>
      </c>
      <c r="F210" s="15" t="s">
        <v>406</v>
      </c>
      <c r="G210" s="70">
        <f>прил4!G1064</f>
        <v>0</v>
      </c>
      <c r="H210" s="27">
        <f>прил4!H1064+прил4!H1064</f>
        <v>0</v>
      </c>
      <c r="I210" s="27">
        <f>прил4!I1064+прил4!I1064</f>
        <v>0</v>
      </c>
      <c r="J210" s="17"/>
      <c r="P210" s="17"/>
      <c r="Q210" s="17"/>
      <c r="R210" s="17"/>
      <c r="S210" s="17"/>
      <c r="T210" s="17"/>
    </row>
    <row r="211" spans="1:20" s="18" customFormat="1" ht="25.5" hidden="1" customHeight="1">
      <c r="A211" s="16" t="s">
        <v>490</v>
      </c>
      <c r="B211" s="49">
        <v>795</v>
      </c>
      <c r="C211" s="15" t="s">
        <v>167</v>
      </c>
      <c r="D211" s="15" t="s">
        <v>27</v>
      </c>
      <c r="E211" s="15" t="s">
        <v>489</v>
      </c>
      <c r="F211" s="15"/>
      <c r="G211" s="70">
        <f>G212</f>
        <v>0</v>
      </c>
      <c r="H211" s="70">
        <f t="shared" ref="H211:I211" si="50">H212</f>
        <v>0</v>
      </c>
      <c r="I211" s="70">
        <f t="shared" si="50"/>
        <v>0</v>
      </c>
      <c r="P211" s="17"/>
      <c r="Q211" s="17"/>
      <c r="R211" s="17"/>
      <c r="S211" s="17"/>
      <c r="T211" s="17"/>
    </row>
    <row r="212" spans="1:20" s="18" customFormat="1" ht="48" hidden="1" customHeight="1">
      <c r="A212" s="16" t="s">
        <v>525</v>
      </c>
      <c r="B212" s="49">
        <v>795</v>
      </c>
      <c r="C212" s="15" t="s">
        <v>167</v>
      </c>
      <c r="D212" s="15" t="s">
        <v>27</v>
      </c>
      <c r="E212" s="15" t="s">
        <v>524</v>
      </c>
      <c r="F212" s="15"/>
      <c r="G212" s="70">
        <f>G213</f>
        <v>0</v>
      </c>
      <c r="H212" s="70">
        <f t="shared" ref="H212:I213" si="51">H213</f>
        <v>0</v>
      </c>
      <c r="I212" s="70">
        <f t="shared" si="51"/>
        <v>0</v>
      </c>
      <c r="P212" s="17"/>
      <c r="Q212" s="17"/>
      <c r="R212" s="17"/>
      <c r="S212" s="17"/>
      <c r="T212" s="17"/>
    </row>
    <row r="213" spans="1:20" s="18" customFormat="1" hidden="1">
      <c r="A213" s="16" t="s">
        <v>152</v>
      </c>
      <c r="B213" s="49">
        <v>795</v>
      </c>
      <c r="C213" s="15" t="s">
        <v>167</v>
      </c>
      <c r="D213" s="15" t="s">
        <v>27</v>
      </c>
      <c r="E213" s="15" t="s">
        <v>524</v>
      </c>
      <c r="F213" s="15" t="s">
        <v>153</v>
      </c>
      <c r="G213" s="70">
        <f>G214</f>
        <v>0</v>
      </c>
      <c r="H213" s="70">
        <f t="shared" si="51"/>
        <v>0</v>
      </c>
      <c r="I213" s="70">
        <f t="shared" si="51"/>
        <v>0</v>
      </c>
      <c r="P213" s="17"/>
      <c r="Q213" s="17"/>
      <c r="R213" s="17"/>
      <c r="S213" s="17"/>
      <c r="T213" s="17"/>
    </row>
    <row r="214" spans="1:20" s="18" customFormat="1" hidden="1">
      <c r="A214" s="16" t="s">
        <v>164</v>
      </c>
      <c r="B214" s="49">
        <v>795</v>
      </c>
      <c r="C214" s="15" t="s">
        <v>167</v>
      </c>
      <c r="D214" s="15" t="s">
        <v>27</v>
      </c>
      <c r="E214" s="15" t="s">
        <v>524</v>
      </c>
      <c r="F214" s="15" t="s">
        <v>165</v>
      </c>
      <c r="G214" s="70">
        <f>прил4!G3077</f>
        <v>0</v>
      </c>
      <c r="H214" s="70">
        <f>прил4!H3077</f>
        <v>0</v>
      </c>
      <c r="I214" s="70">
        <v>0</v>
      </c>
      <c r="P214" s="17"/>
      <c r="Q214" s="17"/>
      <c r="R214" s="17"/>
      <c r="S214" s="17"/>
      <c r="T214" s="17"/>
    </row>
    <row r="215" spans="1:20" s="18" customFormat="1" ht="56.25" hidden="1" customHeight="1">
      <c r="A215" s="16" t="s">
        <v>569</v>
      </c>
      <c r="B215" s="14">
        <v>757</v>
      </c>
      <c r="C215" s="15" t="s">
        <v>43</v>
      </c>
      <c r="D215" s="15" t="s">
        <v>18</v>
      </c>
      <c r="E215" s="15" t="s">
        <v>568</v>
      </c>
      <c r="F215" s="15"/>
      <c r="G215" s="70">
        <f>G216</f>
        <v>0</v>
      </c>
      <c r="H215" s="70">
        <f t="shared" ref="H215:I216" si="52">H216</f>
        <v>0</v>
      </c>
      <c r="I215" s="70">
        <f t="shared" si="52"/>
        <v>0</v>
      </c>
      <c r="P215" s="17"/>
      <c r="Q215" s="17"/>
      <c r="R215" s="17"/>
      <c r="S215" s="17"/>
      <c r="T215" s="17"/>
    </row>
    <row r="216" spans="1:20" s="18" customFormat="1" ht="26.4" hidden="1">
      <c r="A216" s="16" t="s">
        <v>29</v>
      </c>
      <c r="B216" s="14">
        <v>757</v>
      </c>
      <c r="C216" s="15" t="s">
        <v>43</v>
      </c>
      <c r="D216" s="15" t="s">
        <v>18</v>
      </c>
      <c r="E216" s="15" t="s">
        <v>568</v>
      </c>
      <c r="F216" s="15" t="s">
        <v>30</v>
      </c>
      <c r="G216" s="70">
        <f>G217</f>
        <v>0</v>
      </c>
      <c r="H216" s="70">
        <f t="shared" si="52"/>
        <v>0</v>
      </c>
      <c r="I216" s="70">
        <f t="shared" si="52"/>
        <v>0</v>
      </c>
      <c r="P216" s="17"/>
      <c r="Q216" s="17"/>
      <c r="R216" s="17"/>
      <c r="S216" s="17"/>
      <c r="T216" s="17"/>
    </row>
    <row r="217" spans="1:20" s="18" customFormat="1" hidden="1">
      <c r="A217" s="16" t="s">
        <v>31</v>
      </c>
      <c r="B217" s="14">
        <v>757</v>
      </c>
      <c r="C217" s="15" t="s">
        <v>43</v>
      </c>
      <c r="D217" s="15" t="s">
        <v>18</v>
      </c>
      <c r="E217" s="15" t="s">
        <v>568</v>
      </c>
      <c r="F217" s="15" t="s">
        <v>32</v>
      </c>
      <c r="G217" s="70">
        <f>прил4!G317</f>
        <v>0</v>
      </c>
      <c r="H217" s="70">
        <v>0</v>
      </c>
      <c r="I217" s="70">
        <v>0</v>
      </c>
      <c r="P217" s="17"/>
      <c r="Q217" s="17"/>
      <c r="R217" s="17"/>
      <c r="S217" s="17"/>
      <c r="T217" s="17"/>
    </row>
    <row r="218" spans="1:20" s="18" customFormat="1" ht="52.5" hidden="1" customHeight="1">
      <c r="A218" s="16" t="s">
        <v>521</v>
      </c>
      <c r="B218" s="15" t="s">
        <v>92</v>
      </c>
      <c r="C218" s="15" t="s">
        <v>25</v>
      </c>
      <c r="D218" s="15" t="s">
        <v>18</v>
      </c>
      <c r="E218" s="15" t="s">
        <v>520</v>
      </c>
      <c r="F218" s="15"/>
      <c r="G218" s="70">
        <f>G219</f>
        <v>0</v>
      </c>
      <c r="H218" s="70">
        <f t="shared" ref="H218:I219" si="53">H219</f>
        <v>0</v>
      </c>
      <c r="I218" s="70">
        <f t="shared" si="53"/>
        <v>0</v>
      </c>
      <c r="P218" s="17"/>
      <c r="Q218" s="17"/>
      <c r="R218" s="17"/>
      <c r="S218" s="17"/>
      <c r="T218" s="17"/>
    </row>
    <row r="219" spans="1:20" s="18" customFormat="1" ht="26.4" hidden="1">
      <c r="A219" s="16" t="s">
        <v>29</v>
      </c>
      <c r="B219" s="15" t="s">
        <v>92</v>
      </c>
      <c r="C219" s="15" t="s">
        <v>25</v>
      </c>
      <c r="D219" s="15" t="s">
        <v>18</v>
      </c>
      <c r="E219" s="15" t="s">
        <v>520</v>
      </c>
      <c r="F219" s="15" t="s">
        <v>30</v>
      </c>
      <c r="G219" s="70">
        <f>G220</f>
        <v>0</v>
      </c>
      <c r="H219" s="70">
        <f t="shared" si="53"/>
        <v>0</v>
      </c>
      <c r="I219" s="70">
        <f t="shared" si="53"/>
        <v>0</v>
      </c>
      <c r="P219" s="17"/>
      <c r="Q219" s="17"/>
      <c r="R219" s="17"/>
      <c r="S219" s="17"/>
      <c r="T219" s="17"/>
    </row>
    <row r="220" spans="1:20" s="18" customFormat="1" hidden="1">
      <c r="A220" s="16" t="s">
        <v>31</v>
      </c>
      <c r="B220" s="15" t="s">
        <v>92</v>
      </c>
      <c r="C220" s="15" t="s">
        <v>25</v>
      </c>
      <c r="D220" s="15" t="s">
        <v>18</v>
      </c>
      <c r="E220" s="15" t="s">
        <v>520</v>
      </c>
      <c r="F220" s="15" t="s">
        <v>32</v>
      </c>
      <c r="G220" s="70"/>
      <c r="H220" s="70">
        <v>0</v>
      </c>
      <c r="I220" s="70">
        <v>0</v>
      </c>
      <c r="P220" s="17"/>
      <c r="Q220" s="17"/>
      <c r="R220" s="17"/>
      <c r="S220" s="17"/>
      <c r="T220" s="17"/>
    </row>
    <row r="221" spans="1:20" ht="42.75" hidden="1" customHeight="1">
      <c r="A221" s="139" t="s">
        <v>796</v>
      </c>
      <c r="B221" s="14">
        <v>757</v>
      </c>
      <c r="C221" s="15" t="s">
        <v>43</v>
      </c>
      <c r="D221" s="15" t="s">
        <v>18</v>
      </c>
      <c r="E221" s="15" t="s">
        <v>795</v>
      </c>
      <c r="F221" s="14"/>
      <c r="G221" s="87">
        <f t="shared" ref="G221:I222" si="54">G222</f>
        <v>0</v>
      </c>
      <c r="H221" s="70">
        <f t="shared" si="54"/>
        <v>0</v>
      </c>
      <c r="I221" s="70">
        <f t="shared" si="54"/>
        <v>0</v>
      </c>
      <c r="J221" s="1"/>
    </row>
    <row r="222" spans="1:20" ht="26.4" hidden="1">
      <c r="A222" s="82" t="s">
        <v>29</v>
      </c>
      <c r="B222" s="14">
        <v>757</v>
      </c>
      <c r="C222" s="15" t="s">
        <v>43</v>
      </c>
      <c r="D222" s="15" t="s">
        <v>18</v>
      </c>
      <c r="E222" s="15" t="s">
        <v>795</v>
      </c>
      <c r="F222" s="15" t="s">
        <v>30</v>
      </c>
      <c r="G222" s="95">
        <f t="shared" si="54"/>
        <v>0</v>
      </c>
      <c r="H222" s="25">
        <f t="shared" si="54"/>
        <v>0</v>
      </c>
      <c r="I222" s="25">
        <f t="shared" si="54"/>
        <v>0</v>
      </c>
      <c r="J222" s="1"/>
    </row>
    <row r="223" spans="1:20" hidden="1">
      <c r="A223" s="82" t="s">
        <v>31</v>
      </c>
      <c r="B223" s="14">
        <v>757</v>
      </c>
      <c r="C223" s="15" t="s">
        <v>43</v>
      </c>
      <c r="D223" s="15" t="s">
        <v>18</v>
      </c>
      <c r="E223" s="15" t="s">
        <v>795</v>
      </c>
      <c r="F223" s="15" t="s">
        <v>32</v>
      </c>
      <c r="G223" s="25"/>
      <c r="H223" s="25">
        <v>0</v>
      </c>
      <c r="I223" s="25">
        <v>0</v>
      </c>
      <c r="J223" s="1"/>
    </row>
    <row r="224" spans="1:20" ht="42.75" customHeight="1">
      <c r="A224" s="50" t="s">
        <v>1391</v>
      </c>
      <c r="B224" s="14">
        <v>793</v>
      </c>
      <c r="C224" s="15" t="s">
        <v>68</v>
      </c>
      <c r="D224" s="15" t="s">
        <v>69</v>
      </c>
      <c r="E224" s="15" t="s">
        <v>900</v>
      </c>
      <c r="F224" s="15"/>
      <c r="G224" s="70">
        <f>G225+G237</f>
        <v>4508119.59</v>
      </c>
      <c r="H224" s="70">
        <f t="shared" ref="H224:I224" si="55">H225</f>
        <v>350000</v>
      </c>
      <c r="I224" s="70">
        <f t="shared" si="55"/>
        <v>350000</v>
      </c>
      <c r="J224" s="1"/>
    </row>
    <row r="225" spans="1:20" ht="21" customHeight="1">
      <c r="A225" s="16" t="s">
        <v>144</v>
      </c>
      <c r="B225" s="14">
        <v>793</v>
      </c>
      <c r="C225" s="15" t="s">
        <v>68</v>
      </c>
      <c r="D225" s="15" t="s">
        <v>69</v>
      </c>
      <c r="E225" s="15" t="s">
        <v>900</v>
      </c>
      <c r="F225" s="15" t="s">
        <v>145</v>
      </c>
      <c r="G225" s="70">
        <f>G226</f>
        <v>4508119.59</v>
      </c>
      <c r="H225" s="70">
        <f t="shared" ref="H225:I225" si="56">H226</f>
        <v>350000</v>
      </c>
      <c r="I225" s="70">
        <f t="shared" si="56"/>
        <v>350000</v>
      </c>
      <c r="J225" s="1"/>
    </row>
    <row r="226" spans="1:20" ht="30.75" customHeight="1">
      <c r="A226" s="16" t="s">
        <v>146</v>
      </c>
      <c r="B226" s="14">
        <v>793</v>
      </c>
      <c r="C226" s="15" t="s">
        <v>68</v>
      </c>
      <c r="D226" s="15" t="s">
        <v>69</v>
      </c>
      <c r="E226" s="15" t="s">
        <v>900</v>
      </c>
      <c r="F226" s="15" t="s">
        <v>147</v>
      </c>
      <c r="G226" s="70">
        <f>прил4!G2734</f>
        <v>4508119.59</v>
      </c>
      <c r="H226" s="70">
        <f>прил4!H2734</f>
        <v>350000</v>
      </c>
      <c r="I226" s="70">
        <f>прил4!I2734</f>
        <v>350000</v>
      </c>
      <c r="J226" s="1"/>
    </row>
    <row r="227" spans="1:20" ht="60" hidden="1" customHeight="1">
      <c r="A227" s="50" t="s">
        <v>269</v>
      </c>
      <c r="B227" s="14">
        <v>793</v>
      </c>
      <c r="C227" s="15" t="s">
        <v>68</v>
      </c>
      <c r="D227" s="15" t="s">
        <v>69</v>
      </c>
      <c r="E227" s="15" t="s">
        <v>268</v>
      </c>
      <c r="F227" s="15"/>
      <c r="G227" s="70">
        <f>G228</f>
        <v>0</v>
      </c>
      <c r="H227" s="70">
        <f t="shared" ref="H227:I227" si="57">H228</f>
        <v>0</v>
      </c>
      <c r="I227" s="70">
        <f t="shared" si="57"/>
        <v>0</v>
      </c>
      <c r="J227" s="1"/>
    </row>
    <row r="228" spans="1:20" ht="21" hidden="1" customHeight="1">
      <c r="A228" s="16" t="s">
        <v>144</v>
      </c>
      <c r="B228" s="14">
        <v>793</v>
      </c>
      <c r="C228" s="15" t="s">
        <v>68</v>
      </c>
      <c r="D228" s="15" t="s">
        <v>69</v>
      </c>
      <c r="E228" s="15" t="s">
        <v>268</v>
      </c>
      <c r="F228" s="15" t="s">
        <v>145</v>
      </c>
      <c r="G228" s="70">
        <f>G229</f>
        <v>0</v>
      </c>
      <c r="H228" s="70">
        <f t="shared" ref="H228:I228" si="58">H229</f>
        <v>0</v>
      </c>
      <c r="I228" s="70">
        <f t="shared" si="58"/>
        <v>0</v>
      </c>
      <c r="J228" s="1"/>
    </row>
    <row r="229" spans="1:20" ht="30.75" hidden="1" customHeight="1">
      <c r="A229" s="16" t="s">
        <v>146</v>
      </c>
      <c r="B229" s="14">
        <v>793</v>
      </c>
      <c r="C229" s="15" t="s">
        <v>68</v>
      </c>
      <c r="D229" s="15" t="s">
        <v>69</v>
      </c>
      <c r="E229" s="15" t="s">
        <v>268</v>
      </c>
      <c r="F229" s="15" t="s">
        <v>147</v>
      </c>
      <c r="G229" s="70">
        <f>прил4!G2738</f>
        <v>0</v>
      </c>
      <c r="H229" s="70">
        <f>прил4!H2738</f>
        <v>0</v>
      </c>
      <c r="I229" s="70">
        <f>прил4!I2738</f>
        <v>0</v>
      </c>
      <c r="J229" s="1"/>
    </row>
    <row r="230" spans="1:20" ht="30.75" hidden="1" customHeight="1">
      <c r="A230" s="16" t="s">
        <v>435</v>
      </c>
      <c r="B230" s="14">
        <v>793</v>
      </c>
      <c r="C230" s="15" t="s">
        <v>68</v>
      </c>
      <c r="D230" s="15" t="s">
        <v>69</v>
      </c>
      <c r="E230" s="15" t="s">
        <v>434</v>
      </c>
      <c r="F230" s="15"/>
      <c r="G230" s="70">
        <f t="shared" ref="G230:I231" si="59">G231</f>
        <v>0</v>
      </c>
      <c r="H230" s="8">
        <f t="shared" si="59"/>
        <v>0</v>
      </c>
      <c r="I230" s="8">
        <f t="shared" si="59"/>
        <v>0</v>
      </c>
    </row>
    <row r="231" spans="1:20" ht="30.75" hidden="1" customHeight="1">
      <c r="A231" s="16" t="s">
        <v>62</v>
      </c>
      <c r="B231" s="14">
        <v>793</v>
      </c>
      <c r="C231" s="15" t="s">
        <v>68</v>
      </c>
      <c r="D231" s="15" t="s">
        <v>69</v>
      </c>
      <c r="E231" s="15" t="s">
        <v>434</v>
      </c>
      <c r="F231" s="15" t="s">
        <v>63</v>
      </c>
      <c r="G231" s="70">
        <f t="shared" si="59"/>
        <v>0</v>
      </c>
      <c r="H231" s="8">
        <f t="shared" si="59"/>
        <v>0</v>
      </c>
      <c r="I231" s="8">
        <f t="shared" si="59"/>
        <v>0</v>
      </c>
    </row>
    <row r="232" spans="1:20" ht="30.75" hidden="1" customHeight="1">
      <c r="A232" s="16" t="s">
        <v>174</v>
      </c>
      <c r="B232" s="14">
        <v>793</v>
      </c>
      <c r="C232" s="15" t="s">
        <v>68</v>
      </c>
      <c r="D232" s="15" t="s">
        <v>69</v>
      </c>
      <c r="E232" s="15" t="s">
        <v>434</v>
      </c>
      <c r="F232" s="15" t="s">
        <v>175</v>
      </c>
      <c r="G232" s="70">
        <f>прил4!G2741</f>
        <v>0</v>
      </c>
      <c r="H232" s="8">
        <f>прил4!H2741</f>
        <v>0</v>
      </c>
      <c r="I232" s="8">
        <f>прил4!I2741</f>
        <v>0</v>
      </c>
    </row>
    <row r="233" spans="1:20" ht="28.5" hidden="1" customHeight="1">
      <c r="A233" s="80" t="s">
        <v>854</v>
      </c>
      <c r="B233" s="14">
        <v>757</v>
      </c>
      <c r="C233" s="15" t="s">
        <v>43</v>
      </c>
      <c r="D233" s="15" t="s">
        <v>18</v>
      </c>
      <c r="E233" s="15" t="s">
        <v>855</v>
      </c>
      <c r="F233" s="14"/>
      <c r="G233" s="70">
        <f t="shared" ref="G233:I234" si="60">G234</f>
        <v>0</v>
      </c>
      <c r="H233" s="70">
        <f t="shared" si="60"/>
        <v>0</v>
      </c>
      <c r="I233" s="70">
        <f t="shared" si="60"/>
        <v>0</v>
      </c>
      <c r="J233" s="172"/>
      <c r="P233" s="1"/>
      <c r="Q233" s="1"/>
      <c r="R233" s="1"/>
      <c r="S233" s="1"/>
      <c r="T233" s="1"/>
    </row>
    <row r="234" spans="1:20" ht="26.4" hidden="1">
      <c r="A234" s="16" t="s">
        <v>29</v>
      </c>
      <c r="B234" s="14">
        <v>757</v>
      </c>
      <c r="C234" s="15" t="s">
        <v>43</v>
      </c>
      <c r="D234" s="15" t="s">
        <v>18</v>
      </c>
      <c r="E234" s="15" t="s">
        <v>855</v>
      </c>
      <c r="F234" s="15" t="s">
        <v>30</v>
      </c>
      <c r="G234" s="25">
        <f t="shared" si="60"/>
        <v>0</v>
      </c>
      <c r="H234" s="25">
        <f t="shared" si="60"/>
        <v>0</v>
      </c>
      <c r="I234" s="25">
        <f t="shared" si="60"/>
        <v>0</v>
      </c>
      <c r="J234" s="64"/>
      <c r="P234" s="1"/>
      <c r="Q234" s="1"/>
      <c r="R234" s="1"/>
      <c r="S234" s="1"/>
      <c r="T234" s="1"/>
    </row>
    <row r="235" spans="1:20" hidden="1">
      <c r="A235" s="16" t="s">
        <v>31</v>
      </c>
      <c r="B235" s="14">
        <v>757</v>
      </c>
      <c r="C235" s="15" t="s">
        <v>43</v>
      </c>
      <c r="D235" s="15" t="s">
        <v>18</v>
      </c>
      <c r="E235" s="15" t="s">
        <v>855</v>
      </c>
      <c r="F235" s="15" t="s">
        <v>32</v>
      </c>
      <c r="G235" s="25">
        <f>прил4!G193</f>
        <v>0</v>
      </c>
      <c r="H235" s="25">
        <v>0</v>
      </c>
      <c r="I235" s="25">
        <v>0</v>
      </c>
      <c r="J235" s="64"/>
      <c r="P235" s="1"/>
      <c r="Q235" s="1"/>
      <c r="R235" s="1"/>
      <c r="S235" s="1"/>
      <c r="T235" s="1"/>
    </row>
    <row r="236" spans="1:20" ht="44.25" hidden="1" customHeight="1">
      <c r="A236" s="50" t="s">
        <v>901</v>
      </c>
      <c r="B236" s="14">
        <v>793</v>
      </c>
      <c r="C236" s="15" t="s">
        <v>167</v>
      </c>
      <c r="D236" s="15" t="s">
        <v>69</v>
      </c>
      <c r="E236" s="15" t="s">
        <v>1286</v>
      </c>
      <c r="F236" s="15"/>
      <c r="G236" s="70"/>
      <c r="H236" s="70">
        <f t="shared" ref="H236:I237" si="61">H237</f>
        <v>0</v>
      </c>
      <c r="I236" s="70">
        <f t="shared" si="61"/>
        <v>0</v>
      </c>
      <c r="J236" s="172"/>
      <c r="K236" s="69"/>
      <c r="L236" s="69"/>
      <c r="M236" s="69"/>
      <c r="N236" s="69"/>
      <c r="O236" s="69"/>
      <c r="P236" s="69"/>
      <c r="Q236" s="69"/>
      <c r="R236" s="69"/>
      <c r="S236" s="1"/>
      <c r="T236" s="1"/>
    </row>
    <row r="237" spans="1:20" ht="32.25" hidden="1" customHeight="1">
      <c r="A237" s="16" t="s">
        <v>35</v>
      </c>
      <c r="B237" s="14">
        <v>793</v>
      </c>
      <c r="C237" s="15" t="s">
        <v>167</v>
      </c>
      <c r="D237" s="15" t="s">
        <v>69</v>
      </c>
      <c r="E237" s="15" t="s">
        <v>1286</v>
      </c>
      <c r="F237" s="15" t="s">
        <v>36</v>
      </c>
      <c r="G237" s="70">
        <f>G238</f>
        <v>0</v>
      </c>
      <c r="H237" s="70">
        <f t="shared" si="61"/>
        <v>0</v>
      </c>
      <c r="I237" s="70">
        <f t="shared" si="61"/>
        <v>0</v>
      </c>
      <c r="J237" s="172"/>
      <c r="K237" s="69"/>
      <c r="L237" s="69"/>
      <c r="M237" s="69"/>
      <c r="N237" s="69"/>
      <c r="O237" s="69"/>
      <c r="P237" s="69"/>
      <c r="Q237" s="69"/>
      <c r="R237" s="69"/>
      <c r="S237" s="1"/>
      <c r="T237" s="1"/>
    </row>
    <row r="238" spans="1:20" ht="30.75" hidden="1" customHeight="1">
      <c r="A238" s="16" t="s">
        <v>37</v>
      </c>
      <c r="B238" s="14">
        <v>793</v>
      </c>
      <c r="C238" s="15" t="s">
        <v>167</v>
      </c>
      <c r="D238" s="15" t="s">
        <v>69</v>
      </c>
      <c r="E238" s="15" t="s">
        <v>1286</v>
      </c>
      <c r="F238" s="15" t="s">
        <v>38</v>
      </c>
      <c r="G238" s="70">
        <f>прил4!G2401</f>
        <v>0</v>
      </c>
      <c r="H238" s="70">
        <v>0</v>
      </c>
      <c r="I238" s="70">
        <v>0</v>
      </c>
      <c r="J238" s="172"/>
      <c r="K238" s="69"/>
      <c r="L238" s="69"/>
      <c r="M238" s="69"/>
      <c r="N238" s="69"/>
      <c r="O238" s="69"/>
      <c r="P238" s="69"/>
      <c r="Q238" s="69"/>
      <c r="R238" s="69"/>
      <c r="S238" s="1"/>
      <c r="T238" s="1"/>
    </row>
    <row r="239" spans="1:20" ht="44.25" customHeight="1">
      <c r="A239" s="50" t="s">
        <v>1291</v>
      </c>
      <c r="B239" s="84" t="s">
        <v>92</v>
      </c>
      <c r="C239" s="84" t="s">
        <v>25</v>
      </c>
      <c r="D239" s="84" t="s">
        <v>69</v>
      </c>
      <c r="E239" s="15" t="s">
        <v>1290</v>
      </c>
      <c r="F239" s="15"/>
      <c r="G239" s="70">
        <f>G240</f>
        <v>2000234.4</v>
      </c>
      <c r="H239" s="70">
        <f>H240</f>
        <v>0</v>
      </c>
      <c r="I239" s="70">
        <f>I240</f>
        <v>0</v>
      </c>
      <c r="J239" s="172"/>
      <c r="K239" s="69"/>
      <c r="L239" s="69"/>
      <c r="M239" s="69"/>
      <c r="N239" s="69"/>
      <c r="O239" s="69"/>
      <c r="P239" s="69"/>
      <c r="Q239" s="69"/>
      <c r="R239" s="69"/>
      <c r="S239" s="1"/>
      <c r="T239" s="1"/>
    </row>
    <row r="240" spans="1:20" ht="32.25" customHeight="1">
      <c r="A240" s="82" t="s">
        <v>29</v>
      </c>
      <c r="B240" s="84" t="s">
        <v>92</v>
      </c>
      <c r="C240" s="84" t="s">
        <v>25</v>
      </c>
      <c r="D240" s="84" t="s">
        <v>69</v>
      </c>
      <c r="E240" s="15" t="s">
        <v>1290</v>
      </c>
      <c r="F240" s="15" t="s">
        <v>30</v>
      </c>
      <c r="G240" s="70">
        <f>G241</f>
        <v>2000234.4</v>
      </c>
      <c r="H240" s="70">
        <f t="shared" ref="H240:I240" si="62">H241</f>
        <v>0</v>
      </c>
      <c r="I240" s="70">
        <f t="shared" si="62"/>
        <v>0</v>
      </c>
      <c r="J240" s="172"/>
      <c r="K240" s="69"/>
      <c r="L240" s="69"/>
      <c r="M240" s="69"/>
      <c r="N240" s="69"/>
      <c r="O240" s="69"/>
      <c r="P240" s="69"/>
      <c r="Q240" s="69"/>
      <c r="R240" s="69"/>
      <c r="S240" s="1"/>
      <c r="T240" s="1"/>
    </row>
    <row r="241" spans="1:20" ht="30.75" customHeight="1">
      <c r="A241" s="82" t="s">
        <v>31</v>
      </c>
      <c r="B241" s="84" t="s">
        <v>92</v>
      </c>
      <c r="C241" s="84" t="s">
        <v>25</v>
      </c>
      <c r="D241" s="84" t="s">
        <v>69</v>
      </c>
      <c r="E241" s="15" t="s">
        <v>1290</v>
      </c>
      <c r="F241" s="15" t="s">
        <v>32</v>
      </c>
      <c r="G241" s="70">
        <f>прил4!G1130+прил4!G2430</f>
        <v>2000234.4</v>
      </c>
      <c r="H241" s="70">
        <v>0</v>
      </c>
      <c r="I241" s="70">
        <v>0</v>
      </c>
      <c r="J241" s="172"/>
      <c r="K241" s="69"/>
      <c r="L241" s="69"/>
      <c r="M241" s="69"/>
      <c r="N241" s="69"/>
      <c r="O241" s="69"/>
      <c r="P241" s="69"/>
      <c r="Q241" s="69"/>
      <c r="R241" s="69"/>
      <c r="S241" s="1"/>
      <c r="T241" s="1"/>
    </row>
    <row r="242" spans="1:20" ht="44.25" customHeight="1">
      <c r="A242" s="50" t="s">
        <v>1293</v>
      </c>
      <c r="B242" s="14">
        <v>793</v>
      </c>
      <c r="C242" s="15" t="s">
        <v>167</v>
      </c>
      <c r="D242" s="15" t="s">
        <v>69</v>
      </c>
      <c r="E242" s="15" t="s">
        <v>1292</v>
      </c>
      <c r="F242" s="15"/>
      <c r="G242" s="70">
        <f>G243</f>
        <v>890443.7</v>
      </c>
      <c r="H242" s="70">
        <f>H243</f>
        <v>0</v>
      </c>
      <c r="I242" s="70">
        <f>I243</f>
        <v>0</v>
      </c>
      <c r="J242" s="172"/>
      <c r="K242" s="69"/>
      <c r="L242" s="69"/>
      <c r="M242" s="69"/>
      <c r="N242" s="69"/>
      <c r="O242" s="69"/>
      <c r="P242" s="69"/>
      <c r="Q242" s="69"/>
      <c r="R242" s="69"/>
      <c r="S242" s="1"/>
      <c r="T242" s="1"/>
    </row>
    <row r="243" spans="1:20" ht="32.25" customHeight="1">
      <c r="A243" s="16" t="s">
        <v>35</v>
      </c>
      <c r="B243" s="14">
        <v>793</v>
      </c>
      <c r="C243" s="15" t="s">
        <v>167</v>
      </c>
      <c r="D243" s="15" t="s">
        <v>69</v>
      </c>
      <c r="E243" s="15" t="s">
        <v>1292</v>
      </c>
      <c r="F243" s="15" t="s">
        <v>36</v>
      </c>
      <c r="G243" s="70">
        <f>G244</f>
        <v>890443.7</v>
      </c>
      <c r="H243" s="70">
        <f t="shared" ref="H243:I243" si="63">H244</f>
        <v>0</v>
      </c>
      <c r="I243" s="70">
        <f t="shared" si="63"/>
        <v>0</v>
      </c>
      <c r="J243" s="172"/>
      <c r="K243" s="69"/>
      <c r="L243" s="69"/>
      <c r="M243" s="69"/>
      <c r="N243" s="69"/>
      <c r="O243" s="69"/>
      <c r="P243" s="69"/>
      <c r="Q243" s="69"/>
      <c r="R243" s="69"/>
      <c r="S243" s="1"/>
      <c r="T243" s="1"/>
    </row>
    <row r="244" spans="1:20" ht="30.75" customHeight="1">
      <c r="A244" s="16" t="s">
        <v>37</v>
      </c>
      <c r="B244" s="14">
        <v>793</v>
      </c>
      <c r="C244" s="15" t="s">
        <v>167</v>
      </c>
      <c r="D244" s="15" t="s">
        <v>69</v>
      </c>
      <c r="E244" s="15" t="s">
        <v>1292</v>
      </c>
      <c r="F244" s="15" t="s">
        <v>38</v>
      </c>
      <c r="G244" s="70">
        <f>прил4!G2616</f>
        <v>890443.7</v>
      </c>
      <c r="H244" s="70">
        <v>0</v>
      </c>
      <c r="I244" s="70">
        <v>0</v>
      </c>
      <c r="J244" s="172"/>
      <c r="K244" s="69"/>
      <c r="L244" s="69"/>
      <c r="M244" s="69"/>
      <c r="N244" s="69"/>
      <c r="O244" s="69"/>
      <c r="P244" s="69"/>
      <c r="Q244" s="69"/>
      <c r="R244" s="69"/>
      <c r="S244" s="1"/>
      <c r="T244" s="1"/>
    </row>
    <row r="245" spans="1:20" ht="44.25" hidden="1" customHeight="1">
      <c r="A245" s="50" t="s">
        <v>529</v>
      </c>
      <c r="B245" s="14">
        <v>793</v>
      </c>
      <c r="C245" s="15" t="s">
        <v>68</v>
      </c>
      <c r="D245" s="15" t="s">
        <v>69</v>
      </c>
      <c r="E245" s="15" t="s">
        <v>1152</v>
      </c>
      <c r="F245" s="15"/>
      <c r="G245" s="70">
        <f>G246</f>
        <v>0</v>
      </c>
      <c r="H245" s="70">
        <f t="shared" ref="H245:I246" si="64">H246</f>
        <v>0</v>
      </c>
      <c r="I245" s="70">
        <f t="shared" si="64"/>
        <v>0</v>
      </c>
      <c r="J245" s="172"/>
      <c r="K245" s="69"/>
      <c r="L245" s="69"/>
      <c r="M245" s="69"/>
      <c r="N245" s="69"/>
      <c r="O245" s="69"/>
      <c r="P245" s="69"/>
      <c r="Q245" s="69"/>
      <c r="R245" s="69"/>
      <c r="S245" s="1"/>
      <c r="T245" s="1"/>
    </row>
    <row r="246" spans="1:20" ht="21" hidden="1" customHeight="1">
      <c r="A246" s="16" t="s">
        <v>35</v>
      </c>
      <c r="B246" s="14">
        <v>793</v>
      </c>
      <c r="C246" s="15" t="s">
        <v>68</v>
      </c>
      <c r="D246" s="15" t="s">
        <v>69</v>
      </c>
      <c r="E246" s="15" t="s">
        <v>1152</v>
      </c>
      <c r="F246" s="15" t="s">
        <v>36</v>
      </c>
      <c r="G246" s="70">
        <f>G247</f>
        <v>0</v>
      </c>
      <c r="H246" s="70">
        <f t="shared" si="64"/>
        <v>0</v>
      </c>
      <c r="I246" s="70">
        <f t="shared" si="64"/>
        <v>0</v>
      </c>
      <c r="J246" s="172"/>
      <c r="K246" s="69"/>
      <c r="L246" s="69"/>
      <c r="M246" s="69"/>
      <c r="N246" s="69"/>
      <c r="O246" s="69"/>
      <c r="P246" s="69"/>
      <c r="Q246" s="69"/>
      <c r="R246" s="69"/>
      <c r="S246" s="1"/>
      <c r="T246" s="1"/>
    </row>
    <row r="247" spans="1:20" ht="30.75" hidden="1" customHeight="1">
      <c r="A247" s="16" t="s">
        <v>37</v>
      </c>
      <c r="B247" s="14">
        <v>793</v>
      </c>
      <c r="C247" s="15" t="s">
        <v>68</v>
      </c>
      <c r="D247" s="15" t="s">
        <v>69</v>
      </c>
      <c r="E247" s="15" t="s">
        <v>1152</v>
      </c>
      <c r="F247" s="15" t="s">
        <v>38</v>
      </c>
      <c r="G247" s="70">
        <f>прил4!G2613</f>
        <v>0</v>
      </c>
      <c r="H247" s="70">
        <v>0</v>
      </c>
      <c r="I247" s="70">
        <v>0</v>
      </c>
      <c r="J247" s="172"/>
      <c r="K247" s="69"/>
      <c r="L247" s="69"/>
      <c r="M247" s="69"/>
      <c r="N247" s="69"/>
      <c r="O247" s="69"/>
      <c r="P247" s="69"/>
      <c r="Q247" s="69"/>
      <c r="R247" s="69"/>
      <c r="S247" s="1"/>
      <c r="T247" s="1"/>
    </row>
    <row r="248" spans="1:20" ht="44.25" hidden="1" customHeight="1">
      <c r="A248" s="50" t="s">
        <v>1154</v>
      </c>
      <c r="B248" s="14">
        <v>793</v>
      </c>
      <c r="C248" s="15" t="s">
        <v>167</v>
      </c>
      <c r="D248" s="15" t="s">
        <v>69</v>
      </c>
      <c r="E248" s="15" t="s">
        <v>1153</v>
      </c>
      <c r="F248" s="15"/>
      <c r="G248" s="70">
        <f>G249</f>
        <v>0</v>
      </c>
      <c r="H248" s="70">
        <f t="shared" ref="H248:I249" si="65">H249</f>
        <v>0</v>
      </c>
      <c r="I248" s="70">
        <f t="shared" si="65"/>
        <v>0</v>
      </c>
      <c r="J248" s="172"/>
      <c r="K248" s="69"/>
      <c r="L248" s="69"/>
      <c r="M248" s="69"/>
      <c r="N248" s="69"/>
      <c r="O248" s="69"/>
      <c r="P248" s="69"/>
      <c r="Q248" s="69"/>
      <c r="R248" s="69"/>
      <c r="S248" s="1"/>
      <c r="T248" s="1"/>
    </row>
    <row r="249" spans="1:20" ht="21" hidden="1" customHeight="1">
      <c r="A249" s="16" t="s">
        <v>35</v>
      </c>
      <c r="B249" s="14">
        <v>793</v>
      </c>
      <c r="C249" s="15" t="s">
        <v>167</v>
      </c>
      <c r="D249" s="15" t="s">
        <v>69</v>
      </c>
      <c r="E249" s="15" t="s">
        <v>1153</v>
      </c>
      <c r="F249" s="15" t="s">
        <v>36</v>
      </c>
      <c r="G249" s="70">
        <f>G250</f>
        <v>0</v>
      </c>
      <c r="H249" s="70">
        <f t="shared" si="65"/>
        <v>0</v>
      </c>
      <c r="I249" s="70">
        <f t="shared" si="65"/>
        <v>0</v>
      </c>
      <c r="J249" s="172"/>
      <c r="K249" s="69"/>
      <c r="L249" s="69"/>
      <c r="M249" s="69"/>
      <c r="N249" s="69"/>
      <c r="O249" s="69"/>
      <c r="P249" s="69"/>
      <c r="Q249" s="69"/>
      <c r="R249" s="69"/>
      <c r="S249" s="1"/>
      <c r="T249" s="1"/>
    </row>
    <row r="250" spans="1:20" ht="30.75" hidden="1" customHeight="1">
      <c r="A250" s="16" t="s">
        <v>37</v>
      </c>
      <c r="B250" s="14">
        <v>793</v>
      </c>
      <c r="C250" s="15" t="s">
        <v>167</v>
      </c>
      <c r="D250" s="15" t="s">
        <v>69</v>
      </c>
      <c r="E250" s="15" t="s">
        <v>1153</v>
      </c>
      <c r="F250" s="15" t="s">
        <v>38</v>
      </c>
      <c r="G250" s="70">
        <f>прил4!G2374</f>
        <v>0</v>
      </c>
      <c r="H250" s="70">
        <v>0</v>
      </c>
      <c r="I250" s="70">
        <v>0</v>
      </c>
      <c r="J250" s="172"/>
      <c r="K250" s="69"/>
      <c r="L250" s="69"/>
      <c r="M250" s="69"/>
      <c r="N250" s="69"/>
      <c r="O250" s="69"/>
      <c r="P250" s="69"/>
      <c r="Q250" s="69"/>
      <c r="R250" s="69"/>
      <c r="S250" s="1"/>
      <c r="T250" s="1"/>
    </row>
    <row r="251" spans="1:20" ht="32.25" hidden="1" customHeight="1">
      <c r="A251" s="50" t="s">
        <v>1338</v>
      </c>
      <c r="B251" s="84" t="s">
        <v>92</v>
      </c>
      <c r="C251" s="84" t="s">
        <v>25</v>
      </c>
      <c r="D251" s="84" t="s">
        <v>69</v>
      </c>
      <c r="E251" s="15" t="s">
        <v>1337</v>
      </c>
      <c r="F251" s="15"/>
      <c r="G251" s="70">
        <f>G252</f>
        <v>0</v>
      </c>
      <c r="H251" s="70">
        <f>H252</f>
        <v>0</v>
      </c>
      <c r="I251" s="70">
        <f>I252</f>
        <v>0</v>
      </c>
      <c r="J251" s="172"/>
      <c r="K251" s="69"/>
      <c r="L251" s="69"/>
      <c r="M251" s="69"/>
      <c r="N251" s="69"/>
      <c r="O251" s="69"/>
      <c r="P251" s="69"/>
      <c r="Q251" s="69"/>
      <c r="R251" s="69"/>
      <c r="S251" s="1"/>
      <c r="T251" s="1"/>
    </row>
    <row r="252" spans="1:20" ht="32.25" hidden="1" customHeight="1">
      <c r="A252" s="82" t="s">
        <v>29</v>
      </c>
      <c r="B252" s="84" t="s">
        <v>92</v>
      </c>
      <c r="C252" s="84" t="s">
        <v>25</v>
      </c>
      <c r="D252" s="84" t="s">
        <v>69</v>
      </c>
      <c r="E252" s="15" t="s">
        <v>1337</v>
      </c>
      <c r="F252" s="15" t="s">
        <v>30</v>
      </c>
      <c r="G252" s="70">
        <f>G253</f>
        <v>0</v>
      </c>
      <c r="H252" s="70">
        <f t="shared" ref="H252:I252" si="66">H253</f>
        <v>0</v>
      </c>
      <c r="I252" s="70">
        <f t="shared" si="66"/>
        <v>0</v>
      </c>
      <c r="J252" s="172"/>
      <c r="K252" s="69"/>
      <c r="L252" s="69"/>
      <c r="M252" s="69"/>
      <c r="N252" s="69"/>
      <c r="O252" s="69"/>
      <c r="P252" s="69"/>
      <c r="Q252" s="69"/>
      <c r="R252" s="69"/>
      <c r="S252" s="1"/>
      <c r="T252" s="1"/>
    </row>
    <row r="253" spans="1:20" ht="30.75" hidden="1" customHeight="1">
      <c r="A253" s="82" t="s">
        <v>31</v>
      </c>
      <c r="B253" s="84" t="s">
        <v>92</v>
      </c>
      <c r="C253" s="84" t="s">
        <v>25</v>
      </c>
      <c r="D253" s="84" t="s">
        <v>69</v>
      </c>
      <c r="E253" s="15" t="s">
        <v>1337</v>
      </c>
      <c r="F253" s="15" t="s">
        <v>32</v>
      </c>
      <c r="G253" s="70">
        <f>прил4!G1133</f>
        <v>0</v>
      </c>
      <c r="H253" s="70">
        <v>0</v>
      </c>
      <c r="I253" s="70">
        <v>0</v>
      </c>
      <c r="J253" s="172"/>
      <c r="K253" s="69"/>
      <c r="L253" s="69"/>
      <c r="M253" s="69"/>
      <c r="N253" s="69"/>
      <c r="O253" s="69"/>
      <c r="P253" s="69"/>
      <c r="Q253" s="69"/>
      <c r="R253" s="69"/>
      <c r="S253" s="1"/>
      <c r="T253" s="1"/>
    </row>
    <row r="254" spans="1:20" ht="47.25" customHeight="1">
      <c r="A254" s="50" t="s">
        <v>1526</v>
      </c>
      <c r="B254" s="14">
        <v>793</v>
      </c>
      <c r="C254" s="15" t="s">
        <v>68</v>
      </c>
      <c r="D254" s="15" t="s">
        <v>69</v>
      </c>
      <c r="E254" s="15" t="s">
        <v>1525</v>
      </c>
      <c r="F254" s="15"/>
      <c r="G254" s="70">
        <f>G255</f>
        <v>143200.85</v>
      </c>
      <c r="H254" s="70">
        <f t="shared" ref="H254:I255" si="67">H255</f>
        <v>0</v>
      </c>
      <c r="I254" s="70">
        <f t="shared" si="67"/>
        <v>0</v>
      </c>
      <c r="J254" s="172"/>
      <c r="K254" s="69"/>
      <c r="L254" s="69"/>
      <c r="M254" s="69"/>
      <c r="N254" s="69"/>
      <c r="O254" s="69"/>
      <c r="P254" s="69"/>
      <c r="Q254" s="69"/>
      <c r="R254" s="69"/>
      <c r="S254" s="1"/>
      <c r="T254" s="1"/>
    </row>
    <row r="255" spans="1:20" ht="21" customHeight="1">
      <c r="A255" s="16" t="s">
        <v>144</v>
      </c>
      <c r="B255" s="14">
        <v>793</v>
      </c>
      <c r="C255" s="15" t="s">
        <v>68</v>
      </c>
      <c r="D255" s="15" t="s">
        <v>69</v>
      </c>
      <c r="E255" s="15" t="s">
        <v>1525</v>
      </c>
      <c r="F255" s="15" t="s">
        <v>145</v>
      </c>
      <c r="G255" s="70">
        <f>G256</f>
        <v>143200.85</v>
      </c>
      <c r="H255" s="70">
        <f t="shared" si="67"/>
        <v>0</v>
      </c>
      <c r="I255" s="70">
        <f t="shared" si="67"/>
        <v>0</v>
      </c>
      <c r="J255" s="172"/>
      <c r="K255" s="69"/>
      <c r="L255" s="69"/>
      <c r="M255" s="69"/>
      <c r="N255" s="69"/>
      <c r="O255" s="69"/>
      <c r="P255" s="69"/>
      <c r="Q255" s="69"/>
      <c r="R255" s="69"/>
      <c r="S255" s="1"/>
      <c r="T255" s="1"/>
    </row>
    <row r="256" spans="1:20" ht="30.75" customHeight="1">
      <c r="A256" s="16" t="s">
        <v>146</v>
      </c>
      <c r="B256" s="14">
        <v>793</v>
      </c>
      <c r="C256" s="15" t="s">
        <v>68</v>
      </c>
      <c r="D256" s="15" t="s">
        <v>69</v>
      </c>
      <c r="E256" s="15" t="s">
        <v>1525</v>
      </c>
      <c r="F256" s="15" t="s">
        <v>147</v>
      </c>
      <c r="G256" s="70">
        <f>прил4!G2748</f>
        <v>143200.85</v>
      </c>
      <c r="H256" s="70">
        <v>0</v>
      </c>
      <c r="I256" s="70">
        <v>0</v>
      </c>
      <c r="J256" s="172"/>
      <c r="K256" s="69"/>
      <c r="L256" s="69"/>
      <c r="M256" s="69"/>
      <c r="N256" s="69"/>
      <c r="O256" s="69"/>
      <c r="P256" s="69"/>
      <c r="Q256" s="69"/>
      <c r="R256" s="69"/>
      <c r="S256" s="1"/>
      <c r="T256" s="1"/>
    </row>
    <row r="257" spans="1:22" ht="32.25" customHeight="1">
      <c r="A257" s="50" t="s">
        <v>1396</v>
      </c>
      <c r="B257" s="84" t="s">
        <v>92</v>
      </c>
      <c r="C257" s="84" t="s">
        <v>25</v>
      </c>
      <c r="D257" s="84" t="s">
        <v>69</v>
      </c>
      <c r="E257" s="15" t="s">
        <v>1394</v>
      </c>
      <c r="F257" s="15"/>
      <c r="G257" s="70">
        <f>G258</f>
        <v>194529.71</v>
      </c>
      <c r="H257" s="70">
        <f>H258</f>
        <v>0</v>
      </c>
      <c r="I257" s="70">
        <f>I258</f>
        <v>0</v>
      </c>
      <c r="J257" s="172"/>
      <c r="K257" s="69"/>
      <c r="L257" s="69"/>
      <c r="M257" s="69"/>
      <c r="N257" s="69"/>
      <c r="O257" s="69"/>
      <c r="P257" s="69"/>
      <c r="Q257" s="69"/>
      <c r="R257" s="69"/>
      <c r="S257" s="1"/>
      <c r="T257" s="1"/>
    </row>
    <row r="258" spans="1:22" ht="32.25" customHeight="1">
      <c r="A258" s="16" t="s">
        <v>35</v>
      </c>
      <c r="B258" s="84" t="s">
        <v>92</v>
      </c>
      <c r="C258" s="84" t="s">
        <v>25</v>
      </c>
      <c r="D258" s="84" t="s">
        <v>69</v>
      </c>
      <c r="E258" s="15" t="s">
        <v>1394</v>
      </c>
      <c r="F258" s="15" t="s">
        <v>36</v>
      </c>
      <c r="G258" s="70">
        <f>G259</f>
        <v>194529.71</v>
      </c>
      <c r="H258" s="70">
        <f t="shared" ref="H258:I258" si="68">H259</f>
        <v>0</v>
      </c>
      <c r="I258" s="70">
        <f t="shared" si="68"/>
        <v>0</v>
      </c>
      <c r="J258" s="172"/>
      <c r="K258" s="69"/>
      <c r="L258" s="69"/>
      <c r="M258" s="69"/>
      <c r="N258" s="69"/>
      <c r="O258" s="69"/>
      <c r="P258" s="69"/>
      <c r="Q258" s="69"/>
      <c r="R258" s="69"/>
      <c r="S258" s="1"/>
      <c r="T258" s="1"/>
    </row>
    <row r="259" spans="1:22" ht="30.75" customHeight="1">
      <c r="A259" s="16" t="s">
        <v>37</v>
      </c>
      <c r="B259" s="84" t="s">
        <v>92</v>
      </c>
      <c r="C259" s="84" t="s">
        <v>25</v>
      </c>
      <c r="D259" s="84" t="s">
        <v>69</v>
      </c>
      <c r="E259" s="15" t="s">
        <v>1394</v>
      </c>
      <c r="F259" s="15" t="s">
        <v>38</v>
      </c>
      <c r="G259" s="70">
        <f>прил4!G2427</f>
        <v>194529.71</v>
      </c>
      <c r="H259" s="70">
        <v>0</v>
      </c>
      <c r="I259" s="70">
        <v>0</v>
      </c>
      <c r="J259" s="172"/>
      <c r="K259" s="69"/>
      <c r="L259" s="69"/>
      <c r="M259" s="69"/>
      <c r="N259" s="69"/>
      <c r="O259" s="69"/>
      <c r="P259" s="69"/>
      <c r="Q259" s="69"/>
      <c r="R259" s="69"/>
      <c r="S259" s="1"/>
      <c r="T259" s="1"/>
    </row>
    <row r="260" spans="1:22" s="22" customFormat="1" ht="43.5" customHeight="1" thickBot="1">
      <c r="A260" s="341" t="s">
        <v>1130</v>
      </c>
      <c r="B260" s="35">
        <v>793</v>
      </c>
      <c r="C260" s="36" t="s">
        <v>18</v>
      </c>
      <c r="D260" s="36" t="s">
        <v>53</v>
      </c>
      <c r="E260" s="35" t="s">
        <v>237</v>
      </c>
      <c r="F260" s="35"/>
      <c r="G260" s="71">
        <f>G261+G267+G266+G280+G273+G270</f>
        <v>1785000</v>
      </c>
      <c r="H260" s="71">
        <f>H261+H267+H266+H280+H273</f>
        <v>1149715</v>
      </c>
      <c r="I260" s="71">
        <f>I261+I267+I266+I280+I273</f>
        <v>1149715</v>
      </c>
      <c r="J260" s="21">
        <v>25000</v>
      </c>
      <c r="P260" s="21"/>
      <c r="Q260" s="21"/>
      <c r="R260" s="21"/>
      <c r="S260" s="21"/>
      <c r="T260" s="21">
        <f>прил4!G2046+прил4!G1506</f>
        <v>1785000</v>
      </c>
      <c r="U260" s="21">
        <f>T260-G260</f>
        <v>0</v>
      </c>
      <c r="V260" s="21"/>
    </row>
    <row r="261" spans="1:22" ht="27" thickBot="1">
      <c r="A261" s="297" t="s">
        <v>315</v>
      </c>
      <c r="B261" s="14">
        <v>793</v>
      </c>
      <c r="C261" s="15" t="s">
        <v>18</v>
      </c>
      <c r="D261" s="15" t="s">
        <v>53</v>
      </c>
      <c r="E261" s="15" t="s">
        <v>238</v>
      </c>
      <c r="F261" s="15"/>
      <c r="G261" s="70">
        <f t="shared" ref="G261:I262" si="69">G262</f>
        <v>35000</v>
      </c>
      <c r="H261" s="87">
        <f t="shared" si="69"/>
        <v>35000</v>
      </c>
      <c r="I261" s="87">
        <f t="shared" si="69"/>
        <v>35000</v>
      </c>
      <c r="J261" s="2">
        <v>190700</v>
      </c>
    </row>
    <row r="262" spans="1:22">
      <c r="A262" s="16" t="s">
        <v>316</v>
      </c>
      <c r="B262" s="14">
        <v>793</v>
      </c>
      <c r="C262" s="15" t="s">
        <v>18</v>
      </c>
      <c r="D262" s="15" t="s">
        <v>53</v>
      </c>
      <c r="E262" s="15" t="s">
        <v>238</v>
      </c>
      <c r="F262" s="15" t="s">
        <v>36</v>
      </c>
      <c r="G262" s="70">
        <f t="shared" si="69"/>
        <v>35000</v>
      </c>
      <c r="H262" s="87">
        <f t="shared" si="69"/>
        <v>35000</v>
      </c>
      <c r="I262" s="87">
        <f t="shared" si="69"/>
        <v>35000</v>
      </c>
      <c r="J262" s="2">
        <v>400000</v>
      </c>
    </row>
    <row r="263" spans="1:22" ht="26.4">
      <c r="A263" s="16" t="s">
        <v>37</v>
      </c>
      <c r="B263" s="14">
        <v>793</v>
      </c>
      <c r="C263" s="15" t="s">
        <v>18</v>
      </c>
      <c r="D263" s="15" t="s">
        <v>53</v>
      </c>
      <c r="E263" s="15" t="s">
        <v>238</v>
      </c>
      <c r="F263" s="15" t="s">
        <v>38</v>
      </c>
      <c r="G263" s="70">
        <f>прил4!G1509</f>
        <v>35000</v>
      </c>
      <c r="H263" s="87">
        <f>прил4!H1509</f>
        <v>35000</v>
      </c>
      <c r="I263" s="87">
        <f>прил4!I1509</f>
        <v>35000</v>
      </c>
      <c r="J263" s="2">
        <f>SUM(J260:J262)</f>
        <v>615700</v>
      </c>
    </row>
    <row r="264" spans="1:22" ht="30.75" customHeight="1">
      <c r="A264" s="104" t="s">
        <v>1049</v>
      </c>
      <c r="B264" s="14">
        <v>793</v>
      </c>
      <c r="C264" s="15" t="s">
        <v>53</v>
      </c>
      <c r="D264" s="15" t="s">
        <v>87</v>
      </c>
      <c r="E264" s="14" t="s">
        <v>383</v>
      </c>
      <c r="F264" s="14"/>
      <c r="G264" s="70">
        <f>G266</f>
        <v>1050000</v>
      </c>
      <c r="H264" s="87">
        <f>H266</f>
        <v>414715</v>
      </c>
      <c r="I264" s="87">
        <f>I266</f>
        <v>414715</v>
      </c>
    </row>
    <row r="265" spans="1:22">
      <c r="A265" s="16" t="s">
        <v>62</v>
      </c>
      <c r="B265" s="14">
        <v>793</v>
      </c>
      <c r="C265" s="15" t="s">
        <v>53</v>
      </c>
      <c r="D265" s="15" t="s">
        <v>87</v>
      </c>
      <c r="E265" s="14" t="s">
        <v>253</v>
      </c>
      <c r="F265" s="14">
        <v>800</v>
      </c>
      <c r="G265" s="70">
        <f t="shared" ref="G265:I268" si="70">G266</f>
        <v>1050000</v>
      </c>
      <c r="H265" s="87">
        <f t="shared" si="70"/>
        <v>414715</v>
      </c>
      <c r="I265" s="87">
        <f t="shared" si="70"/>
        <v>414715</v>
      </c>
    </row>
    <row r="266" spans="1:22" ht="45.75" customHeight="1">
      <c r="A266" s="16" t="s">
        <v>332</v>
      </c>
      <c r="B266" s="14">
        <v>793</v>
      </c>
      <c r="C266" s="15" t="s">
        <v>53</v>
      </c>
      <c r="D266" s="15" t="s">
        <v>87</v>
      </c>
      <c r="E266" s="14" t="s">
        <v>383</v>
      </c>
      <c r="F266" s="14">
        <v>810</v>
      </c>
      <c r="G266" s="70">
        <f>прил4!G2049</f>
        <v>1050000</v>
      </c>
      <c r="H266" s="87">
        <f>прил4!H2049</f>
        <v>414715</v>
      </c>
      <c r="I266" s="87">
        <f>прил4!I2049</f>
        <v>414715</v>
      </c>
    </row>
    <row r="267" spans="1:22" ht="47.25" customHeight="1">
      <c r="A267" s="16" t="s">
        <v>108</v>
      </c>
      <c r="B267" s="14">
        <v>793</v>
      </c>
      <c r="C267" s="15" t="s">
        <v>53</v>
      </c>
      <c r="D267" s="15" t="s">
        <v>87</v>
      </c>
      <c r="E267" s="14" t="s">
        <v>253</v>
      </c>
      <c r="F267" s="14"/>
      <c r="G267" s="70">
        <f t="shared" si="70"/>
        <v>700000</v>
      </c>
      <c r="H267" s="87">
        <f t="shared" si="70"/>
        <v>700000</v>
      </c>
      <c r="I267" s="87">
        <f t="shared" si="70"/>
        <v>700000</v>
      </c>
    </row>
    <row r="268" spans="1:22">
      <c r="A268" s="16" t="s">
        <v>62</v>
      </c>
      <c r="B268" s="14">
        <v>793</v>
      </c>
      <c r="C268" s="15" t="s">
        <v>53</v>
      </c>
      <c r="D268" s="15" t="s">
        <v>87</v>
      </c>
      <c r="E268" s="14" t="s">
        <v>253</v>
      </c>
      <c r="F268" s="14">
        <v>800</v>
      </c>
      <c r="G268" s="70">
        <f t="shared" si="70"/>
        <v>700000</v>
      </c>
      <c r="H268" s="87">
        <f t="shared" si="70"/>
        <v>700000</v>
      </c>
      <c r="I268" s="87">
        <f t="shared" si="70"/>
        <v>700000</v>
      </c>
    </row>
    <row r="269" spans="1:22" ht="51" customHeight="1">
      <c r="A269" s="16" t="s">
        <v>332</v>
      </c>
      <c r="B269" s="14">
        <v>793</v>
      </c>
      <c r="C269" s="15" t="s">
        <v>53</v>
      </c>
      <c r="D269" s="15" t="s">
        <v>87</v>
      </c>
      <c r="E269" s="14" t="s">
        <v>253</v>
      </c>
      <c r="F269" s="14">
        <v>810</v>
      </c>
      <c r="G269" s="70">
        <f>прил4!G2052</f>
        <v>700000</v>
      </c>
      <c r="H269" s="87">
        <f>прил4!H2052</f>
        <v>700000</v>
      </c>
      <c r="I269" s="87">
        <f>прил4!I2052</f>
        <v>700000</v>
      </c>
    </row>
    <row r="270" spans="1:22" ht="40.5" hidden="1" customHeight="1">
      <c r="A270" s="16" t="s">
        <v>752</v>
      </c>
      <c r="B270" s="14">
        <v>793</v>
      </c>
      <c r="C270" s="15" t="s">
        <v>53</v>
      </c>
      <c r="D270" s="15" t="s">
        <v>167</v>
      </c>
      <c r="E270" s="14" t="s">
        <v>614</v>
      </c>
      <c r="F270" s="14"/>
      <c r="G270" s="70">
        <f>G271</f>
        <v>0</v>
      </c>
      <c r="H270" s="70">
        <f>H272</f>
        <v>0</v>
      </c>
      <c r="I270" s="70">
        <f>I272</f>
        <v>0</v>
      </c>
      <c r="J270" s="1"/>
    </row>
    <row r="271" spans="1:22" hidden="1">
      <c r="A271" s="16" t="s">
        <v>62</v>
      </c>
      <c r="B271" s="14">
        <v>793</v>
      </c>
      <c r="C271" s="15" t="s">
        <v>53</v>
      </c>
      <c r="D271" s="15" t="s">
        <v>167</v>
      </c>
      <c r="E271" s="14" t="s">
        <v>614</v>
      </c>
      <c r="F271" s="14">
        <v>800</v>
      </c>
      <c r="G271" s="70">
        <f t="shared" ref="G271:I271" si="71">G272</f>
        <v>0</v>
      </c>
      <c r="H271" s="70">
        <f t="shared" si="71"/>
        <v>0</v>
      </c>
      <c r="I271" s="70">
        <f t="shared" si="71"/>
        <v>0</v>
      </c>
      <c r="J271" s="1"/>
    </row>
    <row r="272" spans="1:22" ht="31.5" hidden="1" customHeight="1">
      <c r="A272" s="16" t="s">
        <v>419</v>
      </c>
      <c r="B272" s="14">
        <v>793</v>
      </c>
      <c r="C272" s="15" t="s">
        <v>53</v>
      </c>
      <c r="D272" s="15" t="s">
        <v>167</v>
      </c>
      <c r="E272" s="14" t="s">
        <v>614</v>
      </c>
      <c r="F272" s="14">
        <v>810</v>
      </c>
      <c r="G272" s="70"/>
      <c r="H272" s="8">
        <v>0</v>
      </c>
      <c r="I272" s="8">
        <v>0</v>
      </c>
      <c r="J272" s="1"/>
    </row>
    <row r="273" spans="1:22" ht="47.25" hidden="1" customHeight="1">
      <c r="A273" s="16" t="s">
        <v>908</v>
      </c>
      <c r="B273" s="14">
        <v>793</v>
      </c>
      <c r="C273" s="15" t="s">
        <v>53</v>
      </c>
      <c r="D273" s="15" t="s">
        <v>87</v>
      </c>
      <c r="E273" s="14" t="s">
        <v>907</v>
      </c>
      <c r="F273" s="14"/>
      <c r="G273" s="70">
        <f>G274+G276+G278</f>
        <v>0</v>
      </c>
      <c r="H273" s="70">
        <f>H274</f>
        <v>0</v>
      </c>
      <c r="I273" s="70">
        <f>I274</f>
        <v>0</v>
      </c>
      <c r="J273" s="1"/>
    </row>
    <row r="274" spans="1:22" ht="30.75" hidden="1" customHeight="1">
      <c r="A274" s="16" t="s">
        <v>316</v>
      </c>
      <c r="B274" s="14">
        <v>793</v>
      </c>
      <c r="C274" s="15" t="s">
        <v>53</v>
      </c>
      <c r="D274" s="15" t="s">
        <v>87</v>
      </c>
      <c r="E274" s="14" t="s">
        <v>907</v>
      </c>
      <c r="F274" s="14">
        <v>200</v>
      </c>
      <c r="G274" s="70">
        <f t="shared" ref="G274:I274" si="72">G275</f>
        <v>0</v>
      </c>
      <c r="H274" s="70">
        <f t="shared" si="72"/>
        <v>0</v>
      </c>
      <c r="I274" s="70">
        <f t="shared" si="72"/>
        <v>0</v>
      </c>
      <c r="J274" s="1"/>
    </row>
    <row r="275" spans="1:22" ht="33.75" hidden="1" customHeight="1">
      <c r="A275" s="16" t="s">
        <v>37</v>
      </c>
      <c r="B275" s="14">
        <v>793</v>
      </c>
      <c r="C275" s="15" t="s">
        <v>53</v>
      </c>
      <c r="D275" s="15" t="s">
        <v>87</v>
      </c>
      <c r="E275" s="14" t="s">
        <v>907</v>
      </c>
      <c r="F275" s="14">
        <v>240</v>
      </c>
      <c r="G275" s="70">
        <f>прил4!G2055</f>
        <v>0</v>
      </c>
      <c r="H275" s="70">
        <v>0</v>
      </c>
      <c r="I275" s="70">
        <v>0</v>
      </c>
      <c r="J275" s="1"/>
    </row>
    <row r="276" spans="1:22" ht="20.25" hidden="1" customHeight="1">
      <c r="A276" s="16" t="s">
        <v>152</v>
      </c>
      <c r="B276" s="14"/>
      <c r="C276" s="15"/>
      <c r="D276" s="15"/>
      <c r="E276" s="14" t="s">
        <v>614</v>
      </c>
      <c r="F276" s="14">
        <v>500</v>
      </c>
      <c r="G276" s="70">
        <f>G277</f>
        <v>0</v>
      </c>
      <c r="H276" s="70"/>
      <c r="I276" s="70"/>
      <c r="J276" s="1"/>
    </row>
    <row r="277" spans="1:22" ht="20.25" hidden="1" customHeight="1">
      <c r="A277" s="16" t="s">
        <v>164</v>
      </c>
      <c r="B277" s="14"/>
      <c r="C277" s="15"/>
      <c r="D277" s="15"/>
      <c r="E277" s="14" t="s">
        <v>614</v>
      </c>
      <c r="F277" s="14">
        <v>520</v>
      </c>
      <c r="G277" s="70">
        <f>прил4!G2057</f>
        <v>0</v>
      </c>
      <c r="H277" s="70"/>
      <c r="I277" s="70"/>
      <c r="J277" s="1"/>
    </row>
    <row r="278" spans="1:22" ht="21" hidden="1" customHeight="1">
      <c r="A278" s="16" t="s">
        <v>62</v>
      </c>
      <c r="B278" s="14">
        <v>793</v>
      </c>
      <c r="C278" s="15" t="s">
        <v>53</v>
      </c>
      <c r="D278" s="15" t="s">
        <v>87</v>
      </c>
      <c r="E278" s="14" t="s">
        <v>614</v>
      </c>
      <c r="F278" s="14">
        <v>800</v>
      </c>
      <c r="G278" s="125">
        <f>G279</f>
        <v>0</v>
      </c>
      <c r="H278" s="8"/>
      <c r="I278" s="8"/>
      <c r="J278" s="1"/>
    </row>
    <row r="279" spans="1:22" ht="20.25" hidden="1" customHeight="1">
      <c r="A279" s="16" t="s">
        <v>174</v>
      </c>
      <c r="B279" s="14">
        <v>793</v>
      </c>
      <c r="C279" s="15" t="s">
        <v>53</v>
      </c>
      <c r="D279" s="15" t="s">
        <v>87</v>
      </c>
      <c r="E279" s="14" t="s">
        <v>614</v>
      </c>
      <c r="F279" s="14">
        <v>870</v>
      </c>
      <c r="G279" s="125">
        <f>прил4!G2059</f>
        <v>0</v>
      </c>
      <c r="H279" s="8"/>
      <c r="I279" s="8"/>
      <c r="J279" s="1"/>
    </row>
    <row r="280" spans="1:22" ht="57" hidden="1" customHeight="1">
      <c r="A280" s="16" t="s">
        <v>437</v>
      </c>
      <c r="B280" s="14">
        <v>793</v>
      </c>
      <c r="C280" s="15" t="s">
        <v>53</v>
      </c>
      <c r="D280" s="15" t="s">
        <v>87</v>
      </c>
      <c r="E280" s="14" t="s">
        <v>436</v>
      </c>
      <c r="F280" s="14"/>
      <c r="G280" s="70">
        <f t="shared" ref="G280:I281" si="73">G281</f>
        <v>0</v>
      </c>
      <c r="H280" s="8">
        <f t="shared" si="73"/>
        <v>0</v>
      </c>
      <c r="I280" s="8">
        <f t="shared" si="73"/>
        <v>0</v>
      </c>
    </row>
    <row r="281" spans="1:22" ht="34.5" hidden="1" customHeight="1">
      <c r="A281" s="16" t="s">
        <v>62</v>
      </c>
      <c r="B281" s="14">
        <v>793</v>
      </c>
      <c r="C281" s="15" t="s">
        <v>53</v>
      </c>
      <c r="D281" s="15" t="s">
        <v>87</v>
      </c>
      <c r="E281" s="14" t="s">
        <v>436</v>
      </c>
      <c r="F281" s="14">
        <v>800</v>
      </c>
      <c r="G281" s="70">
        <f t="shared" si="73"/>
        <v>0</v>
      </c>
      <c r="H281" s="8">
        <f t="shared" si="73"/>
        <v>0</v>
      </c>
      <c r="I281" s="8">
        <f t="shared" si="73"/>
        <v>0</v>
      </c>
    </row>
    <row r="282" spans="1:22" ht="42" hidden="1" customHeight="1">
      <c r="A282" s="16" t="s">
        <v>332</v>
      </c>
      <c r="B282" s="14">
        <v>793</v>
      </c>
      <c r="C282" s="15" t="s">
        <v>53</v>
      </c>
      <c r="D282" s="15" t="s">
        <v>87</v>
      </c>
      <c r="E282" s="14" t="s">
        <v>436</v>
      </c>
      <c r="F282" s="14">
        <v>810</v>
      </c>
      <c r="G282" s="70"/>
      <c r="H282" s="8">
        <f>прил4!H2062</f>
        <v>0</v>
      </c>
      <c r="I282" s="8">
        <f>прил4!I2062</f>
        <v>0</v>
      </c>
    </row>
    <row r="283" spans="1:22" s="227" customFormat="1" ht="28.5" customHeight="1">
      <c r="A283" s="107" t="s">
        <v>1131</v>
      </c>
      <c r="B283" s="35">
        <v>792</v>
      </c>
      <c r="C283" s="36" t="s">
        <v>53</v>
      </c>
      <c r="D283" s="36" t="s">
        <v>120</v>
      </c>
      <c r="E283" s="36" t="s">
        <v>229</v>
      </c>
      <c r="F283" s="36"/>
      <c r="G283" s="71">
        <f>G284+G300+G307+G327+G429+G423+G435+G443+G439+G447+G451+G455+G459+G320+G316+G328+G420</f>
        <v>83646596.230000004</v>
      </c>
      <c r="H283" s="71">
        <f t="shared" ref="H283:I283" si="74">H284+H300+H307+H327+H429+H423+H435+H443+H439+H447+H451+H455+H459+H320+H316+H328+H420</f>
        <v>60610873</v>
      </c>
      <c r="I283" s="71">
        <f t="shared" si="74"/>
        <v>61365340</v>
      </c>
      <c r="J283" s="226">
        <v>1500000</v>
      </c>
      <c r="P283" s="226"/>
      <c r="Q283" s="226"/>
      <c r="R283" s="226"/>
      <c r="S283" s="226"/>
      <c r="T283" s="226">
        <f>прил4!G3333+прил4!G1909+прил4!G1933</f>
        <v>74140767.890000001</v>
      </c>
      <c r="V283" s="226"/>
    </row>
    <row r="284" spans="1:22" s="18" customFormat="1" ht="86.25" customHeight="1">
      <c r="A284" s="16" t="s">
        <v>1159</v>
      </c>
      <c r="B284" s="14">
        <v>793</v>
      </c>
      <c r="C284" s="15" t="s">
        <v>53</v>
      </c>
      <c r="D284" s="15" t="s">
        <v>120</v>
      </c>
      <c r="E284" s="15" t="s">
        <v>98</v>
      </c>
      <c r="F284" s="15"/>
      <c r="G284" s="70">
        <f>G287+G294+G291+G297</f>
        <v>55331492.890000001</v>
      </c>
      <c r="H284" s="70">
        <f>H285+H315</f>
        <v>57310873</v>
      </c>
      <c r="I284" s="70">
        <f t="shared" ref="I284" si="75">I285</f>
        <v>59165340</v>
      </c>
      <c r="J284" s="172"/>
    </row>
    <row r="285" spans="1:22" s="18" customFormat="1" ht="76.5" customHeight="1">
      <c r="A285" s="16" t="s">
        <v>1159</v>
      </c>
      <c r="B285" s="14">
        <v>793</v>
      </c>
      <c r="C285" s="15" t="s">
        <v>53</v>
      </c>
      <c r="D285" s="15" t="s">
        <v>120</v>
      </c>
      <c r="E285" s="15" t="s">
        <v>864</v>
      </c>
      <c r="F285" s="15"/>
      <c r="G285" s="70">
        <f t="shared" ref="G285:I286" si="76">G286</f>
        <v>55331492.890000001</v>
      </c>
      <c r="H285" s="70">
        <f t="shared" si="76"/>
        <v>50310873</v>
      </c>
      <c r="I285" s="70">
        <f t="shared" si="76"/>
        <v>59165340</v>
      </c>
      <c r="J285" s="172" t="s">
        <v>800</v>
      </c>
    </row>
    <row r="286" spans="1:22" s="18" customFormat="1" ht="15" customHeight="1">
      <c r="A286" s="16" t="s">
        <v>316</v>
      </c>
      <c r="B286" s="14">
        <v>793</v>
      </c>
      <c r="C286" s="15" t="s">
        <v>53</v>
      </c>
      <c r="D286" s="15" t="s">
        <v>120</v>
      </c>
      <c r="E286" s="15" t="s">
        <v>864</v>
      </c>
      <c r="F286" s="15" t="s">
        <v>36</v>
      </c>
      <c r="G286" s="70">
        <f t="shared" si="76"/>
        <v>55331492.890000001</v>
      </c>
      <c r="H286" s="70">
        <f t="shared" si="76"/>
        <v>50310873</v>
      </c>
      <c r="I286" s="70">
        <f t="shared" si="76"/>
        <v>59165340</v>
      </c>
      <c r="J286" s="172"/>
    </row>
    <row r="287" spans="1:22" s="18" customFormat="1" ht="32.25" customHeight="1">
      <c r="A287" s="16" t="s">
        <v>37</v>
      </c>
      <c r="B287" s="14">
        <v>793</v>
      </c>
      <c r="C287" s="15" t="s">
        <v>53</v>
      </c>
      <c r="D287" s="15" t="s">
        <v>120</v>
      </c>
      <c r="E287" s="15" t="s">
        <v>864</v>
      </c>
      <c r="F287" s="15" t="s">
        <v>38</v>
      </c>
      <c r="G287" s="70">
        <f>прил4!G1937+прил4!G3337</f>
        <v>55331492.890000001</v>
      </c>
      <c r="H287" s="70">
        <f>прил4!H1937+прил4!H3337</f>
        <v>50310873</v>
      </c>
      <c r="I287" s="70">
        <f>прил4!I1937+прил4!I3337</f>
        <v>59165340</v>
      </c>
      <c r="J287" s="172"/>
      <c r="K287" s="18" t="s">
        <v>448</v>
      </c>
      <c r="M287" s="18">
        <v>26808448</v>
      </c>
    </row>
    <row r="288" spans="1:22" s="18" customFormat="1" ht="81.75" hidden="1" customHeight="1">
      <c r="A288" s="16" t="s">
        <v>916</v>
      </c>
      <c r="B288" s="14">
        <v>793</v>
      </c>
      <c r="C288" s="15" t="s">
        <v>53</v>
      </c>
      <c r="D288" s="15" t="s">
        <v>120</v>
      </c>
      <c r="E288" s="15" t="s">
        <v>501</v>
      </c>
      <c r="F288" s="15"/>
      <c r="G288" s="70">
        <f>G289</f>
        <v>0</v>
      </c>
      <c r="H288" s="70"/>
      <c r="I288" s="70"/>
      <c r="J288" s="173"/>
      <c r="K288" s="195"/>
      <c r="L288" s="195"/>
      <c r="M288" s="195"/>
      <c r="N288" s="195"/>
      <c r="O288" s="195"/>
      <c r="P288" s="195"/>
      <c r="Q288" s="195"/>
      <c r="R288" s="195"/>
    </row>
    <row r="289" spans="1:18" s="18" customFormat="1" ht="27.75" hidden="1" customHeight="1">
      <c r="A289" s="16" t="s">
        <v>94</v>
      </c>
      <c r="B289" s="14">
        <v>793</v>
      </c>
      <c r="C289" s="15" t="s">
        <v>53</v>
      </c>
      <c r="D289" s="15" t="s">
        <v>120</v>
      </c>
      <c r="E289" s="15" t="s">
        <v>501</v>
      </c>
      <c r="F289" s="15" t="s">
        <v>338</v>
      </c>
      <c r="G289" s="70">
        <f>G290</f>
        <v>0</v>
      </c>
      <c r="H289" s="70"/>
      <c r="I289" s="70"/>
      <c r="J289" s="173"/>
      <c r="K289" s="195"/>
      <c r="L289" s="195"/>
      <c r="M289" s="195"/>
      <c r="N289" s="195"/>
      <c r="O289" s="195"/>
      <c r="P289" s="195"/>
      <c r="Q289" s="195"/>
      <c r="R289" s="195"/>
    </row>
    <row r="290" spans="1:18" s="18" customFormat="1" ht="15" hidden="1" customHeight="1">
      <c r="A290" s="16" t="s">
        <v>339</v>
      </c>
      <c r="B290" s="14">
        <v>793</v>
      </c>
      <c r="C290" s="15" t="s">
        <v>53</v>
      </c>
      <c r="D290" s="15" t="s">
        <v>120</v>
      </c>
      <c r="E290" s="15" t="s">
        <v>501</v>
      </c>
      <c r="F290" s="15" t="s">
        <v>340</v>
      </c>
      <c r="G290" s="70"/>
      <c r="H290" s="70"/>
      <c r="I290" s="70"/>
      <c r="J290" s="173"/>
      <c r="K290" s="195"/>
      <c r="L290" s="195"/>
      <c r="M290" s="195"/>
      <c r="N290" s="195"/>
      <c r="O290" s="195"/>
      <c r="P290" s="195"/>
      <c r="Q290" s="195"/>
      <c r="R290" s="195"/>
    </row>
    <row r="291" spans="1:18" s="18" customFormat="1" ht="33" hidden="1" customHeight="1">
      <c r="A291" s="130" t="s">
        <v>973</v>
      </c>
      <c r="B291" s="14"/>
      <c r="C291" s="15"/>
      <c r="D291" s="15"/>
      <c r="E291" s="15" t="s">
        <v>971</v>
      </c>
      <c r="F291" s="15"/>
      <c r="G291" s="70">
        <f>G292</f>
        <v>0</v>
      </c>
      <c r="H291" s="70">
        <f t="shared" ref="H291:I291" si="77">H292</f>
        <v>0</v>
      </c>
      <c r="I291" s="70">
        <f t="shared" si="77"/>
        <v>0</v>
      </c>
      <c r="J291" s="173"/>
      <c r="K291" s="195"/>
      <c r="L291" s="195"/>
      <c r="M291" s="195"/>
      <c r="N291" s="195"/>
      <c r="O291" s="195"/>
      <c r="P291" s="195"/>
      <c r="Q291" s="195"/>
      <c r="R291" s="195"/>
    </row>
    <row r="292" spans="1:18" s="18" customFormat="1" ht="25.2" hidden="1" customHeight="1">
      <c r="A292" s="16" t="s">
        <v>316</v>
      </c>
      <c r="B292" s="14"/>
      <c r="C292" s="15"/>
      <c r="D292" s="15"/>
      <c r="E292" s="15" t="s">
        <v>971</v>
      </c>
      <c r="F292" s="15" t="s">
        <v>36</v>
      </c>
      <c r="G292" s="70">
        <f>G293</f>
        <v>0</v>
      </c>
      <c r="H292" s="70">
        <f t="shared" ref="H292:I292" si="78">H293</f>
        <v>0</v>
      </c>
      <c r="I292" s="70">
        <f t="shared" si="78"/>
        <v>0</v>
      </c>
      <c r="J292" s="173"/>
      <c r="K292" s="195"/>
      <c r="L292" s="195"/>
      <c r="M292" s="195"/>
      <c r="N292" s="195"/>
      <c r="O292" s="195"/>
      <c r="P292" s="195"/>
      <c r="Q292" s="195"/>
      <c r="R292" s="195"/>
    </row>
    <row r="293" spans="1:18" s="18" customFormat="1" ht="27.6" hidden="1" customHeight="1">
      <c r="A293" s="16" t="s">
        <v>37</v>
      </c>
      <c r="B293" s="14"/>
      <c r="C293" s="15"/>
      <c r="D293" s="15"/>
      <c r="E293" s="15" t="s">
        <v>971</v>
      </c>
      <c r="F293" s="15" t="s">
        <v>38</v>
      </c>
      <c r="G293" s="70">
        <f>прил4!G1946</f>
        <v>0</v>
      </c>
      <c r="H293" s="70">
        <f>прил4!H1946</f>
        <v>0</v>
      </c>
      <c r="I293" s="70">
        <f>прил4!I1946</f>
        <v>0</v>
      </c>
      <c r="J293" s="173"/>
      <c r="K293" s="195"/>
      <c r="L293" s="195"/>
      <c r="M293" s="195"/>
      <c r="N293" s="195"/>
      <c r="O293" s="195"/>
      <c r="P293" s="195"/>
      <c r="Q293" s="195"/>
      <c r="R293" s="195"/>
    </row>
    <row r="294" spans="1:18" s="18" customFormat="1" ht="76.5" hidden="1" customHeight="1">
      <c r="A294" s="50" t="s">
        <v>953</v>
      </c>
      <c r="B294" s="14">
        <v>793</v>
      </c>
      <c r="C294" s="15" t="s">
        <v>53</v>
      </c>
      <c r="D294" s="15" t="s">
        <v>120</v>
      </c>
      <c r="E294" s="15" t="s">
        <v>952</v>
      </c>
      <c r="F294" s="15"/>
      <c r="G294" s="70">
        <f t="shared" ref="G294:I295" si="79">G295</f>
        <v>0</v>
      </c>
      <c r="H294" s="70">
        <f t="shared" si="79"/>
        <v>0</v>
      </c>
      <c r="I294" s="70">
        <f t="shared" si="79"/>
        <v>0</v>
      </c>
      <c r="J294" s="173"/>
      <c r="K294" s="195"/>
      <c r="L294" s="195"/>
      <c r="M294" s="195"/>
      <c r="N294" s="195"/>
      <c r="O294" s="195"/>
      <c r="P294" s="195"/>
      <c r="Q294" s="195"/>
      <c r="R294" s="195"/>
    </row>
    <row r="295" spans="1:18" s="18" customFormat="1" ht="15" hidden="1" customHeight="1">
      <c r="A295" s="16" t="s">
        <v>316</v>
      </c>
      <c r="B295" s="14">
        <v>793</v>
      </c>
      <c r="C295" s="15" t="s">
        <v>53</v>
      </c>
      <c r="D295" s="15" t="s">
        <v>120</v>
      </c>
      <c r="E295" s="15" t="s">
        <v>952</v>
      </c>
      <c r="F295" s="15" t="s">
        <v>36</v>
      </c>
      <c r="G295" s="70">
        <f t="shared" si="79"/>
        <v>0</v>
      </c>
      <c r="H295" s="70">
        <f t="shared" si="79"/>
        <v>0</v>
      </c>
      <c r="I295" s="70">
        <f t="shared" si="79"/>
        <v>0</v>
      </c>
      <c r="J295" s="173"/>
      <c r="K295" s="195"/>
      <c r="L295" s="195"/>
      <c r="M295" s="195"/>
      <c r="N295" s="195"/>
      <c r="O295" s="195"/>
      <c r="P295" s="195"/>
      <c r="Q295" s="195"/>
      <c r="R295" s="195"/>
    </row>
    <row r="296" spans="1:18" s="18" customFormat="1" ht="32.25" hidden="1" customHeight="1">
      <c r="A296" s="16" t="s">
        <v>37</v>
      </c>
      <c r="B296" s="14">
        <v>793</v>
      </c>
      <c r="C296" s="15" t="s">
        <v>53</v>
      </c>
      <c r="D296" s="15" t="s">
        <v>120</v>
      </c>
      <c r="E296" s="15" t="s">
        <v>952</v>
      </c>
      <c r="F296" s="15" t="s">
        <v>38</v>
      </c>
      <c r="G296" s="70"/>
      <c r="H296" s="70"/>
      <c r="I296" s="70"/>
      <c r="J296" s="173"/>
      <c r="K296" s="195"/>
      <c r="L296" s="195"/>
      <c r="M296" s="195"/>
      <c r="N296" s="195"/>
      <c r="O296" s="195"/>
      <c r="P296" s="195"/>
      <c r="Q296" s="195"/>
      <c r="R296" s="195"/>
    </row>
    <row r="297" spans="1:18" s="296" customFormat="1" ht="54.75" hidden="1" customHeight="1">
      <c r="A297" s="82" t="s">
        <v>1042</v>
      </c>
      <c r="B297" s="145">
        <v>793</v>
      </c>
      <c r="C297" s="84" t="s">
        <v>53</v>
      </c>
      <c r="D297" s="84" t="s">
        <v>120</v>
      </c>
      <c r="E297" s="84" t="s">
        <v>1043</v>
      </c>
      <c r="F297" s="84"/>
      <c r="G297" s="87">
        <f>G298</f>
        <v>0</v>
      </c>
      <c r="H297" s="87"/>
      <c r="I297" s="87"/>
      <c r="J297" s="173"/>
      <c r="K297" s="195"/>
      <c r="L297" s="195"/>
      <c r="M297" s="195"/>
      <c r="N297" s="195"/>
      <c r="O297" s="195"/>
      <c r="P297" s="195"/>
      <c r="Q297" s="195"/>
      <c r="R297" s="195"/>
    </row>
    <row r="298" spans="1:18" s="296" customFormat="1" ht="27.75" hidden="1" customHeight="1">
      <c r="A298" s="82" t="s">
        <v>316</v>
      </c>
      <c r="B298" s="145">
        <v>793</v>
      </c>
      <c r="C298" s="84" t="s">
        <v>53</v>
      </c>
      <c r="D298" s="84" t="s">
        <v>120</v>
      </c>
      <c r="E298" s="84" t="s">
        <v>1043</v>
      </c>
      <c r="F298" s="84" t="s">
        <v>36</v>
      </c>
      <c r="G298" s="87">
        <f>G299</f>
        <v>0</v>
      </c>
      <c r="H298" s="87">
        <f>H299</f>
        <v>0</v>
      </c>
      <c r="I298" s="87">
        <f>I299</f>
        <v>0</v>
      </c>
      <c r="J298" s="173"/>
      <c r="K298" s="195"/>
      <c r="L298" s="195"/>
      <c r="M298" s="195"/>
      <c r="N298" s="195"/>
      <c r="O298" s="195"/>
      <c r="P298" s="195"/>
      <c r="Q298" s="195"/>
      <c r="R298" s="195"/>
    </row>
    <row r="299" spans="1:18" s="296" customFormat="1" ht="31.5" hidden="1" customHeight="1">
      <c r="A299" s="82" t="s">
        <v>37</v>
      </c>
      <c r="B299" s="145">
        <v>793</v>
      </c>
      <c r="C299" s="84" t="s">
        <v>53</v>
      </c>
      <c r="D299" s="84" t="s">
        <v>120</v>
      </c>
      <c r="E299" s="84" t="s">
        <v>1043</v>
      </c>
      <c r="F299" s="84" t="s">
        <v>38</v>
      </c>
      <c r="G299" s="87">
        <f>прил4!G1946</f>
        <v>0</v>
      </c>
      <c r="H299" s="87">
        <v>0</v>
      </c>
      <c r="I299" s="87">
        <v>0</v>
      </c>
      <c r="J299" s="173"/>
      <c r="K299" s="195"/>
      <c r="L299" s="195"/>
      <c r="M299" s="195"/>
      <c r="N299" s="195"/>
      <c r="O299" s="195"/>
      <c r="P299" s="195"/>
      <c r="Q299" s="195"/>
      <c r="R299" s="195"/>
    </row>
    <row r="300" spans="1:18" s="18" customFormat="1" ht="86.25" hidden="1" customHeight="1">
      <c r="A300" s="16" t="s">
        <v>863</v>
      </c>
      <c r="B300" s="14">
        <v>793</v>
      </c>
      <c r="C300" s="15" t="s">
        <v>53</v>
      </c>
      <c r="D300" s="15" t="s">
        <v>120</v>
      </c>
      <c r="E300" s="15" t="s">
        <v>102</v>
      </c>
      <c r="F300" s="15"/>
      <c r="G300" s="70">
        <f>G301</f>
        <v>0</v>
      </c>
      <c r="H300" s="70">
        <f t="shared" ref="H300:I300" si="80">H301</f>
        <v>0</v>
      </c>
      <c r="I300" s="70">
        <f t="shared" si="80"/>
        <v>0</v>
      </c>
      <c r="J300" s="172"/>
    </row>
    <row r="301" spans="1:18" s="18" customFormat="1" ht="122.25" hidden="1" customHeight="1">
      <c r="A301" s="80" t="s">
        <v>861</v>
      </c>
      <c r="B301" s="14">
        <v>793</v>
      </c>
      <c r="C301" s="15" t="s">
        <v>53</v>
      </c>
      <c r="D301" s="15" t="s">
        <v>120</v>
      </c>
      <c r="E301" s="15" t="s">
        <v>862</v>
      </c>
      <c r="F301" s="15"/>
      <c r="G301" s="70">
        <f>G302+G304</f>
        <v>0</v>
      </c>
      <c r="H301" s="70">
        <f t="shared" ref="H301:I301" si="81">H302+H304</f>
        <v>0</v>
      </c>
      <c r="I301" s="70">
        <f t="shared" si="81"/>
        <v>0</v>
      </c>
      <c r="J301" s="172"/>
    </row>
    <row r="302" spans="1:18" s="18" customFormat="1" ht="24.75" hidden="1" customHeight="1">
      <c r="A302" s="16" t="s">
        <v>316</v>
      </c>
      <c r="B302" s="49">
        <v>795</v>
      </c>
      <c r="C302" s="15" t="s">
        <v>53</v>
      </c>
      <c r="D302" s="15" t="s">
        <v>120</v>
      </c>
      <c r="E302" s="15" t="s">
        <v>862</v>
      </c>
      <c r="F302" s="15" t="s">
        <v>36</v>
      </c>
      <c r="G302" s="70">
        <f t="shared" ref="G302:I302" si="82">G303</f>
        <v>0</v>
      </c>
      <c r="H302" s="70">
        <f t="shared" si="82"/>
        <v>0</v>
      </c>
      <c r="I302" s="70">
        <f t="shared" si="82"/>
        <v>0</v>
      </c>
      <c r="J302" s="172"/>
    </row>
    <row r="303" spans="1:18" s="18" customFormat="1" ht="30.75" hidden="1" customHeight="1">
      <c r="A303" s="16" t="s">
        <v>37</v>
      </c>
      <c r="B303" s="49">
        <v>795</v>
      </c>
      <c r="C303" s="15" t="s">
        <v>53</v>
      </c>
      <c r="D303" s="15" t="s">
        <v>120</v>
      </c>
      <c r="E303" s="15" t="s">
        <v>862</v>
      </c>
      <c r="F303" s="15" t="s">
        <v>38</v>
      </c>
      <c r="G303" s="70">
        <f>прил4!G1954</f>
        <v>0</v>
      </c>
      <c r="H303" s="70">
        <f>прил4!H1954</f>
        <v>0</v>
      </c>
      <c r="I303" s="70">
        <f>прил4!I1954</f>
        <v>0</v>
      </c>
      <c r="J303" s="172"/>
    </row>
    <row r="304" spans="1:18" s="18" customFormat="1" ht="76.5" hidden="1" customHeight="1">
      <c r="A304" s="50"/>
      <c r="B304" s="14"/>
      <c r="C304" s="15"/>
      <c r="D304" s="15"/>
      <c r="E304" s="15"/>
      <c r="F304" s="15"/>
      <c r="G304" s="70"/>
      <c r="H304" s="70"/>
      <c r="I304" s="70"/>
      <c r="J304" s="172"/>
    </row>
    <row r="305" spans="1:18" s="18" customFormat="1" ht="15" hidden="1" customHeight="1">
      <c r="A305" s="16"/>
      <c r="B305" s="14"/>
      <c r="C305" s="15"/>
      <c r="D305" s="15"/>
      <c r="E305" s="15"/>
      <c r="F305" s="15"/>
      <c r="G305" s="70"/>
      <c r="H305" s="70"/>
      <c r="I305" s="70"/>
      <c r="J305" s="172"/>
    </row>
    <row r="306" spans="1:18" s="18" customFormat="1" ht="32.25" hidden="1" customHeight="1">
      <c r="A306" s="16"/>
      <c r="B306" s="14"/>
      <c r="C306" s="15"/>
      <c r="D306" s="15"/>
      <c r="E306" s="15"/>
      <c r="F306" s="15"/>
      <c r="G306" s="70"/>
      <c r="H306" s="70"/>
      <c r="I306" s="70"/>
      <c r="J306" s="172"/>
    </row>
    <row r="307" spans="1:18" s="18" customFormat="1" ht="106.5" hidden="1" customHeight="1">
      <c r="A307" s="16" t="s">
        <v>932</v>
      </c>
      <c r="B307" s="14">
        <v>793</v>
      </c>
      <c r="C307" s="15" t="s">
        <v>53</v>
      </c>
      <c r="D307" s="15" t="s">
        <v>120</v>
      </c>
      <c r="E307" s="15" t="s">
        <v>933</v>
      </c>
      <c r="F307" s="15"/>
      <c r="G307" s="70">
        <f>G308</f>
        <v>0</v>
      </c>
      <c r="H307" s="70">
        <f>H308</f>
        <v>0</v>
      </c>
      <c r="I307" s="70">
        <f>I308</f>
        <v>0</v>
      </c>
      <c r="J307" s="173"/>
      <c r="K307" s="195"/>
      <c r="L307" s="195"/>
      <c r="M307" s="195"/>
      <c r="N307" s="195"/>
      <c r="O307" s="195"/>
      <c r="P307" s="195"/>
      <c r="Q307" s="195"/>
      <c r="R307" s="195"/>
    </row>
    <row r="308" spans="1:18" s="18" customFormat="1" ht="106.5" hidden="1" customHeight="1">
      <c r="A308" s="16" t="s">
        <v>916</v>
      </c>
      <c r="B308" s="14">
        <v>793</v>
      </c>
      <c r="C308" s="15" t="s">
        <v>53</v>
      </c>
      <c r="D308" s="15" t="s">
        <v>120</v>
      </c>
      <c r="E308" s="15" t="s">
        <v>931</v>
      </c>
      <c r="F308" s="15"/>
      <c r="G308" s="70">
        <f>G311+G309</f>
        <v>0</v>
      </c>
      <c r="H308" s="70">
        <f t="shared" ref="H308:I308" si="83">H311</f>
        <v>0</v>
      </c>
      <c r="I308" s="70">
        <f t="shared" si="83"/>
        <v>0</v>
      </c>
      <c r="J308" s="173"/>
      <c r="K308" s="195"/>
      <c r="L308" s="195"/>
      <c r="M308" s="195"/>
      <c r="N308" s="195"/>
      <c r="O308" s="195"/>
      <c r="P308" s="195"/>
      <c r="Q308" s="195"/>
      <c r="R308" s="195"/>
    </row>
    <row r="309" spans="1:18" s="18" customFormat="1" ht="27.75" hidden="1" customHeight="1">
      <c r="A309" s="82" t="s">
        <v>316</v>
      </c>
      <c r="B309" s="145">
        <v>793</v>
      </c>
      <c r="C309" s="84" t="s">
        <v>53</v>
      </c>
      <c r="D309" s="84" t="s">
        <v>120</v>
      </c>
      <c r="E309" s="84" t="s">
        <v>931</v>
      </c>
      <c r="F309" s="84" t="s">
        <v>36</v>
      </c>
      <c r="G309" s="87">
        <f>G310</f>
        <v>0</v>
      </c>
      <c r="H309" s="87">
        <f t="shared" ref="H309:I309" si="84">H310</f>
        <v>0</v>
      </c>
      <c r="I309" s="87">
        <f t="shared" si="84"/>
        <v>0</v>
      </c>
      <c r="J309" s="173"/>
      <c r="K309" s="195"/>
      <c r="L309" s="195"/>
      <c r="M309" s="195"/>
      <c r="N309" s="195"/>
      <c r="O309" s="195"/>
      <c r="P309" s="195"/>
      <c r="Q309" s="195"/>
      <c r="R309" s="195"/>
    </row>
    <row r="310" spans="1:18" s="18" customFormat="1" ht="31.5" hidden="1" customHeight="1">
      <c r="A310" s="82" t="s">
        <v>37</v>
      </c>
      <c r="B310" s="145">
        <v>793</v>
      </c>
      <c r="C310" s="84" t="s">
        <v>53</v>
      </c>
      <c r="D310" s="84" t="s">
        <v>120</v>
      </c>
      <c r="E310" s="84" t="s">
        <v>931</v>
      </c>
      <c r="F310" s="84" t="s">
        <v>38</v>
      </c>
      <c r="G310" s="87"/>
      <c r="H310" s="87">
        <v>0</v>
      </c>
      <c r="I310" s="87">
        <v>0</v>
      </c>
      <c r="J310" s="173"/>
      <c r="K310" s="195"/>
      <c r="L310" s="195"/>
      <c r="M310" s="195"/>
      <c r="N310" s="195"/>
      <c r="O310" s="195"/>
      <c r="P310" s="195"/>
      <c r="Q310" s="195"/>
      <c r="R310" s="195"/>
    </row>
    <row r="311" spans="1:18" s="18" customFormat="1" ht="27.75" hidden="1" customHeight="1">
      <c r="A311" s="16" t="s">
        <v>94</v>
      </c>
      <c r="B311" s="14">
        <v>793</v>
      </c>
      <c r="C311" s="15" t="s">
        <v>53</v>
      </c>
      <c r="D311" s="15" t="s">
        <v>120</v>
      </c>
      <c r="E311" s="15" t="s">
        <v>931</v>
      </c>
      <c r="F311" s="15" t="s">
        <v>338</v>
      </c>
      <c r="G311" s="70">
        <f>G312</f>
        <v>0</v>
      </c>
      <c r="H311" s="70">
        <f t="shared" ref="H311:I311" si="85">H312</f>
        <v>0</v>
      </c>
      <c r="I311" s="70">
        <f t="shared" si="85"/>
        <v>0</v>
      </c>
      <c r="J311" s="173"/>
      <c r="K311" s="195"/>
      <c r="L311" s="195"/>
      <c r="M311" s="195"/>
      <c r="N311" s="195"/>
      <c r="O311" s="195"/>
      <c r="P311" s="195"/>
      <c r="Q311" s="195"/>
      <c r="R311" s="195"/>
    </row>
    <row r="312" spans="1:18" s="18" customFormat="1" ht="15" hidden="1" customHeight="1">
      <c r="A312" s="16" t="s">
        <v>339</v>
      </c>
      <c r="B312" s="14">
        <v>793</v>
      </c>
      <c r="C312" s="15" t="s">
        <v>53</v>
      </c>
      <c r="D312" s="15" t="s">
        <v>120</v>
      </c>
      <c r="E312" s="15" t="s">
        <v>931</v>
      </c>
      <c r="F312" s="15" t="s">
        <v>340</v>
      </c>
      <c r="G312" s="70">
        <f>прил4!G1950</f>
        <v>0</v>
      </c>
      <c r="H312" s="70">
        <v>0</v>
      </c>
      <c r="I312" s="70">
        <v>0</v>
      </c>
      <c r="J312" s="173"/>
      <c r="K312" s="195"/>
      <c r="L312" s="195"/>
      <c r="M312" s="195"/>
      <c r="N312" s="195"/>
      <c r="O312" s="195"/>
      <c r="P312" s="195"/>
      <c r="Q312" s="195"/>
      <c r="R312" s="195"/>
    </row>
    <row r="313" spans="1:18" s="18" customFormat="1" ht="51.75" customHeight="1">
      <c r="A313" s="16" t="s">
        <v>1091</v>
      </c>
      <c r="B313" s="14">
        <v>793</v>
      </c>
      <c r="C313" s="15" t="s">
        <v>53</v>
      </c>
      <c r="D313" s="15" t="s">
        <v>120</v>
      </c>
      <c r="E313" s="15" t="s">
        <v>1176</v>
      </c>
      <c r="F313" s="15"/>
      <c r="G313" s="70">
        <f t="shared" ref="G313:I314" si="86">G314</f>
        <v>0</v>
      </c>
      <c r="H313" s="70">
        <f t="shared" si="86"/>
        <v>7000000</v>
      </c>
      <c r="I313" s="70">
        <f t="shared" si="86"/>
        <v>0</v>
      </c>
      <c r="J313" s="172"/>
      <c r="K313" s="180"/>
      <c r="L313" s="180"/>
      <c r="M313" s="180"/>
      <c r="N313" s="180"/>
      <c r="O313" s="180"/>
      <c r="P313" s="180"/>
      <c r="Q313" s="180"/>
      <c r="R313" s="180"/>
    </row>
    <row r="314" spans="1:18" s="18" customFormat="1" ht="15" customHeight="1">
      <c r="A314" s="16" t="s">
        <v>316</v>
      </c>
      <c r="B314" s="14">
        <v>793</v>
      </c>
      <c r="C314" s="15" t="s">
        <v>53</v>
      </c>
      <c r="D314" s="15" t="s">
        <v>120</v>
      </c>
      <c r="E314" s="15" t="s">
        <v>1176</v>
      </c>
      <c r="F314" s="15" t="s">
        <v>36</v>
      </c>
      <c r="G314" s="70">
        <f t="shared" si="86"/>
        <v>0</v>
      </c>
      <c r="H314" s="70">
        <f t="shared" si="86"/>
        <v>7000000</v>
      </c>
      <c r="I314" s="70">
        <f t="shared" si="86"/>
        <v>0</v>
      </c>
      <c r="J314" s="172"/>
      <c r="K314" s="180"/>
      <c r="L314" s="180"/>
      <c r="M314" s="180"/>
      <c r="N314" s="180"/>
      <c r="O314" s="180"/>
      <c r="P314" s="180"/>
      <c r="Q314" s="180"/>
      <c r="R314" s="180"/>
    </row>
    <row r="315" spans="1:18" s="18" customFormat="1" ht="32.25" customHeight="1">
      <c r="A315" s="16" t="s">
        <v>37</v>
      </c>
      <c r="B315" s="14">
        <v>793</v>
      </c>
      <c r="C315" s="15" t="s">
        <v>53</v>
      </c>
      <c r="D315" s="15" t="s">
        <v>120</v>
      </c>
      <c r="E315" s="15" t="s">
        <v>1176</v>
      </c>
      <c r="F315" s="15" t="s">
        <v>38</v>
      </c>
      <c r="G315" s="70">
        <v>0</v>
      </c>
      <c r="H315" s="70">
        <v>7000000</v>
      </c>
      <c r="I315" s="70">
        <v>0</v>
      </c>
      <c r="J315" s="172"/>
      <c r="K315" s="180"/>
      <c r="L315" s="180"/>
      <c r="M315" s="180"/>
      <c r="N315" s="180"/>
      <c r="O315" s="180"/>
      <c r="P315" s="180"/>
      <c r="Q315" s="180"/>
      <c r="R315" s="180"/>
    </row>
    <row r="316" spans="1:18" s="18" customFormat="1" ht="86.25" customHeight="1">
      <c r="A316" s="16" t="s">
        <v>963</v>
      </c>
      <c r="B316" s="14">
        <v>793</v>
      </c>
      <c r="C316" s="15" t="s">
        <v>53</v>
      </c>
      <c r="D316" s="15" t="s">
        <v>120</v>
      </c>
      <c r="E316" s="15" t="s">
        <v>102</v>
      </c>
      <c r="F316" s="15"/>
      <c r="G316" s="70">
        <f>G317</f>
        <v>2440800</v>
      </c>
      <c r="H316" s="70">
        <f t="shared" ref="H316:I316" si="87">H317+H320</f>
        <v>0</v>
      </c>
      <c r="I316" s="70">
        <f t="shared" si="87"/>
        <v>0</v>
      </c>
      <c r="J316" s="172"/>
      <c r="K316" s="180"/>
      <c r="L316" s="180"/>
      <c r="M316" s="180"/>
      <c r="N316" s="180"/>
      <c r="O316" s="180"/>
      <c r="P316" s="180"/>
      <c r="Q316" s="180"/>
      <c r="R316" s="180"/>
    </row>
    <row r="317" spans="1:18" s="18" customFormat="1" ht="76.5" customHeight="1">
      <c r="A317" s="16" t="s">
        <v>963</v>
      </c>
      <c r="B317" s="14">
        <v>793</v>
      </c>
      <c r="C317" s="15" t="s">
        <v>53</v>
      </c>
      <c r="D317" s="15" t="s">
        <v>120</v>
      </c>
      <c r="E317" s="15" t="s">
        <v>1252</v>
      </c>
      <c r="F317" s="15"/>
      <c r="G317" s="70">
        <f t="shared" ref="G317:I318" si="88">G318</f>
        <v>2440800</v>
      </c>
      <c r="H317" s="70">
        <f t="shared" si="88"/>
        <v>0</v>
      </c>
      <c r="I317" s="70">
        <f t="shared" si="88"/>
        <v>0</v>
      </c>
      <c r="J317" s="172"/>
      <c r="K317" s="180"/>
      <c r="L317" s="180"/>
      <c r="M317" s="180"/>
      <c r="N317" s="180"/>
      <c r="O317" s="180"/>
      <c r="P317" s="180"/>
      <c r="Q317" s="180"/>
      <c r="R317" s="180"/>
    </row>
    <row r="318" spans="1:18" s="18" customFormat="1" ht="15" customHeight="1">
      <c r="A318" s="16" t="s">
        <v>316</v>
      </c>
      <c r="B318" s="14">
        <v>793</v>
      </c>
      <c r="C318" s="15" t="s">
        <v>53</v>
      </c>
      <c r="D318" s="15" t="s">
        <v>120</v>
      </c>
      <c r="E318" s="15" t="s">
        <v>1252</v>
      </c>
      <c r="F318" s="15" t="s">
        <v>36</v>
      </c>
      <c r="G318" s="70">
        <f t="shared" si="88"/>
        <v>2440800</v>
      </c>
      <c r="H318" s="70">
        <f t="shared" si="88"/>
        <v>0</v>
      </c>
      <c r="I318" s="70">
        <f t="shared" si="88"/>
        <v>0</v>
      </c>
      <c r="J318" s="172"/>
      <c r="K318" s="180"/>
      <c r="L318" s="180"/>
      <c r="M318" s="180"/>
      <c r="N318" s="180"/>
      <c r="O318" s="180"/>
      <c r="P318" s="180"/>
      <c r="Q318" s="180"/>
      <c r="R318" s="180"/>
    </row>
    <row r="319" spans="1:18" s="18" customFormat="1" ht="32.25" customHeight="1">
      <c r="A319" s="16" t="s">
        <v>37</v>
      </c>
      <c r="B319" s="14">
        <v>793</v>
      </c>
      <c r="C319" s="15" t="s">
        <v>53</v>
      </c>
      <c r="D319" s="15" t="s">
        <v>120</v>
      </c>
      <c r="E319" s="15" t="s">
        <v>1252</v>
      </c>
      <c r="F319" s="15" t="s">
        <v>38</v>
      </c>
      <c r="G319" s="70">
        <f>прил4!G1972</f>
        <v>2440800</v>
      </c>
      <c r="H319" s="70">
        <v>0</v>
      </c>
      <c r="I319" s="70">
        <v>0</v>
      </c>
      <c r="J319" s="172"/>
      <c r="K319" s="180"/>
      <c r="L319" s="180"/>
      <c r="M319" s="180"/>
      <c r="N319" s="180"/>
      <c r="O319" s="180"/>
      <c r="P319" s="180"/>
      <c r="Q319" s="180"/>
      <c r="R319" s="180"/>
    </row>
    <row r="320" spans="1:18" s="18" customFormat="1" ht="86.25" customHeight="1">
      <c r="A320" s="16" t="s">
        <v>1248</v>
      </c>
      <c r="B320" s="14">
        <v>793</v>
      </c>
      <c r="C320" s="15" t="s">
        <v>53</v>
      </c>
      <c r="D320" s="15" t="s">
        <v>120</v>
      </c>
      <c r="E320" s="15" t="s">
        <v>933</v>
      </c>
      <c r="F320" s="15"/>
      <c r="G320" s="70">
        <f>G321+G324</f>
        <v>2472500</v>
      </c>
      <c r="H320" s="70">
        <f t="shared" ref="H320:I320" si="89">H321+H324</f>
        <v>0</v>
      </c>
      <c r="I320" s="70">
        <f t="shared" si="89"/>
        <v>0</v>
      </c>
      <c r="J320" s="172"/>
      <c r="K320" s="180"/>
      <c r="L320" s="180"/>
      <c r="M320" s="180"/>
      <c r="N320" s="180"/>
      <c r="O320" s="180"/>
      <c r="P320" s="180"/>
      <c r="Q320" s="180"/>
      <c r="R320" s="180"/>
    </row>
    <row r="321" spans="1:20" s="18" customFormat="1" ht="76.5" customHeight="1">
      <c r="A321" s="16" t="s">
        <v>1042</v>
      </c>
      <c r="B321" s="14">
        <v>793</v>
      </c>
      <c r="C321" s="15" t="s">
        <v>53</v>
      </c>
      <c r="D321" s="15" t="s">
        <v>120</v>
      </c>
      <c r="E321" s="15" t="s">
        <v>1250</v>
      </c>
      <c r="F321" s="15"/>
      <c r="G321" s="70">
        <f t="shared" ref="G321:I325" si="90">G322</f>
        <v>2412500</v>
      </c>
      <c r="H321" s="70">
        <f t="shared" si="90"/>
        <v>0</v>
      </c>
      <c r="I321" s="70">
        <f t="shared" si="90"/>
        <v>0</v>
      </c>
      <c r="J321" s="172"/>
      <c r="K321" s="180"/>
      <c r="L321" s="180"/>
      <c r="M321" s="180"/>
      <c r="N321" s="180"/>
      <c r="O321" s="180"/>
      <c r="P321" s="180"/>
      <c r="Q321" s="180"/>
      <c r="R321" s="180"/>
    </row>
    <row r="322" spans="1:20" s="18" customFormat="1" ht="15" customHeight="1">
      <c r="A322" s="16" t="s">
        <v>316</v>
      </c>
      <c r="B322" s="14">
        <v>793</v>
      </c>
      <c r="C322" s="15" t="s">
        <v>53</v>
      </c>
      <c r="D322" s="15" t="s">
        <v>120</v>
      </c>
      <c r="E322" s="15" t="s">
        <v>1250</v>
      </c>
      <c r="F322" s="15" t="s">
        <v>36</v>
      </c>
      <c r="G322" s="70">
        <f t="shared" si="90"/>
        <v>2412500</v>
      </c>
      <c r="H322" s="70">
        <f t="shared" si="90"/>
        <v>0</v>
      </c>
      <c r="I322" s="70">
        <f t="shared" si="90"/>
        <v>0</v>
      </c>
      <c r="J322" s="172"/>
      <c r="K322" s="180"/>
      <c r="L322" s="180"/>
      <c r="M322" s="180"/>
      <c r="N322" s="180"/>
      <c r="O322" s="180"/>
      <c r="P322" s="180"/>
      <c r="Q322" s="180"/>
      <c r="R322" s="180"/>
    </row>
    <row r="323" spans="1:20" s="18" customFormat="1" ht="32.25" customHeight="1">
      <c r="A323" s="16" t="s">
        <v>37</v>
      </c>
      <c r="B323" s="14">
        <v>793</v>
      </c>
      <c r="C323" s="15" t="s">
        <v>53</v>
      </c>
      <c r="D323" s="15" t="s">
        <v>120</v>
      </c>
      <c r="E323" s="15" t="s">
        <v>1250</v>
      </c>
      <c r="F323" s="15" t="s">
        <v>38</v>
      </c>
      <c r="G323" s="70">
        <v>2412500</v>
      </c>
      <c r="H323" s="70"/>
      <c r="I323" s="70"/>
      <c r="J323" s="172"/>
      <c r="K323" s="180"/>
      <c r="L323" s="180"/>
      <c r="M323" s="180"/>
      <c r="N323" s="180"/>
      <c r="O323" s="180"/>
      <c r="P323" s="180"/>
      <c r="Q323" s="180"/>
      <c r="R323" s="180"/>
    </row>
    <row r="324" spans="1:20" s="18" customFormat="1" ht="76.5" customHeight="1">
      <c r="A324" s="16" t="s">
        <v>1249</v>
      </c>
      <c r="B324" s="14">
        <v>793</v>
      </c>
      <c r="C324" s="15" t="s">
        <v>53</v>
      </c>
      <c r="D324" s="15" t="s">
        <v>120</v>
      </c>
      <c r="E324" s="15" t="s">
        <v>1251</v>
      </c>
      <c r="F324" s="15"/>
      <c r="G324" s="70">
        <f t="shared" si="90"/>
        <v>60000</v>
      </c>
      <c r="H324" s="70">
        <f t="shared" si="90"/>
        <v>0</v>
      </c>
      <c r="I324" s="70">
        <f t="shared" si="90"/>
        <v>0</v>
      </c>
      <c r="J324" s="172"/>
      <c r="K324" s="180"/>
      <c r="L324" s="180"/>
      <c r="M324" s="180"/>
      <c r="N324" s="180"/>
      <c r="O324" s="180"/>
      <c r="P324" s="180"/>
      <c r="Q324" s="180"/>
      <c r="R324" s="180"/>
    </row>
    <row r="325" spans="1:20" s="18" customFormat="1" ht="15" customHeight="1">
      <c r="A325" s="16" t="s">
        <v>316</v>
      </c>
      <c r="B325" s="14">
        <v>793</v>
      </c>
      <c r="C325" s="15" t="s">
        <v>53</v>
      </c>
      <c r="D325" s="15" t="s">
        <v>120</v>
      </c>
      <c r="E325" s="15" t="s">
        <v>1251</v>
      </c>
      <c r="F325" s="15" t="s">
        <v>36</v>
      </c>
      <c r="G325" s="70">
        <f t="shared" si="90"/>
        <v>60000</v>
      </c>
      <c r="H325" s="70">
        <f t="shared" si="90"/>
        <v>0</v>
      </c>
      <c r="I325" s="70">
        <f t="shared" si="90"/>
        <v>0</v>
      </c>
      <c r="J325" s="172"/>
      <c r="K325" s="180"/>
      <c r="L325" s="180"/>
      <c r="M325" s="180"/>
      <c r="N325" s="180"/>
      <c r="O325" s="180"/>
      <c r="P325" s="180"/>
      <c r="Q325" s="180"/>
      <c r="R325" s="180"/>
    </row>
    <row r="326" spans="1:20" s="18" customFormat="1" ht="32.25" customHeight="1">
      <c r="A326" s="16" t="s">
        <v>37</v>
      </c>
      <c r="B326" s="14">
        <v>793</v>
      </c>
      <c r="C326" s="15" t="s">
        <v>53</v>
      </c>
      <c r="D326" s="15" t="s">
        <v>120</v>
      </c>
      <c r="E326" s="15" t="s">
        <v>1251</v>
      </c>
      <c r="F326" s="15" t="s">
        <v>38</v>
      </c>
      <c r="G326" s="70">
        <f>прил4!G1979</f>
        <v>60000</v>
      </c>
      <c r="H326" s="70">
        <v>0</v>
      </c>
      <c r="I326" s="70">
        <v>0</v>
      </c>
      <c r="J326" s="172"/>
      <c r="K326" s="180"/>
      <c r="L326" s="180"/>
      <c r="M326" s="180"/>
      <c r="N326" s="180"/>
      <c r="O326" s="180"/>
      <c r="P326" s="180"/>
      <c r="Q326" s="180"/>
      <c r="R326" s="180"/>
    </row>
    <row r="327" spans="1:20" s="46" customFormat="1" ht="18" hidden="1" customHeight="1">
      <c r="A327" s="16"/>
      <c r="B327" s="14"/>
      <c r="C327" s="15"/>
      <c r="D327" s="15"/>
      <c r="E327" s="15"/>
      <c r="F327" s="15"/>
      <c r="G327" s="87"/>
      <c r="H327" s="87"/>
      <c r="I327" s="87"/>
      <c r="J327" s="110"/>
      <c r="P327" s="110"/>
      <c r="Q327" s="110"/>
      <c r="R327" s="110"/>
      <c r="S327" s="110"/>
      <c r="T327" s="110"/>
    </row>
    <row r="328" spans="1:20" s="46" customFormat="1" ht="44.25" customHeight="1">
      <c r="A328" s="16" t="s">
        <v>330</v>
      </c>
      <c r="B328" s="14">
        <v>793</v>
      </c>
      <c r="C328" s="15" t="s">
        <v>53</v>
      </c>
      <c r="D328" s="15" t="s">
        <v>43</v>
      </c>
      <c r="E328" s="15" t="s">
        <v>1253</v>
      </c>
      <c r="F328" s="15"/>
      <c r="G328" s="87">
        <f t="shared" ref="G328:I329" si="91">G329</f>
        <v>0</v>
      </c>
      <c r="H328" s="87">
        <f t="shared" si="91"/>
        <v>3300000</v>
      </c>
      <c r="I328" s="87">
        <f t="shared" si="91"/>
        <v>2200000</v>
      </c>
      <c r="J328" s="110">
        <v>10491350</v>
      </c>
      <c r="P328" s="110"/>
      <c r="Q328" s="110"/>
      <c r="R328" s="110"/>
      <c r="S328" s="110"/>
      <c r="T328" s="110"/>
    </row>
    <row r="329" spans="1:20" s="46" customFormat="1" ht="15.75" customHeight="1">
      <c r="A329" s="16" t="s">
        <v>316</v>
      </c>
      <c r="B329" s="14">
        <v>793</v>
      </c>
      <c r="C329" s="15" t="s">
        <v>53</v>
      </c>
      <c r="D329" s="15" t="s">
        <v>43</v>
      </c>
      <c r="E329" s="15" t="s">
        <v>1253</v>
      </c>
      <c r="F329" s="15" t="s">
        <v>36</v>
      </c>
      <c r="G329" s="87">
        <f t="shared" si="91"/>
        <v>0</v>
      </c>
      <c r="H329" s="87">
        <f t="shared" si="91"/>
        <v>3300000</v>
      </c>
      <c r="I329" s="87">
        <f t="shared" si="91"/>
        <v>2200000</v>
      </c>
      <c r="J329" s="110">
        <v>15028150</v>
      </c>
      <c r="P329" s="110"/>
      <c r="Q329" s="110"/>
      <c r="R329" s="110"/>
      <c r="S329" s="110"/>
      <c r="T329" s="110"/>
    </row>
    <row r="330" spans="1:20" s="46" customFormat="1" ht="44.25" customHeight="1">
      <c r="A330" s="16" t="s">
        <v>37</v>
      </c>
      <c r="B330" s="14">
        <v>793</v>
      </c>
      <c r="C330" s="15" t="s">
        <v>53</v>
      </c>
      <c r="D330" s="15" t="s">
        <v>43</v>
      </c>
      <c r="E330" s="15" t="s">
        <v>1253</v>
      </c>
      <c r="F330" s="15" t="s">
        <v>38</v>
      </c>
      <c r="G330" s="70">
        <f>прил4!G1913</f>
        <v>0</v>
      </c>
      <c r="H330" s="70">
        <f>прил4!H1913</f>
        <v>3300000</v>
      </c>
      <c r="I330" s="70">
        <f>прил4!I1913</f>
        <v>2200000</v>
      </c>
      <c r="J330" s="110">
        <v>5548000</v>
      </c>
      <c r="P330" s="110"/>
      <c r="Q330" s="110"/>
      <c r="R330" s="110"/>
      <c r="S330" s="110"/>
      <c r="T330" s="110"/>
    </row>
    <row r="331" spans="1:20" s="46" customFormat="1" ht="75" hidden="1" customHeight="1">
      <c r="A331" s="82" t="s">
        <v>673</v>
      </c>
      <c r="B331" s="14">
        <v>793</v>
      </c>
      <c r="C331" s="15" t="s">
        <v>53</v>
      </c>
      <c r="D331" s="15" t="s">
        <v>43</v>
      </c>
      <c r="E331" s="15" t="s">
        <v>672</v>
      </c>
      <c r="F331" s="15"/>
      <c r="G331" s="70">
        <f t="shared" ref="G331:I332" si="92">G332</f>
        <v>0</v>
      </c>
      <c r="H331" s="70">
        <f t="shared" si="92"/>
        <v>0</v>
      </c>
      <c r="I331" s="70">
        <f t="shared" si="92"/>
        <v>0</v>
      </c>
      <c r="P331" s="110"/>
      <c r="Q331" s="110"/>
      <c r="R331" s="110"/>
      <c r="S331" s="110"/>
      <c r="T331" s="110"/>
    </row>
    <row r="332" spans="1:20" s="46" customFormat="1" ht="27.75" hidden="1" customHeight="1">
      <c r="A332" s="82" t="s">
        <v>439</v>
      </c>
      <c r="B332" s="14">
        <v>793</v>
      </c>
      <c r="C332" s="15" t="s">
        <v>53</v>
      </c>
      <c r="D332" s="15" t="s">
        <v>43</v>
      </c>
      <c r="E332" s="15" t="s">
        <v>672</v>
      </c>
      <c r="F332" s="15" t="s">
        <v>63</v>
      </c>
      <c r="G332" s="70">
        <f t="shared" si="92"/>
        <v>0</v>
      </c>
      <c r="H332" s="70">
        <f t="shared" si="92"/>
        <v>0</v>
      </c>
      <c r="I332" s="70">
        <f t="shared" si="92"/>
        <v>0</v>
      </c>
      <c r="P332" s="110"/>
      <c r="Q332" s="110"/>
      <c r="R332" s="110"/>
      <c r="S332" s="110"/>
      <c r="T332" s="110"/>
    </row>
    <row r="333" spans="1:20" s="46" customFormat="1" ht="31.5" hidden="1" customHeight="1">
      <c r="A333" s="82" t="s">
        <v>37</v>
      </c>
      <c r="B333" s="14">
        <v>793</v>
      </c>
      <c r="C333" s="15" t="s">
        <v>53</v>
      </c>
      <c r="D333" s="15" t="s">
        <v>43</v>
      </c>
      <c r="E333" s="15" t="s">
        <v>672</v>
      </c>
      <c r="F333" s="15" t="s">
        <v>333</v>
      </c>
      <c r="G333" s="70"/>
      <c r="H333" s="70">
        <v>0</v>
      </c>
      <c r="I333" s="70">
        <v>0</v>
      </c>
      <c r="P333" s="110"/>
      <c r="Q333" s="110"/>
      <c r="R333" s="110"/>
      <c r="S333" s="110"/>
      <c r="T333" s="110"/>
    </row>
    <row r="334" spans="1:20" s="46" customFormat="1" ht="75" hidden="1" customHeight="1">
      <c r="A334" s="82" t="s">
        <v>746</v>
      </c>
      <c r="B334" s="14">
        <v>793</v>
      </c>
      <c r="C334" s="15" t="s">
        <v>53</v>
      </c>
      <c r="D334" s="15" t="s">
        <v>43</v>
      </c>
      <c r="E334" s="15" t="s">
        <v>745</v>
      </c>
      <c r="F334" s="15"/>
      <c r="G334" s="70">
        <f t="shared" ref="G334:I335" si="93">G335</f>
        <v>0</v>
      </c>
      <c r="H334" s="70">
        <f t="shared" si="93"/>
        <v>0</v>
      </c>
      <c r="I334" s="70">
        <f t="shared" si="93"/>
        <v>0</v>
      </c>
      <c r="P334" s="110"/>
      <c r="Q334" s="110"/>
      <c r="R334" s="110"/>
      <c r="S334" s="110"/>
      <c r="T334" s="110"/>
    </row>
    <row r="335" spans="1:20" s="46" customFormat="1" ht="27.75" hidden="1" customHeight="1">
      <c r="A335" s="82" t="s">
        <v>439</v>
      </c>
      <c r="B335" s="14">
        <v>793</v>
      </c>
      <c r="C335" s="15" t="s">
        <v>53</v>
      </c>
      <c r="D335" s="15" t="s">
        <v>43</v>
      </c>
      <c r="E335" s="15" t="s">
        <v>745</v>
      </c>
      <c r="F335" s="15" t="s">
        <v>36</v>
      </c>
      <c r="G335" s="70">
        <f t="shared" si="93"/>
        <v>0</v>
      </c>
      <c r="H335" s="70">
        <f t="shared" si="93"/>
        <v>0</v>
      </c>
      <c r="I335" s="70">
        <f t="shared" si="93"/>
        <v>0</v>
      </c>
      <c r="P335" s="110"/>
      <c r="Q335" s="110"/>
      <c r="R335" s="110"/>
      <c r="S335" s="110"/>
      <c r="T335" s="110"/>
    </row>
    <row r="336" spans="1:20" s="46" customFormat="1" ht="31.5" hidden="1" customHeight="1">
      <c r="A336" s="82" t="s">
        <v>37</v>
      </c>
      <c r="B336" s="14">
        <v>793</v>
      </c>
      <c r="C336" s="15" t="s">
        <v>53</v>
      </c>
      <c r="D336" s="15" t="s">
        <v>43</v>
      </c>
      <c r="E336" s="15" t="s">
        <v>745</v>
      </c>
      <c r="F336" s="15" t="s">
        <v>38</v>
      </c>
      <c r="G336" s="70"/>
      <c r="H336" s="70">
        <v>0</v>
      </c>
      <c r="I336" s="70">
        <v>0</v>
      </c>
      <c r="P336" s="110"/>
      <c r="Q336" s="110"/>
      <c r="R336" s="110"/>
      <c r="S336" s="110"/>
      <c r="T336" s="110"/>
    </row>
    <row r="337" spans="1:20" s="3" customFormat="1" ht="20.25" hidden="1" customHeight="1">
      <c r="A337" s="77" t="s">
        <v>166</v>
      </c>
      <c r="B337" s="49">
        <v>795</v>
      </c>
      <c r="C337" s="15" t="s">
        <v>53</v>
      </c>
      <c r="D337" s="15" t="s">
        <v>120</v>
      </c>
      <c r="E337" s="15"/>
      <c r="F337" s="15"/>
      <c r="G337" s="126">
        <f>G283-G327</f>
        <v>83646596.230000004</v>
      </c>
      <c r="H337" s="126">
        <f>H283-H327</f>
        <v>60610873</v>
      </c>
      <c r="I337" s="126">
        <f>I283-I327</f>
        <v>61365340</v>
      </c>
      <c r="J337" s="111">
        <f>SUM(J283:J330)</f>
        <v>32567500</v>
      </c>
      <c r="P337" s="111"/>
      <c r="Q337" s="111"/>
      <c r="R337" s="111"/>
      <c r="S337" s="111"/>
      <c r="T337" s="111"/>
    </row>
    <row r="338" spans="1:20" s="18" customFormat="1" ht="27" hidden="1" customHeight="1">
      <c r="A338" s="16" t="s">
        <v>462</v>
      </c>
      <c r="B338" s="49">
        <v>795</v>
      </c>
      <c r="C338" s="15" t="s">
        <v>53</v>
      </c>
      <c r="D338" s="15" t="s">
        <v>120</v>
      </c>
      <c r="E338" s="15" t="s">
        <v>229</v>
      </c>
      <c r="F338" s="15"/>
      <c r="G338" s="87" t="e">
        <f>G345+G375+#REF!+#REF!+#REF!+#REF!+#REF!+G339+#REF!+#REF!+#REF!</f>
        <v>#REF!</v>
      </c>
      <c r="H338" s="87" t="e">
        <f>H345+H375+#REF!+#REF!+#REF!+#REF!+#REF!+H339+#REF!+#REF!</f>
        <v>#REF!</v>
      </c>
      <c r="I338" s="87" t="e">
        <f>I345+I375+#REF!+#REF!+#REF!+#REF!+#REF!+I339+#REF!+#REF!</f>
        <v>#REF!</v>
      </c>
      <c r="J338" s="17"/>
      <c r="P338" s="17"/>
      <c r="Q338" s="17"/>
      <c r="R338" s="17"/>
      <c r="S338" s="17"/>
      <c r="T338" s="17"/>
    </row>
    <row r="339" spans="1:20" s="18" customFormat="1" ht="39.75" hidden="1" customHeight="1">
      <c r="A339" s="16" t="s">
        <v>386</v>
      </c>
      <c r="B339" s="49">
        <v>795</v>
      </c>
      <c r="C339" s="15" t="s">
        <v>53</v>
      </c>
      <c r="D339" s="15" t="s">
        <v>120</v>
      </c>
      <c r="E339" s="15" t="s">
        <v>385</v>
      </c>
      <c r="F339" s="15"/>
      <c r="G339" s="87">
        <f t="shared" ref="G339:I340" si="94">G340</f>
        <v>0</v>
      </c>
      <c r="H339" s="87">
        <f t="shared" si="94"/>
        <v>0</v>
      </c>
      <c r="I339" s="87">
        <f t="shared" si="94"/>
        <v>0</v>
      </c>
      <c r="J339" s="17"/>
      <c r="P339" s="17"/>
      <c r="Q339" s="17"/>
      <c r="R339" s="17"/>
      <c r="S339" s="17"/>
      <c r="T339" s="17"/>
    </row>
    <row r="340" spans="1:20" s="18" customFormat="1" ht="27" hidden="1" customHeight="1">
      <c r="A340" s="16" t="s">
        <v>152</v>
      </c>
      <c r="B340" s="49">
        <v>795</v>
      </c>
      <c r="C340" s="15" t="s">
        <v>53</v>
      </c>
      <c r="D340" s="15" t="s">
        <v>120</v>
      </c>
      <c r="E340" s="15" t="s">
        <v>385</v>
      </c>
      <c r="F340" s="15" t="s">
        <v>153</v>
      </c>
      <c r="G340" s="87">
        <f t="shared" si="94"/>
        <v>0</v>
      </c>
      <c r="H340" s="87">
        <f t="shared" si="94"/>
        <v>0</v>
      </c>
      <c r="I340" s="87">
        <f t="shared" si="94"/>
        <v>0</v>
      </c>
      <c r="J340" s="17"/>
      <c r="P340" s="17"/>
      <c r="Q340" s="17"/>
      <c r="R340" s="17"/>
      <c r="S340" s="17"/>
      <c r="T340" s="17"/>
    </row>
    <row r="341" spans="1:20" s="18" customFormat="1" ht="27" hidden="1" customHeight="1">
      <c r="A341" s="16" t="s">
        <v>164</v>
      </c>
      <c r="B341" s="49">
        <v>795</v>
      </c>
      <c r="C341" s="15" t="s">
        <v>53</v>
      </c>
      <c r="D341" s="15" t="s">
        <v>120</v>
      </c>
      <c r="E341" s="15" t="s">
        <v>385</v>
      </c>
      <c r="F341" s="15" t="s">
        <v>165</v>
      </c>
      <c r="G341" s="87"/>
      <c r="H341" s="87"/>
      <c r="I341" s="87"/>
      <c r="J341" s="17"/>
      <c r="P341" s="17"/>
      <c r="Q341" s="17"/>
      <c r="R341" s="17"/>
      <c r="S341" s="17"/>
      <c r="T341" s="17"/>
    </row>
    <row r="342" spans="1:20" s="18" customFormat="1" ht="27" hidden="1" customHeight="1">
      <c r="A342" s="16"/>
      <c r="B342" s="49"/>
      <c r="C342" s="15"/>
      <c r="D342" s="15"/>
      <c r="E342" s="15"/>
      <c r="F342" s="15"/>
      <c r="G342" s="87"/>
      <c r="H342" s="87"/>
      <c r="I342" s="87"/>
      <c r="J342" s="17"/>
      <c r="P342" s="17"/>
      <c r="Q342" s="17"/>
      <c r="R342" s="17"/>
      <c r="S342" s="17"/>
      <c r="T342" s="17"/>
    </row>
    <row r="343" spans="1:20" s="18" customFormat="1" ht="27" hidden="1" customHeight="1">
      <c r="A343" s="16"/>
      <c r="B343" s="49"/>
      <c r="C343" s="15"/>
      <c r="D343" s="15"/>
      <c r="E343" s="15"/>
      <c r="F343" s="15"/>
      <c r="G343" s="87"/>
      <c r="H343" s="87"/>
      <c r="I343" s="87"/>
      <c r="J343" s="17"/>
      <c r="P343" s="17"/>
      <c r="Q343" s="17"/>
      <c r="R343" s="17"/>
      <c r="S343" s="17"/>
      <c r="T343" s="17"/>
    </row>
    <row r="344" spans="1:20" s="18" customFormat="1" ht="27" hidden="1" customHeight="1">
      <c r="A344" s="16"/>
      <c r="B344" s="49"/>
      <c r="C344" s="15"/>
      <c r="D344" s="15"/>
      <c r="E344" s="15"/>
      <c r="F344" s="15"/>
      <c r="G344" s="87"/>
      <c r="H344" s="87"/>
      <c r="I344" s="87"/>
      <c r="J344" s="17"/>
      <c r="P344" s="17"/>
      <c r="Q344" s="17"/>
      <c r="R344" s="17"/>
      <c r="S344" s="17"/>
      <c r="T344" s="17"/>
    </row>
    <row r="345" spans="1:20" s="18" customFormat="1" ht="66" hidden="1" customHeight="1">
      <c r="A345" s="50" t="s">
        <v>100</v>
      </c>
      <c r="B345" s="14">
        <v>793</v>
      </c>
      <c r="C345" s="15" t="s">
        <v>53</v>
      </c>
      <c r="D345" s="15" t="s">
        <v>120</v>
      </c>
      <c r="E345" s="15" t="s">
        <v>98</v>
      </c>
      <c r="F345" s="15"/>
      <c r="G345" s="70">
        <f t="shared" ref="G345:I345" si="95">G349+G352+G365+G360+G357+G372+G346</f>
        <v>0</v>
      </c>
      <c r="H345" s="70">
        <f t="shared" si="95"/>
        <v>0</v>
      </c>
      <c r="I345" s="70">
        <f t="shared" si="95"/>
        <v>0</v>
      </c>
      <c r="J345" s="17"/>
      <c r="L345" s="17">
        <f>G356+G371+G380+G389+G395</f>
        <v>0</v>
      </c>
      <c r="P345" s="17"/>
      <c r="Q345" s="17"/>
      <c r="R345" s="17"/>
      <c r="S345" s="17"/>
      <c r="T345" s="17"/>
    </row>
    <row r="346" spans="1:20" s="18" customFormat="1" ht="76.5" hidden="1" customHeight="1">
      <c r="A346" s="50" t="s">
        <v>639</v>
      </c>
      <c r="B346" s="49">
        <v>795</v>
      </c>
      <c r="C346" s="15" t="s">
        <v>53</v>
      </c>
      <c r="D346" s="15" t="s">
        <v>120</v>
      </c>
      <c r="E346" s="15" t="s">
        <v>638</v>
      </c>
      <c r="F346" s="15"/>
      <c r="G346" s="70">
        <f t="shared" ref="G346:I347" si="96">G347</f>
        <v>0</v>
      </c>
      <c r="H346" s="70">
        <f t="shared" si="96"/>
        <v>0</v>
      </c>
      <c r="I346" s="70">
        <f t="shared" si="96"/>
        <v>0</v>
      </c>
      <c r="P346" s="17"/>
      <c r="Q346" s="17"/>
      <c r="R346" s="17"/>
      <c r="S346" s="17"/>
      <c r="T346" s="17"/>
    </row>
    <row r="347" spans="1:20" s="18" customFormat="1" ht="15" hidden="1" customHeight="1">
      <c r="A347" s="16" t="s">
        <v>316</v>
      </c>
      <c r="B347" s="49">
        <v>795</v>
      </c>
      <c r="C347" s="15" t="s">
        <v>53</v>
      </c>
      <c r="D347" s="15" t="s">
        <v>120</v>
      </c>
      <c r="E347" s="15" t="s">
        <v>638</v>
      </c>
      <c r="F347" s="15" t="s">
        <v>36</v>
      </c>
      <c r="G347" s="70">
        <f t="shared" si="96"/>
        <v>0</v>
      </c>
      <c r="H347" s="70">
        <f t="shared" si="96"/>
        <v>0</v>
      </c>
      <c r="I347" s="70">
        <f t="shared" si="96"/>
        <v>0</v>
      </c>
      <c r="P347" s="17"/>
      <c r="Q347" s="17"/>
      <c r="R347" s="17"/>
      <c r="S347" s="17"/>
      <c r="T347" s="17"/>
    </row>
    <row r="348" spans="1:20" s="18" customFormat="1" ht="32.25" hidden="1" customHeight="1">
      <c r="A348" s="16" t="s">
        <v>37</v>
      </c>
      <c r="B348" s="49">
        <v>795</v>
      </c>
      <c r="C348" s="15" t="s">
        <v>53</v>
      </c>
      <c r="D348" s="15" t="s">
        <v>120</v>
      </c>
      <c r="E348" s="15" t="s">
        <v>638</v>
      </c>
      <c r="F348" s="15" t="s">
        <v>38</v>
      </c>
      <c r="G348" s="70">
        <f>прил4!G2903</f>
        <v>0</v>
      </c>
      <c r="H348" s="70">
        <f>прил4!H2903</f>
        <v>0</v>
      </c>
      <c r="I348" s="70">
        <f>прил4!I2903</f>
        <v>0</v>
      </c>
      <c r="J348" s="18" t="s">
        <v>448</v>
      </c>
      <c r="L348" s="18">
        <v>26808448</v>
      </c>
      <c r="P348" s="17"/>
      <c r="Q348" s="17"/>
      <c r="R348" s="17"/>
      <c r="S348" s="17"/>
      <c r="T348" s="17"/>
    </row>
    <row r="349" spans="1:20" s="18" customFormat="1" ht="53.25" hidden="1" customHeight="1">
      <c r="A349" s="50" t="s">
        <v>101</v>
      </c>
      <c r="B349" s="49">
        <v>795</v>
      </c>
      <c r="C349" s="15" t="s">
        <v>53</v>
      </c>
      <c r="D349" s="15" t="s">
        <v>120</v>
      </c>
      <c r="E349" s="15" t="s">
        <v>99</v>
      </c>
      <c r="F349" s="15"/>
      <c r="G349" s="87">
        <f t="shared" ref="G349:I350" si="97">G350</f>
        <v>0</v>
      </c>
      <c r="H349" s="87">
        <f t="shared" si="97"/>
        <v>0</v>
      </c>
      <c r="I349" s="87">
        <f t="shared" si="97"/>
        <v>0</v>
      </c>
      <c r="J349" s="17"/>
      <c r="P349" s="17"/>
      <c r="Q349" s="17"/>
      <c r="R349" s="17"/>
      <c r="S349" s="17"/>
      <c r="T349" s="17"/>
    </row>
    <row r="350" spans="1:20" s="18" customFormat="1" ht="18" hidden="1" customHeight="1">
      <c r="A350" s="16" t="s">
        <v>316</v>
      </c>
      <c r="B350" s="49">
        <v>795</v>
      </c>
      <c r="C350" s="15" t="s">
        <v>53</v>
      </c>
      <c r="D350" s="15" t="s">
        <v>120</v>
      </c>
      <c r="E350" s="15" t="s">
        <v>99</v>
      </c>
      <c r="F350" s="15" t="s">
        <v>36</v>
      </c>
      <c r="G350" s="87">
        <f t="shared" si="97"/>
        <v>0</v>
      </c>
      <c r="H350" s="87">
        <f t="shared" si="97"/>
        <v>0</v>
      </c>
      <c r="I350" s="87">
        <f t="shared" si="97"/>
        <v>0</v>
      </c>
      <c r="J350" s="17"/>
      <c r="P350" s="17"/>
      <c r="Q350" s="17"/>
      <c r="R350" s="17"/>
      <c r="S350" s="17"/>
      <c r="T350" s="17"/>
    </row>
    <row r="351" spans="1:20" s="18" customFormat="1" ht="57.75" hidden="1" customHeight="1">
      <c r="A351" s="16" t="s">
        <v>37</v>
      </c>
      <c r="B351" s="49">
        <v>795</v>
      </c>
      <c r="C351" s="15" t="s">
        <v>53</v>
      </c>
      <c r="D351" s="15" t="s">
        <v>120</v>
      </c>
      <c r="E351" s="15" t="s">
        <v>99</v>
      </c>
      <c r="F351" s="15" t="s">
        <v>38</v>
      </c>
      <c r="G351" s="70">
        <f>прил4!G2906</f>
        <v>0</v>
      </c>
      <c r="H351" s="70">
        <f>прил4!H2906</f>
        <v>0</v>
      </c>
      <c r="I351" s="70">
        <f>прил4!I2906</f>
        <v>0</v>
      </c>
      <c r="J351" s="17"/>
      <c r="P351" s="17"/>
      <c r="Q351" s="17"/>
      <c r="R351" s="17"/>
      <c r="S351" s="17"/>
      <c r="T351" s="17"/>
    </row>
    <row r="352" spans="1:20" ht="80.25" hidden="1" customHeight="1">
      <c r="A352" s="50" t="s">
        <v>100</v>
      </c>
      <c r="B352" s="49">
        <v>795</v>
      </c>
      <c r="C352" s="15" t="s">
        <v>53</v>
      </c>
      <c r="D352" s="15" t="s">
        <v>120</v>
      </c>
      <c r="E352" s="15" t="s">
        <v>129</v>
      </c>
      <c r="F352" s="15"/>
      <c r="G352" s="70">
        <f>G355</f>
        <v>0</v>
      </c>
      <c r="H352" s="70">
        <f t="shared" ref="H352:I352" si="98">H355</f>
        <v>0</v>
      </c>
      <c r="I352" s="70">
        <f t="shared" si="98"/>
        <v>0</v>
      </c>
    </row>
    <row r="353" spans="1:20" s="18" customFormat="1" ht="15.75" hidden="1" customHeight="1">
      <c r="A353" s="16" t="s">
        <v>62</v>
      </c>
      <c r="B353" s="49">
        <v>795</v>
      </c>
      <c r="C353" s="15" t="s">
        <v>53</v>
      </c>
      <c r="D353" s="15" t="s">
        <v>120</v>
      </c>
      <c r="E353" s="15" t="s">
        <v>127</v>
      </c>
      <c r="F353" s="15" t="s">
        <v>63</v>
      </c>
      <c r="G353" s="70" t="e">
        <f>G354</f>
        <v>#REF!</v>
      </c>
      <c r="H353" s="70" t="e">
        <f>H354</f>
        <v>#REF!</v>
      </c>
      <c r="I353" s="70" t="e">
        <f>I354</f>
        <v>#REF!</v>
      </c>
      <c r="J353" s="17"/>
      <c r="P353" s="17"/>
      <c r="Q353" s="17"/>
      <c r="R353" s="17"/>
      <c r="S353" s="17"/>
      <c r="T353" s="17"/>
    </row>
    <row r="354" spans="1:20" s="18" customFormat="1" ht="15.75" hidden="1" customHeight="1">
      <c r="A354" s="16" t="s">
        <v>174</v>
      </c>
      <c r="B354" s="49">
        <v>795</v>
      </c>
      <c r="C354" s="15" t="s">
        <v>53</v>
      </c>
      <c r="D354" s="15" t="s">
        <v>120</v>
      </c>
      <c r="E354" s="15" t="s">
        <v>127</v>
      </c>
      <c r="F354" s="15" t="s">
        <v>175</v>
      </c>
      <c r="G354" s="70" t="e">
        <f>прил4!#REF!</f>
        <v>#REF!</v>
      </c>
      <c r="H354" s="70" t="e">
        <f>прил4!#REF!</f>
        <v>#REF!</v>
      </c>
      <c r="I354" s="70" t="e">
        <f>прил4!#REF!</f>
        <v>#REF!</v>
      </c>
      <c r="J354" s="17"/>
      <c r="P354" s="17"/>
      <c r="Q354" s="17"/>
      <c r="R354" s="17"/>
      <c r="S354" s="17"/>
      <c r="T354" s="17"/>
    </row>
    <row r="355" spans="1:20" ht="15" hidden="1" customHeight="1">
      <c r="A355" s="16" t="s">
        <v>152</v>
      </c>
      <c r="B355" s="49">
        <v>795</v>
      </c>
      <c r="C355" s="15" t="s">
        <v>53</v>
      </c>
      <c r="D355" s="15" t="s">
        <v>120</v>
      </c>
      <c r="E355" s="15" t="s">
        <v>127</v>
      </c>
      <c r="F355" s="15" t="s">
        <v>153</v>
      </c>
      <c r="G355" s="70">
        <f>G356</f>
        <v>0</v>
      </c>
      <c r="H355" s="70">
        <f>H356</f>
        <v>0</v>
      </c>
      <c r="I355" s="70">
        <f>I356</f>
        <v>0</v>
      </c>
    </row>
    <row r="356" spans="1:20" ht="15" hidden="1" customHeight="1">
      <c r="A356" s="16" t="s">
        <v>172</v>
      </c>
      <c r="B356" s="49">
        <v>795</v>
      </c>
      <c r="C356" s="15" t="s">
        <v>53</v>
      </c>
      <c r="D356" s="15" t="s">
        <v>120</v>
      </c>
      <c r="E356" s="15" t="s">
        <v>127</v>
      </c>
      <c r="F356" s="15" t="s">
        <v>173</v>
      </c>
      <c r="G356" s="70">
        <f>прил4!G2909</f>
        <v>0</v>
      </c>
      <c r="H356" s="70">
        <f>прил4!H2909</f>
        <v>0</v>
      </c>
      <c r="I356" s="70">
        <f>прил4!I2909</f>
        <v>0</v>
      </c>
    </row>
    <row r="357" spans="1:20" s="18" customFormat="1" ht="83.25" hidden="1" customHeight="1">
      <c r="A357" s="50" t="s">
        <v>408</v>
      </c>
      <c r="B357" s="49"/>
      <c r="C357" s="15"/>
      <c r="D357" s="15"/>
      <c r="E357" s="15" t="s">
        <v>130</v>
      </c>
      <c r="F357" s="15"/>
      <c r="G357" s="70">
        <f>G358</f>
        <v>0</v>
      </c>
      <c r="H357" s="70">
        <v>0</v>
      </c>
      <c r="I357" s="70">
        <v>0</v>
      </c>
      <c r="J357" s="17"/>
      <c r="P357" s="17"/>
      <c r="Q357" s="17"/>
      <c r="R357" s="17"/>
      <c r="S357" s="17"/>
      <c r="T357" s="17"/>
    </row>
    <row r="358" spans="1:20" s="18" customFormat="1" ht="26.25" hidden="1" customHeight="1">
      <c r="A358" s="16" t="s">
        <v>316</v>
      </c>
      <c r="B358" s="49"/>
      <c r="C358" s="15"/>
      <c r="D358" s="15"/>
      <c r="E358" s="15" t="s">
        <v>128</v>
      </c>
      <c r="F358" s="15" t="s">
        <v>36</v>
      </c>
      <c r="G358" s="70">
        <f>G359</f>
        <v>0</v>
      </c>
      <c r="H358" s="70">
        <v>0</v>
      </c>
      <c r="I358" s="70">
        <v>0</v>
      </c>
      <c r="J358" s="17"/>
      <c r="P358" s="17"/>
      <c r="Q358" s="17"/>
      <c r="R358" s="17"/>
      <c r="S358" s="17"/>
      <c r="T358" s="17"/>
    </row>
    <row r="359" spans="1:20" s="18" customFormat="1" ht="47.25" hidden="1" customHeight="1">
      <c r="A359" s="16" t="s">
        <v>37</v>
      </c>
      <c r="B359" s="49"/>
      <c r="C359" s="15"/>
      <c r="D359" s="15"/>
      <c r="E359" s="15" t="s">
        <v>128</v>
      </c>
      <c r="F359" s="15" t="s">
        <v>38</v>
      </c>
      <c r="G359" s="70">
        <f>прил4!G2912</f>
        <v>0</v>
      </c>
      <c r="H359" s="70">
        <v>0</v>
      </c>
      <c r="I359" s="70">
        <v>0</v>
      </c>
      <c r="J359" s="17"/>
      <c r="P359" s="17"/>
      <c r="Q359" s="17"/>
      <c r="R359" s="17"/>
      <c r="S359" s="17"/>
      <c r="T359" s="17"/>
    </row>
    <row r="360" spans="1:20" ht="78" hidden="1" customHeight="1">
      <c r="A360" s="50" t="s">
        <v>503</v>
      </c>
      <c r="B360" s="49">
        <v>795</v>
      </c>
      <c r="C360" s="15" t="s">
        <v>53</v>
      </c>
      <c r="D360" s="15" t="s">
        <v>120</v>
      </c>
      <c r="E360" s="15" t="s">
        <v>502</v>
      </c>
      <c r="F360" s="15"/>
      <c r="G360" s="70">
        <f>G361+G363</f>
        <v>0</v>
      </c>
      <c r="H360" s="70">
        <v>0</v>
      </c>
      <c r="I360" s="70">
        <v>0</v>
      </c>
      <c r="J360" s="1"/>
    </row>
    <row r="361" spans="1:20" ht="18" hidden="1" customHeight="1">
      <c r="A361" s="16" t="s">
        <v>316</v>
      </c>
      <c r="B361" s="49">
        <v>795</v>
      </c>
      <c r="C361" s="15" t="s">
        <v>53</v>
      </c>
      <c r="D361" s="15" t="s">
        <v>120</v>
      </c>
      <c r="E361" s="15" t="s">
        <v>501</v>
      </c>
      <c r="F361" s="15" t="s">
        <v>36</v>
      </c>
      <c r="G361" s="70">
        <f>G362</f>
        <v>0</v>
      </c>
      <c r="H361" s="70">
        <v>0</v>
      </c>
      <c r="I361" s="70">
        <v>0</v>
      </c>
      <c r="J361" s="1"/>
    </row>
    <row r="362" spans="1:20" ht="15" hidden="1" customHeight="1">
      <c r="A362" s="16" t="s">
        <v>37</v>
      </c>
      <c r="B362" s="49">
        <v>795</v>
      </c>
      <c r="C362" s="15" t="s">
        <v>53</v>
      </c>
      <c r="D362" s="15" t="s">
        <v>120</v>
      </c>
      <c r="E362" s="15" t="s">
        <v>501</v>
      </c>
      <c r="F362" s="15" t="s">
        <v>38</v>
      </c>
      <c r="G362" s="70"/>
      <c r="H362" s="70">
        <v>0</v>
      </c>
      <c r="I362" s="70">
        <v>0</v>
      </c>
      <c r="J362" s="1"/>
    </row>
    <row r="363" spans="1:20" ht="36.75" hidden="1" customHeight="1">
      <c r="A363" s="16" t="s">
        <v>94</v>
      </c>
      <c r="B363" s="49">
        <v>795</v>
      </c>
      <c r="C363" s="15" t="s">
        <v>53</v>
      </c>
      <c r="D363" s="15" t="s">
        <v>120</v>
      </c>
      <c r="E363" s="15" t="s">
        <v>501</v>
      </c>
      <c r="F363" s="15" t="s">
        <v>338</v>
      </c>
      <c r="G363" s="70">
        <f>G364</f>
        <v>0</v>
      </c>
      <c r="H363" s="70">
        <f t="shared" ref="H363:I363" si="99">H364</f>
        <v>0</v>
      </c>
      <c r="I363" s="70">
        <f t="shared" si="99"/>
        <v>0</v>
      </c>
      <c r="J363" s="1"/>
    </row>
    <row r="364" spans="1:20" ht="27.75" hidden="1" customHeight="1">
      <c r="A364" s="16" t="s">
        <v>339</v>
      </c>
      <c r="B364" s="49">
        <v>795</v>
      </c>
      <c r="C364" s="15" t="s">
        <v>53</v>
      </c>
      <c r="D364" s="15" t="s">
        <v>120</v>
      </c>
      <c r="E364" s="15" t="s">
        <v>501</v>
      </c>
      <c r="F364" s="15" t="s">
        <v>340</v>
      </c>
      <c r="G364" s="70"/>
      <c r="H364" s="70">
        <v>0</v>
      </c>
      <c r="I364" s="70">
        <v>0</v>
      </c>
      <c r="J364" s="1"/>
    </row>
    <row r="365" spans="1:20" s="18" customFormat="1" ht="62.25" hidden="1" customHeight="1">
      <c r="A365" s="16" t="s">
        <v>500</v>
      </c>
      <c r="B365" s="49">
        <v>795</v>
      </c>
      <c r="C365" s="15" t="s">
        <v>53</v>
      </c>
      <c r="D365" s="15" t="s">
        <v>120</v>
      </c>
      <c r="E365" s="15" t="s">
        <v>181</v>
      </c>
      <c r="F365" s="15"/>
      <c r="G365" s="70">
        <f>G366+G370+G368</f>
        <v>0</v>
      </c>
      <c r="H365" s="70">
        <v>0</v>
      </c>
      <c r="I365" s="70">
        <v>0</v>
      </c>
      <c r="P365" s="17"/>
      <c r="Q365" s="17"/>
      <c r="R365" s="17"/>
      <c r="S365" s="17"/>
      <c r="T365" s="17"/>
    </row>
    <row r="366" spans="1:20" s="18" customFormat="1" ht="32.25" hidden="1" customHeight="1">
      <c r="A366" s="16" t="s">
        <v>316</v>
      </c>
      <c r="B366" s="49">
        <v>795</v>
      </c>
      <c r="C366" s="15" t="s">
        <v>53</v>
      </c>
      <c r="D366" s="15" t="s">
        <v>120</v>
      </c>
      <c r="E366" s="15" t="s">
        <v>181</v>
      </c>
      <c r="F366" s="15" t="s">
        <v>36</v>
      </c>
      <c r="G366" s="70">
        <f>G367</f>
        <v>0</v>
      </c>
      <c r="H366" s="70">
        <v>0</v>
      </c>
      <c r="I366" s="70">
        <v>0</v>
      </c>
      <c r="P366" s="17"/>
      <c r="Q366" s="17"/>
      <c r="R366" s="17"/>
      <c r="S366" s="17"/>
      <c r="T366" s="17"/>
    </row>
    <row r="367" spans="1:20" s="18" customFormat="1" ht="32.25" hidden="1" customHeight="1">
      <c r="A367" s="16" t="s">
        <v>37</v>
      </c>
      <c r="B367" s="49">
        <v>795</v>
      </c>
      <c r="C367" s="15" t="s">
        <v>53</v>
      </c>
      <c r="D367" s="15" t="s">
        <v>120</v>
      </c>
      <c r="E367" s="15" t="s">
        <v>181</v>
      </c>
      <c r="F367" s="15" t="s">
        <v>38</v>
      </c>
      <c r="G367" s="70"/>
      <c r="H367" s="70">
        <v>0</v>
      </c>
      <c r="I367" s="70">
        <v>0</v>
      </c>
      <c r="P367" s="17"/>
      <c r="Q367" s="17"/>
      <c r="R367" s="17"/>
      <c r="S367" s="17"/>
      <c r="T367" s="17"/>
    </row>
    <row r="368" spans="1:20" ht="18" hidden="1" customHeight="1">
      <c r="A368" s="16" t="s">
        <v>316</v>
      </c>
      <c r="B368" s="49">
        <v>795</v>
      </c>
      <c r="C368" s="15" t="s">
        <v>53</v>
      </c>
      <c r="D368" s="15" t="s">
        <v>120</v>
      </c>
      <c r="E368" s="15" t="s">
        <v>181</v>
      </c>
      <c r="F368" s="15" t="s">
        <v>36</v>
      </c>
      <c r="G368" s="70">
        <f>G369</f>
        <v>0</v>
      </c>
      <c r="H368" s="70">
        <v>0</v>
      </c>
      <c r="I368" s="70">
        <v>0</v>
      </c>
      <c r="J368" s="1"/>
    </row>
    <row r="369" spans="1:20" ht="29.25" hidden="1" customHeight="1">
      <c r="A369" s="16" t="s">
        <v>37</v>
      </c>
      <c r="B369" s="49">
        <v>795</v>
      </c>
      <c r="C369" s="15" t="s">
        <v>53</v>
      </c>
      <c r="D369" s="15" t="s">
        <v>120</v>
      </c>
      <c r="E369" s="15" t="s">
        <v>181</v>
      </c>
      <c r="F369" s="15" t="s">
        <v>38</v>
      </c>
      <c r="G369" s="70"/>
      <c r="H369" s="70"/>
      <c r="I369" s="70"/>
      <c r="J369" s="1"/>
    </row>
    <row r="370" spans="1:20" ht="18" hidden="1" customHeight="1">
      <c r="A370" s="16" t="s">
        <v>152</v>
      </c>
      <c r="B370" s="49">
        <v>795</v>
      </c>
      <c r="C370" s="15" t="s">
        <v>53</v>
      </c>
      <c r="D370" s="15" t="s">
        <v>120</v>
      </c>
      <c r="E370" s="15" t="s">
        <v>181</v>
      </c>
      <c r="F370" s="15" t="s">
        <v>153</v>
      </c>
      <c r="G370" s="70">
        <f>G371</f>
        <v>0</v>
      </c>
      <c r="H370" s="70">
        <v>0</v>
      </c>
      <c r="I370" s="70">
        <v>0</v>
      </c>
      <c r="J370" s="1"/>
    </row>
    <row r="371" spans="1:20" ht="15" hidden="1" customHeight="1">
      <c r="A371" s="16" t="s">
        <v>172</v>
      </c>
      <c r="B371" s="49">
        <v>795</v>
      </c>
      <c r="C371" s="15" t="s">
        <v>53</v>
      </c>
      <c r="D371" s="15" t="s">
        <v>120</v>
      </c>
      <c r="E371" s="15" t="s">
        <v>181</v>
      </c>
      <c r="F371" s="15" t="s">
        <v>173</v>
      </c>
      <c r="G371" s="70">
        <f>прил4!G2924</f>
        <v>0</v>
      </c>
      <c r="H371" s="70">
        <v>0</v>
      </c>
      <c r="I371" s="70">
        <v>0</v>
      </c>
      <c r="J371" s="1"/>
    </row>
    <row r="372" spans="1:20" ht="78" hidden="1" customHeight="1">
      <c r="A372" s="50" t="s">
        <v>628</v>
      </c>
      <c r="B372" s="49">
        <v>795</v>
      </c>
      <c r="C372" s="15" t="s">
        <v>53</v>
      </c>
      <c r="D372" s="15" t="s">
        <v>120</v>
      </c>
      <c r="E372" s="15" t="s">
        <v>630</v>
      </c>
      <c r="F372" s="15"/>
      <c r="G372" s="70">
        <f>G373</f>
        <v>0</v>
      </c>
      <c r="H372" s="70">
        <v>0</v>
      </c>
      <c r="I372" s="70">
        <v>0</v>
      </c>
      <c r="J372" s="1"/>
    </row>
    <row r="373" spans="1:20" ht="18" hidden="1" customHeight="1">
      <c r="A373" s="16" t="s">
        <v>152</v>
      </c>
      <c r="B373" s="49">
        <v>795</v>
      </c>
      <c r="C373" s="15" t="s">
        <v>53</v>
      </c>
      <c r="D373" s="15" t="s">
        <v>120</v>
      </c>
      <c r="E373" s="15" t="s">
        <v>630</v>
      </c>
      <c r="F373" s="15" t="s">
        <v>153</v>
      </c>
      <c r="G373" s="70">
        <f>G374</f>
        <v>0</v>
      </c>
      <c r="H373" s="70">
        <v>0</v>
      </c>
      <c r="I373" s="70">
        <v>0</v>
      </c>
      <c r="J373" s="1"/>
    </row>
    <row r="374" spans="1:20" ht="27.75" hidden="1" customHeight="1">
      <c r="A374" s="16" t="s">
        <v>172</v>
      </c>
      <c r="B374" s="49">
        <v>795</v>
      </c>
      <c r="C374" s="15" t="s">
        <v>53</v>
      </c>
      <c r="D374" s="15" t="s">
        <v>120</v>
      </c>
      <c r="E374" s="15" t="s">
        <v>630</v>
      </c>
      <c r="F374" s="15" t="s">
        <v>173</v>
      </c>
      <c r="G374" s="70">
        <f>прил4!G2927</f>
        <v>0</v>
      </c>
      <c r="H374" s="70">
        <v>0</v>
      </c>
      <c r="I374" s="70">
        <v>0</v>
      </c>
      <c r="J374" s="1"/>
    </row>
    <row r="375" spans="1:20" ht="78.75" hidden="1" customHeight="1">
      <c r="A375" s="16" t="s">
        <v>104</v>
      </c>
      <c r="B375" s="49">
        <v>795</v>
      </c>
      <c r="C375" s="15" t="s">
        <v>53</v>
      </c>
      <c r="D375" s="15" t="s">
        <v>120</v>
      </c>
      <c r="E375" s="15" t="s">
        <v>102</v>
      </c>
      <c r="F375" s="15"/>
      <c r="G375" s="70">
        <f>G376+G383+G393+G377+G396+G399+G405+G390</f>
        <v>0</v>
      </c>
      <c r="H375" s="70">
        <f>H376+H383+H393+H377+H396+H399</f>
        <v>0</v>
      </c>
      <c r="I375" s="70">
        <f>I376+I383+I393+I377+I396+I399</f>
        <v>0</v>
      </c>
    </row>
    <row r="376" spans="1:20" ht="47.25" hidden="1" customHeight="1">
      <c r="A376" s="16" t="s">
        <v>105</v>
      </c>
      <c r="B376" s="49">
        <v>795</v>
      </c>
      <c r="C376" s="15" t="s">
        <v>53</v>
      </c>
      <c r="D376" s="15" t="s">
        <v>120</v>
      </c>
      <c r="E376" s="15" t="s">
        <v>103</v>
      </c>
      <c r="F376" s="15"/>
      <c r="G376" s="70">
        <f>G379+G381</f>
        <v>0</v>
      </c>
      <c r="H376" s="70">
        <f t="shared" ref="H376:I376" si="100">H379+H381</f>
        <v>0</v>
      </c>
      <c r="I376" s="70">
        <f t="shared" si="100"/>
        <v>0</v>
      </c>
    </row>
    <row r="377" spans="1:20" s="18" customFormat="1" ht="15.75" hidden="1" customHeight="1">
      <c r="A377" s="16" t="s">
        <v>62</v>
      </c>
      <c r="B377" s="49">
        <v>795</v>
      </c>
      <c r="C377" s="15" t="s">
        <v>53</v>
      </c>
      <c r="D377" s="15" t="s">
        <v>120</v>
      </c>
      <c r="E377" s="15" t="s">
        <v>103</v>
      </c>
      <c r="F377" s="15" t="s">
        <v>63</v>
      </c>
      <c r="G377" s="70">
        <f>G378</f>
        <v>0</v>
      </c>
      <c r="H377" s="70">
        <v>0</v>
      </c>
      <c r="I377" s="70">
        <v>0</v>
      </c>
      <c r="J377" s="116"/>
      <c r="P377" s="17"/>
      <c r="Q377" s="17"/>
      <c r="R377" s="17"/>
      <c r="S377" s="17"/>
      <c r="T377" s="17"/>
    </row>
    <row r="378" spans="1:20" s="18" customFormat="1" ht="15.75" hidden="1" customHeight="1">
      <c r="A378" s="16" t="s">
        <v>174</v>
      </c>
      <c r="B378" s="49">
        <v>795</v>
      </c>
      <c r="C378" s="15" t="s">
        <v>53</v>
      </c>
      <c r="D378" s="15" t="s">
        <v>120</v>
      </c>
      <c r="E378" s="15" t="s">
        <v>103</v>
      </c>
      <c r="F378" s="15" t="s">
        <v>175</v>
      </c>
      <c r="G378" s="70">
        <f>прил4!G2931</f>
        <v>0</v>
      </c>
      <c r="H378" s="70">
        <v>0</v>
      </c>
      <c r="I378" s="70">
        <v>0</v>
      </c>
      <c r="J378" s="116"/>
      <c r="P378" s="17"/>
      <c r="Q378" s="17"/>
      <c r="R378" s="17"/>
      <c r="S378" s="17"/>
      <c r="T378" s="17"/>
    </row>
    <row r="379" spans="1:20" ht="16.5" hidden="1" customHeight="1">
      <c r="A379" s="16" t="s">
        <v>152</v>
      </c>
      <c r="B379" s="49">
        <v>795</v>
      </c>
      <c r="C379" s="15" t="s">
        <v>53</v>
      </c>
      <c r="D379" s="15" t="s">
        <v>120</v>
      </c>
      <c r="E379" s="15" t="s">
        <v>103</v>
      </c>
      <c r="F379" s="15" t="s">
        <v>153</v>
      </c>
      <c r="G379" s="70">
        <f>G380</f>
        <v>0</v>
      </c>
      <c r="H379" s="70">
        <f>H380</f>
        <v>0</v>
      </c>
      <c r="I379" s="70">
        <f>I380</f>
        <v>0</v>
      </c>
    </row>
    <row r="380" spans="1:20" ht="19.5" hidden="1" customHeight="1">
      <c r="A380" s="16" t="s">
        <v>172</v>
      </c>
      <c r="B380" s="49">
        <v>795</v>
      </c>
      <c r="C380" s="15" t="s">
        <v>53</v>
      </c>
      <c r="D380" s="15" t="s">
        <v>120</v>
      </c>
      <c r="E380" s="15" t="s">
        <v>103</v>
      </c>
      <c r="F380" s="15" t="s">
        <v>173</v>
      </c>
      <c r="G380" s="70">
        <f>прил4!G2933</f>
        <v>0</v>
      </c>
      <c r="H380" s="70">
        <f>прил4!H2933</f>
        <v>0</v>
      </c>
      <c r="I380" s="70">
        <f>прил4!I2933</f>
        <v>0</v>
      </c>
    </row>
    <row r="381" spans="1:20" ht="22.5" hidden="1" customHeight="1">
      <c r="A381" s="16" t="s">
        <v>316</v>
      </c>
      <c r="B381" s="49">
        <v>795</v>
      </c>
      <c r="C381" s="15" t="s">
        <v>53</v>
      </c>
      <c r="D381" s="15" t="s">
        <v>120</v>
      </c>
      <c r="E381" s="15" t="s">
        <v>103</v>
      </c>
      <c r="F381" s="15" t="s">
        <v>36</v>
      </c>
      <c r="G381" s="70">
        <f>G382</f>
        <v>0</v>
      </c>
      <c r="H381" s="70">
        <f>H382</f>
        <v>0</v>
      </c>
      <c r="I381" s="70">
        <f>I382</f>
        <v>0</v>
      </c>
      <c r="J381" s="1"/>
    </row>
    <row r="382" spans="1:20" ht="32.25" hidden="1" customHeight="1">
      <c r="A382" s="16" t="s">
        <v>37</v>
      </c>
      <c r="B382" s="49">
        <v>795</v>
      </c>
      <c r="C382" s="15" t="s">
        <v>53</v>
      </c>
      <c r="D382" s="15" t="s">
        <v>120</v>
      </c>
      <c r="E382" s="15" t="s">
        <v>103</v>
      </c>
      <c r="F382" s="15" t="s">
        <v>38</v>
      </c>
      <c r="G382" s="70">
        <f>прил4!G2935</f>
        <v>0</v>
      </c>
      <c r="H382" s="70">
        <f>прил4!H2935</f>
        <v>0</v>
      </c>
      <c r="I382" s="70">
        <f>прил4!I2935</f>
        <v>0</v>
      </c>
      <c r="J382" s="1"/>
    </row>
    <row r="383" spans="1:20" s="18" customFormat="1" ht="65.25" hidden="1" customHeight="1">
      <c r="A383" s="16" t="s">
        <v>499</v>
      </c>
      <c r="B383" s="49">
        <v>795</v>
      </c>
      <c r="C383" s="15" t="s">
        <v>53</v>
      </c>
      <c r="D383" s="15" t="s">
        <v>120</v>
      </c>
      <c r="E383" s="15" t="s">
        <v>45</v>
      </c>
      <c r="F383" s="15"/>
      <c r="G383" s="70">
        <f>G384+G388+G386</f>
        <v>0</v>
      </c>
      <c r="H383" s="27">
        <v>0</v>
      </c>
      <c r="I383" s="27">
        <v>0</v>
      </c>
      <c r="J383" s="116"/>
      <c r="P383" s="17"/>
      <c r="Q383" s="17"/>
      <c r="R383" s="17"/>
      <c r="S383" s="17"/>
      <c r="T383" s="17"/>
    </row>
    <row r="384" spans="1:20" s="18" customFormat="1" ht="15.75" hidden="1" customHeight="1">
      <c r="A384" s="16" t="s">
        <v>316</v>
      </c>
      <c r="B384" s="49">
        <v>795</v>
      </c>
      <c r="C384" s="15" t="s">
        <v>53</v>
      </c>
      <c r="D384" s="15" t="s">
        <v>120</v>
      </c>
      <c r="E384" s="15" t="s">
        <v>45</v>
      </c>
      <c r="F384" s="15" t="s">
        <v>36</v>
      </c>
      <c r="G384" s="70">
        <f>G385</f>
        <v>0</v>
      </c>
      <c r="H384" s="27">
        <v>0</v>
      </c>
      <c r="I384" s="27">
        <v>0</v>
      </c>
      <c r="J384" s="116"/>
      <c r="P384" s="17"/>
      <c r="Q384" s="17"/>
      <c r="R384" s="17"/>
      <c r="S384" s="17"/>
      <c r="T384" s="17"/>
    </row>
    <row r="385" spans="1:20" s="18" customFormat="1" ht="15.75" hidden="1" customHeight="1">
      <c r="A385" s="16" t="s">
        <v>37</v>
      </c>
      <c r="B385" s="49">
        <v>795</v>
      </c>
      <c r="C385" s="15" t="s">
        <v>53</v>
      </c>
      <c r="D385" s="15" t="s">
        <v>120</v>
      </c>
      <c r="E385" s="15" t="s">
        <v>45</v>
      </c>
      <c r="F385" s="15" t="s">
        <v>38</v>
      </c>
      <c r="G385" s="70">
        <f>прил4!G2938</f>
        <v>0</v>
      </c>
      <c r="H385" s="27">
        <v>0</v>
      </c>
      <c r="I385" s="27">
        <v>0</v>
      </c>
      <c r="J385" s="116"/>
      <c r="P385" s="17"/>
      <c r="Q385" s="17"/>
      <c r="R385" s="17"/>
      <c r="S385" s="17"/>
      <c r="T385" s="17"/>
    </row>
    <row r="386" spans="1:20" ht="22.5" hidden="1" customHeight="1">
      <c r="A386" s="16" t="s">
        <v>316</v>
      </c>
      <c r="B386" s="49">
        <v>795</v>
      </c>
      <c r="C386" s="15" t="s">
        <v>53</v>
      </c>
      <c r="D386" s="15" t="s">
        <v>120</v>
      </c>
      <c r="E386" s="15" t="s">
        <v>45</v>
      </c>
      <c r="F386" s="15" t="s">
        <v>36</v>
      </c>
      <c r="G386" s="70">
        <f>G387</f>
        <v>0</v>
      </c>
      <c r="H386" s="70">
        <v>0</v>
      </c>
      <c r="I386" s="70">
        <v>0</v>
      </c>
      <c r="J386" s="1"/>
    </row>
    <row r="387" spans="1:20" ht="16.5" hidden="1" customHeight="1">
      <c r="A387" s="16" t="s">
        <v>37</v>
      </c>
      <c r="B387" s="49">
        <v>795</v>
      </c>
      <c r="C387" s="15" t="s">
        <v>53</v>
      </c>
      <c r="D387" s="15" t="s">
        <v>120</v>
      </c>
      <c r="E387" s="15" t="s">
        <v>45</v>
      </c>
      <c r="F387" s="15" t="s">
        <v>38</v>
      </c>
      <c r="G387" s="70"/>
      <c r="H387" s="70"/>
      <c r="I387" s="70"/>
      <c r="J387" s="1"/>
    </row>
    <row r="388" spans="1:20" ht="22.5" hidden="1" customHeight="1">
      <c r="A388" s="16" t="s">
        <v>152</v>
      </c>
      <c r="B388" s="49">
        <v>795</v>
      </c>
      <c r="C388" s="15" t="s">
        <v>53</v>
      </c>
      <c r="D388" s="15" t="s">
        <v>120</v>
      </c>
      <c r="E388" s="15" t="s">
        <v>45</v>
      </c>
      <c r="F388" s="15" t="s">
        <v>153</v>
      </c>
      <c r="G388" s="70">
        <f>G389</f>
        <v>0</v>
      </c>
      <c r="H388" s="27">
        <v>0</v>
      </c>
      <c r="I388" s="27">
        <v>0</v>
      </c>
      <c r="J388" s="1"/>
    </row>
    <row r="389" spans="1:20" ht="16.5" hidden="1" customHeight="1">
      <c r="A389" s="16" t="s">
        <v>172</v>
      </c>
      <c r="B389" s="49">
        <v>795</v>
      </c>
      <c r="C389" s="15" t="s">
        <v>53</v>
      </c>
      <c r="D389" s="15" t="s">
        <v>120</v>
      </c>
      <c r="E389" s="15" t="s">
        <v>45</v>
      </c>
      <c r="F389" s="15" t="s">
        <v>173</v>
      </c>
      <c r="G389" s="70">
        <f>прил4!G2942</f>
        <v>0</v>
      </c>
      <c r="H389" s="27">
        <v>0</v>
      </c>
      <c r="I389" s="27">
        <v>0</v>
      </c>
      <c r="J389" s="1"/>
    </row>
    <row r="390" spans="1:20" ht="62.25" hidden="1" customHeight="1">
      <c r="A390" s="16" t="s">
        <v>678</v>
      </c>
      <c r="B390" s="49">
        <v>795</v>
      </c>
      <c r="C390" s="15" t="s">
        <v>53</v>
      </c>
      <c r="D390" s="15" t="s">
        <v>120</v>
      </c>
      <c r="E390" s="15" t="s">
        <v>677</v>
      </c>
      <c r="F390" s="15"/>
      <c r="G390" s="70">
        <f>G391</f>
        <v>0</v>
      </c>
      <c r="H390" s="70">
        <f t="shared" ref="H390:I390" si="101">H391+H393+H395</f>
        <v>0</v>
      </c>
      <c r="I390" s="70">
        <f t="shared" si="101"/>
        <v>0</v>
      </c>
      <c r="J390" s="1"/>
      <c r="L390" s="2">
        <f>I365+I370+I394</f>
        <v>0</v>
      </c>
    </row>
    <row r="391" spans="1:20" s="18" customFormat="1" ht="15.75" hidden="1" customHeight="1">
      <c r="A391" s="16" t="s">
        <v>316</v>
      </c>
      <c r="B391" s="49">
        <v>795</v>
      </c>
      <c r="C391" s="15" t="s">
        <v>53</v>
      </c>
      <c r="D391" s="15" t="s">
        <v>120</v>
      </c>
      <c r="E391" s="15" t="s">
        <v>677</v>
      </c>
      <c r="F391" s="15" t="s">
        <v>36</v>
      </c>
      <c r="G391" s="70">
        <f>G392</f>
        <v>0</v>
      </c>
      <c r="H391" s="119">
        <v>0</v>
      </c>
      <c r="I391" s="119">
        <v>0</v>
      </c>
      <c r="J391" s="116"/>
      <c r="P391" s="17"/>
      <c r="Q391" s="17"/>
      <c r="R391" s="17"/>
      <c r="S391" s="17"/>
      <c r="T391" s="17"/>
    </row>
    <row r="392" spans="1:20" s="18" customFormat="1" ht="35.25" hidden="1" customHeight="1">
      <c r="A392" s="16" t="s">
        <v>37</v>
      </c>
      <c r="B392" s="49">
        <v>795</v>
      </c>
      <c r="C392" s="15" t="s">
        <v>53</v>
      </c>
      <c r="D392" s="15" t="s">
        <v>120</v>
      </c>
      <c r="E392" s="15" t="s">
        <v>677</v>
      </c>
      <c r="F392" s="15" t="s">
        <v>38</v>
      </c>
      <c r="G392" s="70"/>
      <c r="H392" s="119"/>
      <c r="I392" s="119"/>
      <c r="J392" s="116"/>
      <c r="P392" s="17"/>
      <c r="Q392" s="17"/>
      <c r="R392" s="17"/>
      <c r="S392" s="17"/>
      <c r="T392" s="17"/>
    </row>
    <row r="393" spans="1:20" ht="68.25" hidden="1" customHeight="1">
      <c r="A393" s="16" t="s">
        <v>409</v>
      </c>
      <c r="B393" s="49">
        <v>795</v>
      </c>
      <c r="C393" s="15" t="s">
        <v>53</v>
      </c>
      <c r="D393" s="15" t="s">
        <v>120</v>
      </c>
      <c r="E393" s="15" t="s">
        <v>9</v>
      </c>
      <c r="F393" s="15"/>
      <c r="G393" s="70">
        <f>G394</f>
        <v>0</v>
      </c>
      <c r="H393" s="27">
        <v>0</v>
      </c>
      <c r="I393" s="27">
        <v>0</v>
      </c>
      <c r="J393" s="1"/>
    </row>
    <row r="394" spans="1:20" ht="22.5" hidden="1" customHeight="1">
      <c r="A394" s="16" t="s">
        <v>152</v>
      </c>
      <c r="B394" s="49">
        <v>795</v>
      </c>
      <c r="C394" s="15" t="s">
        <v>53</v>
      </c>
      <c r="D394" s="15" t="s">
        <v>120</v>
      </c>
      <c r="E394" s="15" t="s">
        <v>9</v>
      </c>
      <c r="F394" s="15" t="s">
        <v>153</v>
      </c>
      <c r="G394" s="70">
        <f>G395</f>
        <v>0</v>
      </c>
      <c r="H394" s="27">
        <v>0</v>
      </c>
      <c r="I394" s="27">
        <v>0</v>
      </c>
      <c r="J394" s="1"/>
    </row>
    <row r="395" spans="1:20" ht="16.5" hidden="1" customHeight="1">
      <c r="A395" s="16" t="s">
        <v>172</v>
      </c>
      <c r="B395" s="49">
        <v>795</v>
      </c>
      <c r="C395" s="15" t="s">
        <v>53</v>
      </c>
      <c r="D395" s="15" t="s">
        <v>120</v>
      </c>
      <c r="E395" s="15" t="s">
        <v>9</v>
      </c>
      <c r="F395" s="15" t="s">
        <v>173</v>
      </c>
      <c r="G395" s="70">
        <f>прил4!G2948</f>
        <v>0</v>
      </c>
      <c r="H395" s="27">
        <v>0</v>
      </c>
      <c r="I395" s="27">
        <v>0</v>
      </c>
      <c r="J395" s="1"/>
    </row>
    <row r="396" spans="1:20" ht="77.25" hidden="1" customHeight="1">
      <c r="A396" s="16" t="s">
        <v>564</v>
      </c>
      <c r="B396" s="49">
        <v>795</v>
      </c>
      <c r="C396" s="15" t="s">
        <v>53</v>
      </c>
      <c r="D396" s="15" t="s">
        <v>120</v>
      </c>
      <c r="E396" s="15" t="s">
        <v>563</v>
      </c>
      <c r="F396" s="15"/>
      <c r="G396" s="70">
        <f>G397</f>
        <v>0</v>
      </c>
      <c r="H396" s="27">
        <v>0</v>
      </c>
      <c r="I396" s="27">
        <v>0</v>
      </c>
      <c r="J396" s="1"/>
    </row>
    <row r="397" spans="1:20" ht="22.5" hidden="1" customHeight="1">
      <c r="A397" s="16" t="s">
        <v>152</v>
      </c>
      <c r="B397" s="49">
        <v>795</v>
      </c>
      <c r="C397" s="15" t="s">
        <v>53</v>
      </c>
      <c r="D397" s="15" t="s">
        <v>120</v>
      </c>
      <c r="E397" s="15" t="s">
        <v>563</v>
      </c>
      <c r="F397" s="15" t="s">
        <v>153</v>
      </c>
      <c r="G397" s="70">
        <f>G398</f>
        <v>0</v>
      </c>
      <c r="H397" s="27">
        <v>0</v>
      </c>
      <c r="I397" s="27">
        <v>0</v>
      </c>
      <c r="J397" s="1"/>
    </row>
    <row r="398" spans="1:20" ht="16.5" hidden="1" customHeight="1">
      <c r="A398" s="16" t="s">
        <v>164</v>
      </c>
      <c r="B398" s="49">
        <v>795</v>
      </c>
      <c r="C398" s="15" t="s">
        <v>53</v>
      </c>
      <c r="D398" s="15" t="s">
        <v>120</v>
      </c>
      <c r="E398" s="15" t="s">
        <v>563</v>
      </c>
      <c r="F398" s="15" t="s">
        <v>165</v>
      </c>
      <c r="G398" s="70"/>
      <c r="H398" s="27">
        <v>0</v>
      </c>
      <c r="I398" s="27">
        <v>0</v>
      </c>
      <c r="J398" s="1"/>
    </row>
    <row r="399" spans="1:20" ht="48" hidden="1" customHeight="1">
      <c r="A399" s="16" t="s">
        <v>578</v>
      </c>
      <c r="B399" s="49">
        <v>795</v>
      </c>
      <c r="C399" s="15" t="s">
        <v>53</v>
      </c>
      <c r="D399" s="15" t="s">
        <v>120</v>
      </c>
      <c r="E399" s="84" t="s">
        <v>577</v>
      </c>
      <c r="F399" s="15"/>
      <c r="G399" s="70">
        <f>G400</f>
        <v>0</v>
      </c>
      <c r="H399" s="70">
        <v>0</v>
      </c>
      <c r="I399" s="70">
        <v>0</v>
      </c>
      <c r="J399" s="1"/>
    </row>
    <row r="400" spans="1:20" ht="22.5" hidden="1" customHeight="1">
      <c r="A400" s="16" t="s">
        <v>152</v>
      </c>
      <c r="B400" s="49">
        <v>795</v>
      </c>
      <c r="C400" s="15" t="s">
        <v>53</v>
      </c>
      <c r="D400" s="15" t="s">
        <v>120</v>
      </c>
      <c r="E400" s="15" t="s">
        <v>577</v>
      </c>
      <c r="F400" s="15" t="s">
        <v>153</v>
      </c>
      <c r="G400" s="70">
        <f>G401</f>
        <v>0</v>
      </c>
      <c r="H400" s="70">
        <v>0</v>
      </c>
      <c r="I400" s="70">
        <v>0</v>
      </c>
      <c r="J400" s="1"/>
    </row>
    <row r="401" spans="1:20" ht="16.5" hidden="1" customHeight="1">
      <c r="A401" s="16" t="s">
        <v>164</v>
      </c>
      <c r="B401" s="49">
        <v>795</v>
      </c>
      <c r="C401" s="15" t="s">
        <v>53</v>
      </c>
      <c r="D401" s="15" t="s">
        <v>120</v>
      </c>
      <c r="E401" s="15" t="s">
        <v>577</v>
      </c>
      <c r="F401" s="15" t="s">
        <v>165</v>
      </c>
      <c r="G401" s="70"/>
      <c r="H401" s="70">
        <v>0</v>
      </c>
      <c r="I401" s="70">
        <v>0</v>
      </c>
      <c r="J401" s="1"/>
    </row>
    <row r="402" spans="1:20" ht="63" hidden="1" customHeight="1">
      <c r="A402" s="16" t="s">
        <v>629</v>
      </c>
      <c r="B402" s="49">
        <v>795</v>
      </c>
      <c r="C402" s="15" t="s">
        <v>53</v>
      </c>
      <c r="D402" s="15" t="s">
        <v>120</v>
      </c>
      <c r="E402" s="15" t="s">
        <v>293</v>
      </c>
      <c r="F402" s="15"/>
      <c r="G402" s="70">
        <f>G403</f>
        <v>0</v>
      </c>
      <c r="H402" s="70"/>
      <c r="I402" s="70"/>
      <c r="J402" s="1"/>
    </row>
    <row r="403" spans="1:20" ht="16.5" hidden="1" customHeight="1">
      <c r="A403" s="16" t="s">
        <v>316</v>
      </c>
      <c r="B403" s="49">
        <v>795</v>
      </c>
      <c r="C403" s="15" t="s">
        <v>53</v>
      </c>
      <c r="D403" s="15" t="s">
        <v>120</v>
      </c>
      <c r="E403" s="15" t="s">
        <v>293</v>
      </c>
      <c r="F403" s="15" t="s">
        <v>36</v>
      </c>
      <c r="G403" s="70">
        <f>G404</f>
        <v>0</v>
      </c>
      <c r="H403" s="70"/>
      <c r="I403" s="70"/>
      <c r="J403" s="1"/>
    </row>
    <row r="404" spans="1:20" ht="28.5" hidden="1" customHeight="1">
      <c r="A404" s="16" t="s">
        <v>37</v>
      </c>
      <c r="B404" s="49">
        <v>795</v>
      </c>
      <c r="C404" s="15" t="s">
        <v>53</v>
      </c>
      <c r="D404" s="15" t="s">
        <v>120</v>
      </c>
      <c r="E404" s="15" t="s">
        <v>293</v>
      </c>
      <c r="F404" s="15" t="s">
        <v>38</v>
      </c>
      <c r="G404" s="70">
        <f>прил4!G2951</f>
        <v>0</v>
      </c>
      <c r="H404" s="70"/>
      <c r="I404" s="70"/>
      <c r="J404" s="1"/>
    </row>
    <row r="405" spans="1:20" s="18" customFormat="1" ht="76.5" hidden="1" customHeight="1">
      <c r="A405" s="50" t="s">
        <v>639</v>
      </c>
      <c r="B405" s="49">
        <v>795</v>
      </c>
      <c r="C405" s="15" t="s">
        <v>53</v>
      </c>
      <c r="D405" s="15" t="s">
        <v>120</v>
      </c>
      <c r="E405" s="15" t="s">
        <v>668</v>
      </c>
      <c r="F405" s="15"/>
      <c r="G405" s="70">
        <f t="shared" ref="G405:I406" si="102">G406</f>
        <v>0</v>
      </c>
      <c r="H405" s="70">
        <f t="shared" si="102"/>
        <v>0</v>
      </c>
      <c r="I405" s="70">
        <f t="shared" si="102"/>
        <v>0</v>
      </c>
      <c r="P405" s="17"/>
      <c r="Q405" s="17"/>
      <c r="R405" s="17"/>
      <c r="S405" s="17"/>
      <c r="T405" s="17"/>
    </row>
    <row r="406" spans="1:20" s="18" customFormat="1" ht="15" hidden="1" customHeight="1">
      <c r="A406" s="16" t="s">
        <v>316</v>
      </c>
      <c r="B406" s="49">
        <v>795</v>
      </c>
      <c r="C406" s="15" t="s">
        <v>53</v>
      </c>
      <c r="D406" s="15" t="s">
        <v>120</v>
      </c>
      <c r="E406" s="15" t="s">
        <v>668</v>
      </c>
      <c r="F406" s="15" t="s">
        <v>36</v>
      </c>
      <c r="G406" s="70">
        <f t="shared" si="102"/>
        <v>0</v>
      </c>
      <c r="H406" s="70">
        <f t="shared" si="102"/>
        <v>0</v>
      </c>
      <c r="I406" s="70">
        <f t="shared" si="102"/>
        <v>0</v>
      </c>
      <c r="P406" s="17"/>
      <c r="Q406" s="17"/>
      <c r="R406" s="17"/>
      <c r="S406" s="17"/>
      <c r="T406" s="17"/>
    </row>
    <row r="407" spans="1:20" s="18" customFormat="1" ht="32.25" hidden="1" customHeight="1">
      <c r="A407" s="16" t="s">
        <v>37</v>
      </c>
      <c r="B407" s="49">
        <v>795</v>
      </c>
      <c r="C407" s="15" t="s">
        <v>53</v>
      </c>
      <c r="D407" s="15" t="s">
        <v>120</v>
      </c>
      <c r="E407" s="15" t="s">
        <v>668</v>
      </c>
      <c r="F407" s="15" t="s">
        <v>38</v>
      </c>
      <c r="G407" s="70">
        <f>прил4!G2954</f>
        <v>0</v>
      </c>
      <c r="H407" s="70">
        <v>0</v>
      </c>
      <c r="I407" s="70">
        <v>0</v>
      </c>
      <c r="J407" s="18" t="s">
        <v>448</v>
      </c>
      <c r="L407" s="18">
        <v>26808448</v>
      </c>
      <c r="P407" s="17"/>
      <c r="Q407" s="17"/>
      <c r="R407" s="17"/>
      <c r="S407" s="17"/>
      <c r="T407" s="17"/>
    </row>
    <row r="408" spans="1:20" ht="87" hidden="1" customHeight="1">
      <c r="A408" s="16" t="s">
        <v>644</v>
      </c>
      <c r="B408" s="49">
        <v>795</v>
      </c>
      <c r="C408" s="15" t="s">
        <v>53</v>
      </c>
      <c r="D408" s="15" t="s">
        <v>120</v>
      </c>
      <c r="E408" s="15" t="s">
        <v>10</v>
      </c>
      <c r="F408" s="15"/>
      <c r="G408" s="70">
        <f>G409+G412+G415</f>
        <v>0</v>
      </c>
      <c r="H408" s="70">
        <f t="shared" ref="H408:I408" si="103">H409+H412+H415</f>
        <v>0</v>
      </c>
      <c r="I408" s="70">
        <f t="shared" si="103"/>
        <v>0</v>
      </c>
      <c r="J408" s="1"/>
    </row>
    <row r="409" spans="1:20" ht="91.5" hidden="1" customHeight="1">
      <c r="A409" s="16" t="s">
        <v>594</v>
      </c>
      <c r="B409" s="49">
        <v>795</v>
      </c>
      <c r="C409" s="15" t="s">
        <v>53</v>
      </c>
      <c r="D409" s="15" t="s">
        <v>120</v>
      </c>
      <c r="E409" s="15" t="s">
        <v>593</v>
      </c>
      <c r="F409" s="15"/>
      <c r="G409" s="70">
        <f>G410</f>
        <v>0</v>
      </c>
      <c r="H409" s="70">
        <v>0</v>
      </c>
      <c r="I409" s="70">
        <v>0</v>
      </c>
      <c r="J409" s="1"/>
    </row>
    <row r="410" spans="1:20" ht="22.5" hidden="1" customHeight="1">
      <c r="A410" s="16" t="s">
        <v>152</v>
      </c>
      <c r="B410" s="49">
        <v>795</v>
      </c>
      <c r="C410" s="15" t="s">
        <v>53</v>
      </c>
      <c r="D410" s="15" t="s">
        <v>120</v>
      </c>
      <c r="E410" s="15" t="s">
        <v>593</v>
      </c>
      <c r="F410" s="15" t="s">
        <v>153</v>
      </c>
      <c r="G410" s="70">
        <f>G411</f>
        <v>0</v>
      </c>
      <c r="H410" s="70">
        <v>0</v>
      </c>
      <c r="I410" s="70">
        <v>0</v>
      </c>
      <c r="J410" s="1"/>
    </row>
    <row r="411" spans="1:20" ht="16.5" hidden="1" customHeight="1">
      <c r="A411" s="16" t="s">
        <v>164</v>
      </c>
      <c r="B411" s="49">
        <v>795</v>
      </c>
      <c r="C411" s="15" t="s">
        <v>53</v>
      </c>
      <c r="D411" s="15" t="s">
        <v>120</v>
      </c>
      <c r="E411" s="15" t="s">
        <v>593</v>
      </c>
      <c r="F411" s="15" t="s">
        <v>165</v>
      </c>
      <c r="G411" s="70"/>
      <c r="H411" s="70">
        <v>0</v>
      </c>
      <c r="I411" s="70">
        <v>0</v>
      </c>
      <c r="J411" s="1"/>
    </row>
    <row r="412" spans="1:20" ht="48" hidden="1" customHeight="1">
      <c r="A412" s="16" t="s">
        <v>578</v>
      </c>
      <c r="B412" s="49">
        <v>795</v>
      </c>
      <c r="C412" s="15" t="s">
        <v>53</v>
      </c>
      <c r="D412" s="15" t="s">
        <v>120</v>
      </c>
      <c r="E412" s="15" t="s">
        <v>393</v>
      </c>
      <c r="F412" s="15"/>
      <c r="G412" s="70">
        <f>G413</f>
        <v>0</v>
      </c>
      <c r="H412" s="70">
        <v>0</v>
      </c>
      <c r="I412" s="70">
        <v>0</v>
      </c>
      <c r="J412" s="1"/>
    </row>
    <row r="413" spans="1:20" ht="22.5" hidden="1" customHeight="1">
      <c r="A413" s="16" t="s">
        <v>152</v>
      </c>
      <c r="B413" s="49">
        <v>795</v>
      </c>
      <c r="C413" s="15" t="s">
        <v>53</v>
      </c>
      <c r="D413" s="15" t="s">
        <v>120</v>
      </c>
      <c r="E413" s="15" t="s">
        <v>393</v>
      </c>
      <c r="F413" s="15" t="s">
        <v>153</v>
      </c>
      <c r="G413" s="70">
        <f>G414</f>
        <v>0</v>
      </c>
      <c r="H413" s="70">
        <v>0</v>
      </c>
      <c r="I413" s="70">
        <v>0</v>
      </c>
      <c r="J413" s="1"/>
    </row>
    <row r="414" spans="1:20" ht="16.5" hidden="1" customHeight="1">
      <c r="A414" s="16" t="s">
        <v>164</v>
      </c>
      <c r="B414" s="49">
        <v>795</v>
      </c>
      <c r="C414" s="15" t="s">
        <v>53</v>
      </c>
      <c r="D414" s="15" t="s">
        <v>120</v>
      </c>
      <c r="E414" s="15" t="s">
        <v>393</v>
      </c>
      <c r="F414" s="15" t="s">
        <v>165</v>
      </c>
      <c r="G414" s="70"/>
      <c r="H414" s="70">
        <v>0</v>
      </c>
      <c r="I414" s="70">
        <v>0</v>
      </c>
      <c r="J414" s="1"/>
    </row>
    <row r="415" spans="1:20" s="18" customFormat="1" ht="96" hidden="1" customHeight="1">
      <c r="A415" s="80" t="s">
        <v>645</v>
      </c>
      <c r="B415" s="49">
        <v>795</v>
      </c>
      <c r="C415" s="15" t="s">
        <v>53</v>
      </c>
      <c r="D415" s="15" t="s">
        <v>120</v>
      </c>
      <c r="E415" s="15" t="s">
        <v>595</v>
      </c>
      <c r="F415" s="15"/>
      <c r="G415" s="70">
        <f>G416+G418</f>
        <v>0</v>
      </c>
      <c r="H415" s="70">
        <f>H418+H416</f>
        <v>0</v>
      </c>
      <c r="I415" s="70">
        <f>I418+I416</f>
        <v>0</v>
      </c>
      <c r="P415" s="17"/>
      <c r="Q415" s="17"/>
      <c r="R415" s="17"/>
      <c r="S415" s="17"/>
      <c r="T415" s="17"/>
    </row>
    <row r="416" spans="1:20" s="18" customFormat="1" ht="24.75" hidden="1" customHeight="1">
      <c r="A416" s="16" t="s">
        <v>316</v>
      </c>
      <c r="B416" s="49">
        <v>795</v>
      </c>
      <c r="C416" s="15" t="s">
        <v>53</v>
      </c>
      <c r="D416" s="15" t="s">
        <v>120</v>
      </c>
      <c r="E416" s="15" t="s">
        <v>595</v>
      </c>
      <c r="F416" s="15" t="s">
        <v>36</v>
      </c>
      <c r="G416" s="70">
        <f t="shared" ref="G416:I416" si="104">G417</f>
        <v>0</v>
      </c>
      <c r="H416" s="70">
        <f t="shared" si="104"/>
        <v>0</v>
      </c>
      <c r="I416" s="70">
        <f t="shared" si="104"/>
        <v>0</v>
      </c>
      <c r="P416" s="17"/>
      <c r="Q416" s="17"/>
      <c r="R416" s="17"/>
      <c r="S416" s="17"/>
      <c r="T416" s="17"/>
    </row>
    <row r="417" spans="1:20" s="18" customFormat="1" ht="30.75" hidden="1" customHeight="1">
      <c r="A417" s="16" t="s">
        <v>37</v>
      </c>
      <c r="B417" s="49">
        <v>795</v>
      </c>
      <c r="C417" s="15" t="s">
        <v>53</v>
      </c>
      <c r="D417" s="15" t="s">
        <v>120</v>
      </c>
      <c r="E417" s="15" t="s">
        <v>595</v>
      </c>
      <c r="F417" s="15" t="s">
        <v>38</v>
      </c>
      <c r="G417" s="70"/>
      <c r="H417" s="70"/>
      <c r="I417" s="70"/>
      <c r="P417" s="17"/>
      <c r="Q417" s="17"/>
      <c r="R417" s="17"/>
      <c r="S417" s="17"/>
      <c r="T417" s="17"/>
    </row>
    <row r="418" spans="1:20" s="90" customFormat="1" ht="22.5" hidden="1" customHeight="1">
      <c r="A418" s="82" t="s">
        <v>152</v>
      </c>
      <c r="B418" s="83">
        <v>795</v>
      </c>
      <c r="C418" s="84" t="s">
        <v>53</v>
      </c>
      <c r="D418" s="84" t="s">
        <v>120</v>
      </c>
      <c r="E418" s="84" t="s">
        <v>595</v>
      </c>
      <c r="F418" s="84" t="s">
        <v>153</v>
      </c>
      <c r="G418" s="87">
        <f>G419</f>
        <v>0</v>
      </c>
      <c r="H418" s="87">
        <f t="shared" ref="H418:I418" si="105">H419</f>
        <v>0</v>
      </c>
      <c r="I418" s="87">
        <f t="shared" si="105"/>
        <v>0</v>
      </c>
      <c r="P418" s="123"/>
      <c r="Q418" s="123"/>
      <c r="R418" s="123"/>
      <c r="S418" s="123"/>
      <c r="T418" s="123"/>
    </row>
    <row r="419" spans="1:20" s="90" customFormat="1" ht="16.5" hidden="1" customHeight="1">
      <c r="A419" s="82" t="s">
        <v>172</v>
      </c>
      <c r="B419" s="83">
        <v>795</v>
      </c>
      <c r="C419" s="84" t="s">
        <v>53</v>
      </c>
      <c r="D419" s="84" t="s">
        <v>120</v>
      </c>
      <c r="E419" s="84" t="s">
        <v>595</v>
      </c>
      <c r="F419" s="84" t="s">
        <v>173</v>
      </c>
      <c r="G419" s="87">
        <f>прил4!G2966</f>
        <v>0</v>
      </c>
      <c r="H419" s="124">
        <f>прил4!H2966</f>
        <v>0</v>
      </c>
      <c r="I419" s="124">
        <f>прил4!I2966</f>
        <v>0</v>
      </c>
      <c r="P419" s="123"/>
      <c r="Q419" s="123"/>
      <c r="R419" s="123"/>
      <c r="S419" s="123"/>
      <c r="T419" s="123"/>
    </row>
    <row r="420" spans="1:20" s="90" customFormat="1" ht="47.4" customHeight="1">
      <c r="A420" s="16" t="s">
        <v>999</v>
      </c>
      <c r="B420" s="83"/>
      <c r="C420" s="84"/>
      <c r="D420" s="84"/>
      <c r="E420" s="15" t="s">
        <v>1330</v>
      </c>
      <c r="F420" s="15"/>
      <c r="G420" s="87">
        <f>G421</f>
        <v>9505828.3399999999</v>
      </c>
      <c r="H420" s="124"/>
      <c r="I420" s="124"/>
      <c r="P420" s="123"/>
      <c r="Q420" s="123"/>
      <c r="R420" s="123"/>
      <c r="S420" s="123"/>
      <c r="T420" s="123"/>
    </row>
    <row r="421" spans="1:20" s="90" customFormat="1" ht="16.5" customHeight="1">
      <c r="A421" s="82" t="s">
        <v>439</v>
      </c>
      <c r="B421" s="83"/>
      <c r="C421" s="84"/>
      <c r="D421" s="84"/>
      <c r="E421" s="15" t="s">
        <v>1330</v>
      </c>
      <c r="F421" s="15" t="s">
        <v>36</v>
      </c>
      <c r="G421" s="87">
        <f>G422</f>
        <v>9505828.3399999999</v>
      </c>
      <c r="H421" s="124"/>
      <c r="I421" s="124"/>
      <c r="P421" s="123"/>
      <c r="Q421" s="123"/>
      <c r="R421" s="123"/>
      <c r="S421" s="123"/>
      <c r="T421" s="123"/>
    </row>
    <row r="422" spans="1:20" s="90" customFormat="1" ht="16.5" customHeight="1">
      <c r="A422" s="82" t="s">
        <v>37</v>
      </c>
      <c r="B422" s="83"/>
      <c r="C422" s="84"/>
      <c r="D422" s="84"/>
      <c r="E422" s="15" t="s">
        <v>1330</v>
      </c>
      <c r="F422" s="15" t="s">
        <v>38</v>
      </c>
      <c r="G422" s="87">
        <f>прил4!G1920</f>
        <v>9505828.3399999999</v>
      </c>
      <c r="H422" s="124"/>
      <c r="I422" s="124"/>
      <c r="P422" s="123"/>
      <c r="Q422" s="123"/>
      <c r="R422" s="123"/>
      <c r="S422" s="123"/>
      <c r="T422" s="123"/>
    </row>
    <row r="423" spans="1:20" s="18" customFormat="1" ht="86.25" hidden="1" customHeight="1">
      <c r="A423" s="16" t="s">
        <v>935</v>
      </c>
      <c r="B423" s="14">
        <v>793</v>
      </c>
      <c r="C423" s="15" t="s">
        <v>53</v>
      </c>
      <c r="D423" s="15" t="s">
        <v>120</v>
      </c>
      <c r="E423" s="15" t="s">
        <v>934</v>
      </c>
      <c r="F423" s="15"/>
      <c r="G423" s="70">
        <f>G424</f>
        <v>0</v>
      </c>
      <c r="H423" s="70">
        <f t="shared" ref="H423:I423" si="106">H424+H429</f>
        <v>0</v>
      </c>
      <c r="I423" s="70">
        <f t="shared" si="106"/>
        <v>0</v>
      </c>
      <c r="J423" s="172"/>
      <c r="K423" s="180"/>
      <c r="L423" s="180"/>
      <c r="M423" s="180"/>
      <c r="N423" s="180"/>
      <c r="O423" s="180"/>
      <c r="P423" s="180"/>
      <c r="Q423" s="180"/>
      <c r="R423" s="180"/>
    </row>
    <row r="424" spans="1:20" s="18" customFormat="1" ht="76.5" hidden="1" customHeight="1">
      <c r="A424" s="16" t="s">
        <v>935</v>
      </c>
      <c r="B424" s="14">
        <v>793</v>
      </c>
      <c r="C424" s="15" t="s">
        <v>53</v>
      </c>
      <c r="D424" s="15" t="s">
        <v>120</v>
      </c>
      <c r="E424" s="15" t="s">
        <v>938</v>
      </c>
      <c r="F424" s="15"/>
      <c r="G424" s="70">
        <f>G425+G427</f>
        <v>0</v>
      </c>
      <c r="H424" s="70">
        <f t="shared" ref="G424:I427" si="107">H425</f>
        <v>0</v>
      </c>
      <c r="I424" s="70">
        <f t="shared" si="107"/>
        <v>0</v>
      </c>
      <c r="J424" s="172"/>
      <c r="K424" s="180"/>
      <c r="L424" s="180"/>
      <c r="M424" s="180"/>
      <c r="N424" s="180"/>
      <c r="O424" s="180"/>
      <c r="P424" s="180"/>
      <c r="Q424" s="180"/>
      <c r="R424" s="180"/>
    </row>
    <row r="425" spans="1:20" s="18" customFormat="1" ht="15" hidden="1" customHeight="1">
      <c r="A425" s="16" t="s">
        <v>152</v>
      </c>
      <c r="B425" s="14">
        <v>793</v>
      </c>
      <c r="C425" s="15" t="s">
        <v>53</v>
      </c>
      <c r="D425" s="15" t="s">
        <v>120</v>
      </c>
      <c r="E425" s="15" t="s">
        <v>938</v>
      </c>
      <c r="F425" s="15" t="s">
        <v>153</v>
      </c>
      <c r="G425" s="70">
        <f t="shared" si="107"/>
        <v>0</v>
      </c>
      <c r="H425" s="70">
        <f t="shared" si="107"/>
        <v>0</v>
      </c>
      <c r="I425" s="70">
        <f t="shared" si="107"/>
        <v>0</v>
      </c>
      <c r="J425" s="172"/>
      <c r="K425" s="180"/>
      <c r="L425" s="180"/>
      <c r="M425" s="180"/>
      <c r="N425" s="180"/>
      <c r="O425" s="180"/>
      <c r="P425" s="180"/>
      <c r="Q425" s="180"/>
      <c r="R425" s="180"/>
    </row>
    <row r="426" spans="1:20" s="18" customFormat="1" ht="32.25" hidden="1" customHeight="1">
      <c r="A426" s="16" t="s">
        <v>172</v>
      </c>
      <c r="B426" s="14">
        <v>793</v>
      </c>
      <c r="C426" s="15" t="s">
        <v>53</v>
      </c>
      <c r="D426" s="15" t="s">
        <v>120</v>
      </c>
      <c r="E426" s="15" t="s">
        <v>938</v>
      </c>
      <c r="F426" s="15" t="s">
        <v>173</v>
      </c>
      <c r="G426" s="70">
        <f>прил4!G3216</f>
        <v>0</v>
      </c>
      <c r="H426" s="70">
        <f>прил4!H3216</f>
        <v>0</v>
      </c>
      <c r="I426" s="70">
        <f>прил4!I3216</f>
        <v>0</v>
      </c>
      <c r="J426" s="172"/>
      <c r="K426" s="180"/>
      <c r="L426" s="180"/>
      <c r="M426" s="180"/>
      <c r="N426" s="180"/>
      <c r="O426" s="180"/>
      <c r="P426" s="180"/>
      <c r="Q426" s="180"/>
      <c r="R426" s="180"/>
    </row>
    <row r="427" spans="1:20" s="18" customFormat="1" ht="15" hidden="1" customHeight="1">
      <c r="A427" s="16" t="s">
        <v>316</v>
      </c>
      <c r="B427" s="14">
        <v>793</v>
      </c>
      <c r="C427" s="15" t="s">
        <v>53</v>
      </c>
      <c r="D427" s="15" t="s">
        <v>120</v>
      </c>
      <c r="E427" s="15" t="s">
        <v>938</v>
      </c>
      <c r="F427" s="15" t="s">
        <v>36</v>
      </c>
      <c r="G427" s="70">
        <f t="shared" si="107"/>
        <v>0</v>
      </c>
      <c r="H427" s="70">
        <f t="shared" si="107"/>
        <v>0</v>
      </c>
      <c r="I427" s="70">
        <f t="shared" si="107"/>
        <v>0</v>
      </c>
      <c r="J427" s="172"/>
      <c r="K427" s="180"/>
      <c r="L427" s="180"/>
      <c r="M427" s="180"/>
      <c r="N427" s="180"/>
      <c r="O427" s="180"/>
      <c r="P427" s="180"/>
      <c r="Q427" s="180"/>
      <c r="R427" s="180"/>
    </row>
    <row r="428" spans="1:20" s="18" customFormat="1" ht="32.25" hidden="1" customHeight="1">
      <c r="A428" s="16" t="s">
        <v>37</v>
      </c>
      <c r="B428" s="14">
        <v>793</v>
      </c>
      <c r="C428" s="15" t="s">
        <v>53</v>
      </c>
      <c r="D428" s="15" t="s">
        <v>120</v>
      </c>
      <c r="E428" s="15" t="s">
        <v>938</v>
      </c>
      <c r="F428" s="15" t="s">
        <v>38</v>
      </c>
      <c r="G428" s="70">
        <f>прил4!G3214</f>
        <v>0</v>
      </c>
      <c r="H428" s="70">
        <f>прил4!H3214</f>
        <v>0</v>
      </c>
      <c r="I428" s="70">
        <f>прил4!I3214</f>
        <v>0</v>
      </c>
      <c r="J428" s="172"/>
      <c r="K428" s="180"/>
      <c r="L428" s="180"/>
      <c r="M428" s="180"/>
      <c r="N428" s="180"/>
      <c r="O428" s="180"/>
      <c r="P428" s="180"/>
      <c r="Q428" s="180"/>
      <c r="R428" s="180"/>
    </row>
    <row r="429" spans="1:20" s="18" customFormat="1" ht="86.25" hidden="1" customHeight="1">
      <c r="A429" s="16" t="s">
        <v>936</v>
      </c>
      <c r="B429" s="14">
        <v>793</v>
      </c>
      <c r="C429" s="15" t="s">
        <v>53</v>
      </c>
      <c r="D429" s="15" t="s">
        <v>120</v>
      </c>
      <c r="E429" s="15" t="s">
        <v>10</v>
      </c>
      <c r="F429" s="15"/>
      <c r="G429" s="70">
        <f>G430</f>
        <v>0</v>
      </c>
      <c r="H429" s="70">
        <f t="shared" ref="H429:I429" si="108">H430</f>
        <v>0</v>
      </c>
      <c r="I429" s="70">
        <f t="shared" si="108"/>
        <v>0</v>
      </c>
      <c r="J429" s="172"/>
      <c r="K429" s="180"/>
      <c r="L429" s="180"/>
      <c r="M429" s="180"/>
      <c r="N429" s="180"/>
      <c r="O429" s="180"/>
      <c r="P429" s="180"/>
      <c r="Q429" s="180"/>
      <c r="R429" s="180"/>
    </row>
    <row r="430" spans="1:20" s="18" customFormat="1" ht="76.5" hidden="1" customHeight="1">
      <c r="A430" s="16" t="s">
        <v>936</v>
      </c>
      <c r="B430" s="14">
        <v>793</v>
      </c>
      <c r="C430" s="15" t="s">
        <v>53</v>
      </c>
      <c r="D430" s="15" t="s">
        <v>120</v>
      </c>
      <c r="E430" s="15" t="s">
        <v>937</v>
      </c>
      <c r="F430" s="15"/>
      <c r="G430" s="70">
        <f>G432+G434</f>
        <v>0</v>
      </c>
      <c r="H430" s="70">
        <f t="shared" ref="G430:I431" si="109">H431</f>
        <v>0</v>
      </c>
      <c r="I430" s="70">
        <f t="shared" si="109"/>
        <v>0</v>
      </c>
      <c r="J430" s="172"/>
      <c r="K430" s="180"/>
      <c r="L430" s="180"/>
      <c r="M430" s="180"/>
      <c r="N430" s="180"/>
      <c r="O430" s="180"/>
      <c r="P430" s="180"/>
      <c r="Q430" s="180"/>
      <c r="R430" s="180"/>
    </row>
    <row r="431" spans="1:20" s="18" customFormat="1" ht="15" hidden="1" customHeight="1">
      <c r="A431" s="16" t="s">
        <v>152</v>
      </c>
      <c r="B431" s="14">
        <v>793</v>
      </c>
      <c r="C431" s="15" t="s">
        <v>53</v>
      </c>
      <c r="D431" s="15" t="s">
        <v>120</v>
      </c>
      <c r="E431" s="15" t="s">
        <v>937</v>
      </c>
      <c r="F431" s="15" t="s">
        <v>153</v>
      </c>
      <c r="G431" s="70">
        <f t="shared" si="109"/>
        <v>0</v>
      </c>
      <c r="H431" s="70">
        <f t="shared" si="109"/>
        <v>0</v>
      </c>
      <c r="I431" s="70">
        <f t="shared" si="109"/>
        <v>0</v>
      </c>
      <c r="J431" s="172"/>
      <c r="K431" s="180"/>
      <c r="L431" s="180"/>
      <c r="M431" s="180"/>
      <c r="N431" s="180"/>
      <c r="O431" s="180"/>
      <c r="P431" s="180"/>
      <c r="Q431" s="180"/>
      <c r="R431" s="180"/>
    </row>
    <row r="432" spans="1:20" s="18" customFormat="1" ht="32.25" hidden="1" customHeight="1">
      <c r="A432" s="16" t="s">
        <v>172</v>
      </c>
      <c r="B432" s="14">
        <v>793</v>
      </c>
      <c r="C432" s="15" t="s">
        <v>53</v>
      </c>
      <c r="D432" s="15" t="s">
        <v>120</v>
      </c>
      <c r="E432" s="15" t="s">
        <v>937</v>
      </c>
      <c r="F432" s="15" t="s">
        <v>173</v>
      </c>
      <c r="G432" s="70">
        <f>прил4!G3222</f>
        <v>0</v>
      </c>
      <c r="H432" s="70">
        <f>прил4!H3222</f>
        <v>0</v>
      </c>
      <c r="I432" s="70">
        <f>прил4!I3222</f>
        <v>0</v>
      </c>
      <c r="J432" s="172"/>
      <c r="K432" s="180"/>
      <c r="L432" s="180"/>
      <c r="M432" s="180"/>
      <c r="N432" s="180"/>
      <c r="O432" s="180"/>
      <c r="P432" s="180"/>
      <c r="Q432" s="180"/>
      <c r="R432" s="180"/>
    </row>
    <row r="433" spans="1:18" s="18" customFormat="1" ht="15" hidden="1" customHeight="1">
      <c r="A433" s="16" t="s">
        <v>316</v>
      </c>
      <c r="B433" s="14">
        <v>793</v>
      </c>
      <c r="C433" s="15" t="s">
        <v>53</v>
      </c>
      <c r="D433" s="15" t="s">
        <v>120</v>
      </c>
      <c r="E433" s="15" t="s">
        <v>937</v>
      </c>
      <c r="F433" s="15" t="s">
        <v>36</v>
      </c>
      <c r="G433" s="70">
        <f t="shared" ref="G433:I433" si="110">G434</f>
        <v>0</v>
      </c>
      <c r="H433" s="70">
        <f t="shared" si="110"/>
        <v>0</v>
      </c>
      <c r="I433" s="70">
        <f t="shared" si="110"/>
        <v>0</v>
      </c>
      <c r="J433" s="172"/>
      <c r="K433" s="180"/>
      <c r="L433" s="180"/>
      <c r="M433" s="180"/>
      <c r="N433" s="180"/>
      <c r="O433" s="180"/>
      <c r="P433" s="180"/>
      <c r="Q433" s="180"/>
      <c r="R433" s="180"/>
    </row>
    <row r="434" spans="1:18" s="18" customFormat="1" ht="32.25" hidden="1" customHeight="1">
      <c r="A434" s="16" t="s">
        <v>37</v>
      </c>
      <c r="B434" s="14">
        <v>793</v>
      </c>
      <c r="C434" s="15" t="s">
        <v>53</v>
      </c>
      <c r="D434" s="15" t="s">
        <v>120</v>
      </c>
      <c r="E434" s="15" t="s">
        <v>937</v>
      </c>
      <c r="F434" s="15" t="s">
        <v>38</v>
      </c>
      <c r="G434" s="70">
        <f>прил4!G3220</f>
        <v>0</v>
      </c>
      <c r="H434" s="70">
        <f>прил4!H3220</f>
        <v>0</v>
      </c>
      <c r="I434" s="70">
        <f>прил4!I3220</f>
        <v>0</v>
      </c>
      <c r="J434" s="172"/>
      <c r="K434" s="180"/>
      <c r="L434" s="180"/>
      <c r="M434" s="180"/>
      <c r="N434" s="180"/>
      <c r="O434" s="180"/>
      <c r="P434" s="180"/>
      <c r="Q434" s="180"/>
      <c r="R434" s="180"/>
    </row>
    <row r="435" spans="1:18" s="18" customFormat="1" ht="102" hidden="1" customHeight="1">
      <c r="A435" s="16" t="s">
        <v>940</v>
      </c>
      <c r="B435" s="14">
        <v>793</v>
      </c>
      <c r="C435" s="15" t="s">
        <v>53</v>
      </c>
      <c r="D435" s="15" t="s">
        <v>120</v>
      </c>
      <c r="E435" s="15" t="s">
        <v>939</v>
      </c>
      <c r="F435" s="15"/>
      <c r="G435" s="70">
        <f>G436</f>
        <v>0</v>
      </c>
      <c r="H435" s="70">
        <f t="shared" ref="H435:I435" si="111">H436+H469</f>
        <v>0</v>
      </c>
      <c r="I435" s="70">
        <f t="shared" si="111"/>
        <v>0</v>
      </c>
      <c r="J435" s="172"/>
      <c r="K435" s="180"/>
      <c r="L435" s="180"/>
      <c r="M435" s="180"/>
      <c r="N435" s="180"/>
      <c r="O435" s="180"/>
      <c r="P435" s="180"/>
      <c r="Q435" s="180"/>
      <c r="R435" s="180"/>
    </row>
    <row r="436" spans="1:18" s="18" customFormat="1" ht="108" hidden="1" customHeight="1">
      <c r="A436" s="16" t="s">
        <v>940</v>
      </c>
      <c r="B436" s="14">
        <v>793</v>
      </c>
      <c r="C436" s="15" t="s">
        <v>53</v>
      </c>
      <c r="D436" s="15" t="s">
        <v>120</v>
      </c>
      <c r="E436" s="15" t="s">
        <v>941</v>
      </c>
      <c r="F436" s="15"/>
      <c r="G436" s="70">
        <f>G437+G464</f>
        <v>0</v>
      </c>
      <c r="H436" s="70">
        <f t="shared" ref="G436:I437" si="112">H437</f>
        <v>0</v>
      </c>
      <c r="I436" s="70">
        <f t="shared" si="112"/>
        <v>0</v>
      </c>
      <c r="J436" s="172"/>
      <c r="K436" s="180"/>
      <c r="L436" s="180"/>
      <c r="M436" s="180"/>
      <c r="N436" s="180"/>
      <c r="O436" s="180"/>
      <c r="P436" s="180"/>
      <c r="Q436" s="180"/>
      <c r="R436" s="180"/>
    </row>
    <row r="437" spans="1:18" s="18" customFormat="1" ht="15" hidden="1" customHeight="1">
      <c r="A437" s="16" t="s">
        <v>152</v>
      </c>
      <c r="B437" s="14">
        <v>793</v>
      </c>
      <c r="C437" s="15" t="s">
        <v>53</v>
      </c>
      <c r="D437" s="15" t="s">
        <v>120</v>
      </c>
      <c r="E437" s="15" t="s">
        <v>941</v>
      </c>
      <c r="F437" s="15" t="s">
        <v>153</v>
      </c>
      <c r="G437" s="70">
        <f t="shared" si="112"/>
        <v>0</v>
      </c>
      <c r="H437" s="70">
        <f t="shared" si="112"/>
        <v>0</v>
      </c>
      <c r="I437" s="70">
        <f t="shared" si="112"/>
        <v>0</v>
      </c>
      <c r="J437" s="172"/>
      <c r="K437" s="180"/>
      <c r="L437" s="180"/>
      <c r="M437" s="180"/>
      <c r="N437" s="180"/>
      <c r="O437" s="180"/>
      <c r="P437" s="180"/>
      <c r="Q437" s="180"/>
      <c r="R437" s="180"/>
    </row>
    <row r="438" spans="1:18" s="18" customFormat="1" ht="32.25" hidden="1" customHeight="1">
      <c r="A438" s="16" t="s">
        <v>172</v>
      </c>
      <c r="B438" s="14">
        <v>793</v>
      </c>
      <c r="C438" s="15" t="s">
        <v>53</v>
      </c>
      <c r="D438" s="15" t="s">
        <v>120</v>
      </c>
      <c r="E438" s="15" t="s">
        <v>941</v>
      </c>
      <c r="F438" s="15" t="s">
        <v>173</v>
      </c>
      <c r="G438" s="70">
        <f>прил4!G3226</f>
        <v>0</v>
      </c>
      <c r="H438" s="70">
        <f>прил4!H3226</f>
        <v>0</v>
      </c>
      <c r="I438" s="70">
        <f>прил4!I3226</f>
        <v>0</v>
      </c>
      <c r="J438" s="172"/>
      <c r="K438" s="180"/>
      <c r="L438" s="180"/>
      <c r="M438" s="180"/>
      <c r="N438" s="180"/>
      <c r="O438" s="180"/>
      <c r="P438" s="180"/>
      <c r="Q438" s="180"/>
      <c r="R438" s="180"/>
    </row>
    <row r="439" spans="1:18" s="18" customFormat="1" ht="32.25" hidden="1" customHeight="1">
      <c r="A439" s="82" t="s">
        <v>963</v>
      </c>
      <c r="B439" s="14"/>
      <c r="C439" s="15"/>
      <c r="D439" s="15"/>
      <c r="E439" s="84" t="s">
        <v>966</v>
      </c>
      <c r="F439" s="15"/>
      <c r="G439" s="70">
        <f>G440</f>
        <v>0</v>
      </c>
      <c r="H439" s="70"/>
      <c r="I439" s="70"/>
      <c r="J439" s="172"/>
      <c r="K439" s="180"/>
      <c r="L439" s="180"/>
      <c r="M439" s="180"/>
      <c r="N439" s="180"/>
      <c r="O439" s="180"/>
      <c r="P439" s="180"/>
      <c r="Q439" s="180"/>
      <c r="R439" s="180"/>
    </row>
    <row r="440" spans="1:18" s="18" customFormat="1" ht="32.25" hidden="1" customHeight="1">
      <c r="A440" s="82" t="s">
        <v>964</v>
      </c>
      <c r="B440" s="14"/>
      <c r="C440" s="15"/>
      <c r="D440" s="15"/>
      <c r="E440" s="84" t="s">
        <v>967</v>
      </c>
      <c r="F440" s="15"/>
      <c r="G440" s="70">
        <f>G441</f>
        <v>0</v>
      </c>
      <c r="H440" s="70"/>
      <c r="I440" s="70"/>
      <c r="J440" s="172"/>
      <c r="K440" s="180"/>
      <c r="L440" s="180"/>
      <c r="M440" s="180"/>
      <c r="N440" s="180"/>
      <c r="O440" s="180"/>
      <c r="P440" s="180"/>
      <c r="Q440" s="180"/>
      <c r="R440" s="180"/>
    </row>
    <row r="441" spans="1:18" s="18" customFormat="1" ht="32.25" hidden="1" customHeight="1">
      <c r="A441" s="16" t="s">
        <v>316</v>
      </c>
      <c r="B441" s="14"/>
      <c r="C441" s="15"/>
      <c r="D441" s="15"/>
      <c r="E441" s="84" t="s">
        <v>967</v>
      </c>
      <c r="F441" s="15" t="s">
        <v>36</v>
      </c>
      <c r="G441" s="70">
        <f>G442</f>
        <v>0</v>
      </c>
      <c r="H441" s="70"/>
      <c r="I441" s="70"/>
      <c r="J441" s="172"/>
      <c r="K441" s="180"/>
      <c r="L441" s="180"/>
      <c r="M441" s="180"/>
      <c r="N441" s="180"/>
      <c r="O441" s="180"/>
      <c r="P441" s="180"/>
      <c r="Q441" s="180"/>
      <c r="R441" s="180"/>
    </row>
    <row r="442" spans="1:18" s="18" customFormat="1" ht="32.25" hidden="1" customHeight="1">
      <c r="A442" s="16" t="s">
        <v>37</v>
      </c>
      <c r="B442" s="14"/>
      <c r="C442" s="15"/>
      <c r="D442" s="15"/>
      <c r="E442" s="84" t="s">
        <v>967</v>
      </c>
      <c r="F442" s="15" t="s">
        <v>38</v>
      </c>
      <c r="G442" s="70">
        <f>прил4!G1960</f>
        <v>0</v>
      </c>
      <c r="H442" s="70">
        <f>прил4!H1960</f>
        <v>0</v>
      </c>
      <c r="I442" s="70">
        <f>прил4!I1960</f>
        <v>0</v>
      </c>
      <c r="J442" s="172"/>
      <c r="K442" s="180"/>
      <c r="L442" s="180"/>
      <c r="M442" s="180"/>
      <c r="N442" s="180"/>
      <c r="O442" s="180"/>
      <c r="P442" s="180"/>
      <c r="Q442" s="180"/>
      <c r="R442" s="180"/>
    </row>
    <row r="443" spans="1:18" s="18" customFormat="1" ht="32.25" hidden="1" customHeight="1">
      <c r="A443" s="82" t="s">
        <v>958</v>
      </c>
      <c r="B443" s="14"/>
      <c r="C443" s="15"/>
      <c r="D443" s="15"/>
      <c r="E443" s="84" t="s">
        <v>968</v>
      </c>
      <c r="F443" s="15"/>
      <c r="G443" s="70">
        <f>G444</f>
        <v>0</v>
      </c>
      <c r="H443" s="70"/>
      <c r="I443" s="70"/>
      <c r="J443" s="172"/>
      <c r="K443" s="180"/>
      <c r="L443" s="180"/>
      <c r="M443" s="180"/>
      <c r="N443" s="180"/>
      <c r="O443" s="180"/>
      <c r="P443" s="180"/>
      <c r="Q443" s="180"/>
      <c r="R443" s="180"/>
    </row>
    <row r="444" spans="1:18" s="18" customFormat="1" ht="32.25" hidden="1" customHeight="1">
      <c r="A444" s="82" t="s">
        <v>960</v>
      </c>
      <c r="B444" s="14"/>
      <c r="C444" s="15"/>
      <c r="D444" s="15"/>
      <c r="E444" s="84" t="s">
        <v>969</v>
      </c>
      <c r="F444" s="15"/>
      <c r="G444" s="70">
        <f>G445</f>
        <v>0</v>
      </c>
      <c r="H444" s="70"/>
      <c r="I444" s="70"/>
      <c r="J444" s="172"/>
      <c r="K444" s="180"/>
      <c r="L444" s="180"/>
      <c r="M444" s="180"/>
      <c r="N444" s="180"/>
      <c r="O444" s="180"/>
      <c r="P444" s="180"/>
      <c r="Q444" s="180"/>
      <c r="R444" s="180"/>
    </row>
    <row r="445" spans="1:18" s="18" customFormat="1" ht="32.25" hidden="1" customHeight="1">
      <c r="A445" s="16" t="s">
        <v>316</v>
      </c>
      <c r="B445" s="14"/>
      <c r="C445" s="15"/>
      <c r="D445" s="15"/>
      <c r="E445" s="84" t="s">
        <v>969</v>
      </c>
      <c r="F445" s="15" t="s">
        <v>36</v>
      </c>
      <c r="G445" s="70">
        <f>G446</f>
        <v>0</v>
      </c>
      <c r="H445" s="70"/>
      <c r="I445" s="70"/>
      <c r="J445" s="172"/>
      <c r="K445" s="180"/>
      <c r="L445" s="180"/>
      <c r="M445" s="180"/>
      <c r="N445" s="180"/>
      <c r="O445" s="180"/>
      <c r="P445" s="180"/>
      <c r="Q445" s="180"/>
      <c r="R445" s="180"/>
    </row>
    <row r="446" spans="1:18" s="18" customFormat="1" ht="32.25" hidden="1" customHeight="1">
      <c r="A446" s="16" t="s">
        <v>37</v>
      </c>
      <c r="B446" s="14"/>
      <c r="C446" s="15"/>
      <c r="D446" s="15"/>
      <c r="E446" s="84" t="s">
        <v>969</v>
      </c>
      <c r="F446" s="15" t="s">
        <v>38</v>
      </c>
      <c r="G446" s="70">
        <f>прил4!G1964</f>
        <v>0</v>
      </c>
      <c r="H446" s="70"/>
      <c r="I446" s="70"/>
      <c r="J446" s="172"/>
      <c r="K446" s="180"/>
      <c r="L446" s="180"/>
      <c r="M446" s="180"/>
      <c r="N446" s="180"/>
      <c r="O446" s="180"/>
      <c r="P446" s="180"/>
      <c r="Q446" s="180"/>
      <c r="R446" s="180"/>
    </row>
    <row r="447" spans="1:18" s="18" customFormat="1" ht="39" customHeight="1">
      <c r="A447" s="82" t="s">
        <v>1091</v>
      </c>
      <c r="B447" s="83">
        <v>793</v>
      </c>
      <c r="C447" s="84" t="s">
        <v>53</v>
      </c>
      <c r="D447" s="84" t="s">
        <v>120</v>
      </c>
      <c r="E447" s="84" t="s">
        <v>1092</v>
      </c>
      <c r="F447" s="84"/>
      <c r="G447" s="87">
        <f>G449</f>
        <v>11895975</v>
      </c>
      <c r="H447" s="87">
        <f>H449</f>
        <v>0</v>
      </c>
      <c r="I447" s="87">
        <f>I449</f>
        <v>0</v>
      </c>
      <c r="J447" s="173"/>
      <c r="K447" s="195"/>
      <c r="L447" s="195"/>
      <c r="M447" s="195"/>
      <c r="N447" s="195"/>
      <c r="O447" s="195"/>
      <c r="P447" s="195"/>
      <c r="Q447" s="195"/>
      <c r="R447" s="195"/>
    </row>
    <row r="448" spans="1:18" s="18" customFormat="1" ht="39" customHeight="1">
      <c r="A448" s="82" t="s">
        <v>1164</v>
      </c>
      <c r="B448" s="83">
        <v>793</v>
      </c>
      <c r="C448" s="84" t="s">
        <v>53</v>
      </c>
      <c r="D448" s="84" t="s">
        <v>120</v>
      </c>
      <c r="E448" s="84" t="s">
        <v>1092</v>
      </c>
      <c r="F448" s="84"/>
      <c r="G448" s="87">
        <f>G449</f>
        <v>11895975</v>
      </c>
      <c r="H448" s="87">
        <f t="shared" ref="H448:I448" si="113">H449</f>
        <v>0</v>
      </c>
      <c r="I448" s="87">
        <f t="shared" si="113"/>
        <v>0</v>
      </c>
      <c r="J448" s="173"/>
      <c r="K448" s="195"/>
      <c r="L448" s="195"/>
      <c r="M448" s="195"/>
      <c r="N448" s="195"/>
      <c r="O448" s="195"/>
      <c r="P448" s="195"/>
      <c r="Q448" s="195"/>
      <c r="R448" s="195"/>
    </row>
    <row r="449" spans="1:22" ht="30.75" customHeight="1">
      <c r="A449" s="82" t="s">
        <v>35</v>
      </c>
      <c r="B449" s="83">
        <v>793</v>
      </c>
      <c r="C449" s="84" t="s">
        <v>53</v>
      </c>
      <c r="D449" s="84" t="s">
        <v>120</v>
      </c>
      <c r="E449" s="84" t="s">
        <v>1092</v>
      </c>
      <c r="F449" s="84" t="s">
        <v>36</v>
      </c>
      <c r="G449" s="87">
        <f t="shared" ref="G449:I449" si="114">G450</f>
        <v>11895975</v>
      </c>
      <c r="H449" s="87">
        <f t="shared" si="114"/>
        <v>0</v>
      </c>
      <c r="I449" s="87">
        <f t="shared" si="114"/>
        <v>0</v>
      </c>
      <c r="J449" s="173"/>
      <c r="K449" s="181"/>
      <c r="L449" s="181"/>
      <c r="M449" s="181"/>
      <c r="N449" s="181"/>
      <c r="O449" s="181"/>
      <c r="P449" s="181"/>
      <c r="Q449" s="181"/>
      <c r="R449" s="181"/>
      <c r="S449" s="1"/>
      <c r="T449" s="1"/>
    </row>
    <row r="450" spans="1:22" s="18" customFormat="1" ht="34.5" customHeight="1">
      <c r="A450" s="82" t="s">
        <v>37</v>
      </c>
      <c r="B450" s="83">
        <v>793</v>
      </c>
      <c r="C450" s="84" t="s">
        <v>53</v>
      </c>
      <c r="D450" s="84" t="s">
        <v>120</v>
      </c>
      <c r="E450" s="84" t="s">
        <v>1092</v>
      </c>
      <c r="F450" s="84" t="s">
        <v>38</v>
      </c>
      <c r="G450" s="70">
        <f>прил4!G1982</f>
        <v>11895975</v>
      </c>
      <c r="H450" s="87">
        <v>0</v>
      </c>
      <c r="I450" s="87">
        <v>0</v>
      </c>
      <c r="J450" s="173"/>
      <c r="K450" s="195"/>
      <c r="L450" s="195"/>
      <c r="M450" s="195"/>
      <c r="N450" s="195"/>
      <c r="O450" s="195"/>
      <c r="P450" s="195"/>
      <c r="Q450" s="195"/>
      <c r="R450" s="195"/>
    </row>
    <row r="451" spans="1:22" s="18" customFormat="1" ht="39" hidden="1" customHeight="1">
      <c r="A451" s="82" t="s">
        <v>1094</v>
      </c>
      <c r="B451" s="83">
        <v>793</v>
      </c>
      <c r="C451" s="84" t="s">
        <v>53</v>
      </c>
      <c r="D451" s="84" t="s">
        <v>120</v>
      </c>
      <c r="E451" s="84" t="s">
        <v>1093</v>
      </c>
      <c r="F451" s="84"/>
      <c r="G451" s="70">
        <f>G453</f>
        <v>0</v>
      </c>
      <c r="H451" s="87">
        <f>H453</f>
        <v>0</v>
      </c>
      <c r="I451" s="87">
        <f>I453</f>
        <v>0</v>
      </c>
      <c r="J451" s="173"/>
      <c r="K451" s="195"/>
      <c r="L451" s="195"/>
      <c r="M451" s="195"/>
      <c r="N451" s="195"/>
      <c r="O451" s="195"/>
      <c r="P451" s="195"/>
      <c r="Q451" s="195"/>
      <c r="R451" s="195"/>
    </row>
    <row r="452" spans="1:22" s="18" customFormat="1" ht="73.5" hidden="1" customHeight="1">
      <c r="A452" s="16" t="s">
        <v>1186</v>
      </c>
      <c r="B452" s="83">
        <v>793</v>
      </c>
      <c r="C452" s="84" t="s">
        <v>53</v>
      </c>
      <c r="D452" s="84" t="s">
        <v>120</v>
      </c>
      <c r="E452" s="84" t="s">
        <v>1093</v>
      </c>
      <c r="F452" s="84"/>
      <c r="G452" s="70">
        <f>G453</f>
        <v>0</v>
      </c>
      <c r="H452" s="87">
        <f t="shared" ref="H452:I452" si="115">H453</f>
        <v>0</v>
      </c>
      <c r="I452" s="87">
        <f t="shared" si="115"/>
        <v>0</v>
      </c>
      <c r="J452" s="173"/>
      <c r="K452" s="195"/>
      <c r="L452" s="195"/>
      <c r="M452" s="195"/>
      <c r="N452" s="195"/>
      <c r="O452" s="195"/>
      <c r="P452" s="195"/>
      <c r="Q452" s="195"/>
      <c r="R452" s="195"/>
    </row>
    <row r="453" spans="1:22" ht="30.75" hidden="1" customHeight="1">
      <c r="A453" s="82" t="s">
        <v>35</v>
      </c>
      <c r="B453" s="83">
        <v>793</v>
      </c>
      <c r="C453" s="84" t="s">
        <v>53</v>
      </c>
      <c r="D453" s="84" t="s">
        <v>120</v>
      </c>
      <c r="E453" s="84" t="s">
        <v>1093</v>
      </c>
      <c r="F453" s="84" t="s">
        <v>36</v>
      </c>
      <c r="G453" s="70">
        <f t="shared" ref="G453:I453" si="116">G454</f>
        <v>0</v>
      </c>
      <c r="H453" s="87">
        <f t="shared" si="116"/>
        <v>0</v>
      </c>
      <c r="I453" s="87">
        <f t="shared" si="116"/>
        <v>0</v>
      </c>
      <c r="J453" s="173"/>
      <c r="K453" s="181"/>
      <c r="L453" s="181"/>
      <c r="M453" s="181"/>
      <c r="N453" s="181"/>
      <c r="O453" s="181"/>
      <c r="P453" s="181"/>
      <c r="Q453" s="181"/>
      <c r="R453" s="181"/>
      <c r="S453" s="1"/>
      <c r="T453" s="1"/>
    </row>
    <row r="454" spans="1:22" s="18" customFormat="1" ht="34.5" hidden="1" customHeight="1">
      <c r="A454" s="82" t="s">
        <v>37</v>
      </c>
      <c r="B454" s="83">
        <v>793</v>
      </c>
      <c r="C454" s="84" t="s">
        <v>53</v>
      </c>
      <c r="D454" s="84" t="s">
        <v>120</v>
      </c>
      <c r="E454" s="84" t="s">
        <v>1093</v>
      </c>
      <c r="F454" s="84" t="s">
        <v>38</v>
      </c>
      <c r="G454" s="70">
        <f>прил4!G1986</f>
        <v>0</v>
      </c>
      <c r="H454" s="87">
        <v>0</v>
      </c>
      <c r="I454" s="87">
        <v>0</v>
      </c>
      <c r="J454" s="173"/>
      <c r="K454" s="195"/>
      <c r="L454" s="195"/>
      <c r="M454" s="195"/>
      <c r="N454" s="195"/>
      <c r="O454" s="195"/>
      <c r="P454" s="195"/>
      <c r="Q454" s="195"/>
      <c r="R454" s="195"/>
    </row>
    <row r="455" spans="1:22" s="18" customFormat="1" ht="39" hidden="1" customHeight="1">
      <c r="A455" s="82" t="s">
        <v>1096</v>
      </c>
      <c r="B455" s="83">
        <v>793</v>
      </c>
      <c r="C455" s="84" t="s">
        <v>53</v>
      </c>
      <c r="D455" s="84" t="s">
        <v>120</v>
      </c>
      <c r="E455" s="84" t="s">
        <v>1095</v>
      </c>
      <c r="F455" s="84"/>
      <c r="G455" s="70">
        <f>G457</f>
        <v>2000000</v>
      </c>
      <c r="H455" s="87">
        <f>H457</f>
        <v>0</v>
      </c>
      <c r="I455" s="87">
        <f>I457</f>
        <v>0</v>
      </c>
      <c r="J455" s="173"/>
      <c r="K455" s="195"/>
      <c r="L455" s="195"/>
      <c r="M455" s="195"/>
      <c r="N455" s="195"/>
      <c r="O455" s="195"/>
      <c r="P455" s="195"/>
      <c r="Q455" s="195"/>
      <c r="R455" s="195"/>
    </row>
    <row r="456" spans="1:22" s="18" customFormat="1" ht="72" customHeight="1">
      <c r="A456" s="82" t="s">
        <v>1507</v>
      </c>
      <c r="B456" s="83">
        <v>793</v>
      </c>
      <c r="C456" s="84" t="s">
        <v>53</v>
      </c>
      <c r="D456" s="84" t="s">
        <v>120</v>
      </c>
      <c r="E456" s="84" t="s">
        <v>1095</v>
      </c>
      <c r="F456" s="84"/>
      <c r="G456" s="70">
        <f>G457</f>
        <v>2000000</v>
      </c>
      <c r="H456" s="87">
        <f t="shared" ref="H456:I456" si="117">H457</f>
        <v>0</v>
      </c>
      <c r="I456" s="87">
        <f t="shared" si="117"/>
        <v>0</v>
      </c>
      <c r="J456" s="173"/>
      <c r="K456" s="195"/>
      <c r="L456" s="195"/>
      <c r="M456" s="195"/>
      <c r="N456" s="195"/>
      <c r="O456" s="195"/>
      <c r="P456" s="195"/>
      <c r="Q456" s="195"/>
      <c r="R456" s="195"/>
    </row>
    <row r="457" spans="1:22" ht="30.75" customHeight="1">
      <c r="A457" s="82" t="s">
        <v>35</v>
      </c>
      <c r="B457" s="83">
        <v>793</v>
      </c>
      <c r="C457" s="84" t="s">
        <v>53</v>
      </c>
      <c r="D457" s="84" t="s">
        <v>120</v>
      </c>
      <c r="E457" s="84" t="s">
        <v>1095</v>
      </c>
      <c r="F457" s="84" t="s">
        <v>36</v>
      </c>
      <c r="G457" s="70">
        <f t="shared" ref="G457:I457" si="118">G458</f>
        <v>2000000</v>
      </c>
      <c r="H457" s="87">
        <f t="shared" si="118"/>
        <v>0</v>
      </c>
      <c r="I457" s="87">
        <f t="shared" si="118"/>
        <v>0</v>
      </c>
      <c r="J457" s="173"/>
      <c r="K457" s="181"/>
      <c r="L457" s="181"/>
      <c r="M457" s="181"/>
      <c r="N457" s="181"/>
      <c r="O457" s="181"/>
      <c r="P457" s="181"/>
      <c r="Q457" s="181"/>
      <c r="R457" s="181"/>
      <c r="S457" s="1"/>
      <c r="T457" s="1"/>
    </row>
    <row r="458" spans="1:22" s="18" customFormat="1" ht="34.5" customHeight="1">
      <c r="A458" s="82" t="s">
        <v>37</v>
      </c>
      <c r="B458" s="83">
        <v>793</v>
      </c>
      <c r="C458" s="84" t="s">
        <v>53</v>
      </c>
      <c r="D458" s="84" t="s">
        <v>120</v>
      </c>
      <c r="E458" s="84" t="s">
        <v>1095</v>
      </c>
      <c r="F458" s="84" t="s">
        <v>38</v>
      </c>
      <c r="G458" s="70">
        <f>прил4!G1990</f>
        <v>2000000</v>
      </c>
      <c r="H458" s="87">
        <v>0</v>
      </c>
      <c r="I458" s="87">
        <v>0</v>
      </c>
      <c r="J458" s="173"/>
      <c r="K458" s="195"/>
      <c r="L458" s="195"/>
      <c r="M458" s="195"/>
      <c r="N458" s="195"/>
      <c r="O458" s="195"/>
      <c r="P458" s="195"/>
      <c r="Q458" s="195"/>
      <c r="R458" s="195"/>
    </row>
    <row r="459" spans="1:22" s="18" customFormat="1" ht="39" hidden="1" customHeight="1">
      <c r="A459" s="82" t="s">
        <v>1098</v>
      </c>
      <c r="B459" s="83">
        <v>793</v>
      </c>
      <c r="C459" s="84" t="s">
        <v>53</v>
      </c>
      <c r="D459" s="84" t="s">
        <v>120</v>
      </c>
      <c r="E459" s="84" t="s">
        <v>1097</v>
      </c>
      <c r="F459" s="84"/>
      <c r="G459" s="87">
        <f>G461</f>
        <v>0</v>
      </c>
      <c r="H459" s="87">
        <f>H461</f>
        <v>0</v>
      </c>
      <c r="I459" s="87">
        <f>I461</f>
        <v>0</v>
      </c>
      <c r="J459" s="173"/>
      <c r="K459" s="195"/>
      <c r="L459" s="195"/>
      <c r="M459" s="195"/>
      <c r="N459" s="195"/>
      <c r="O459" s="195"/>
      <c r="P459" s="195"/>
      <c r="Q459" s="195"/>
      <c r="R459" s="195"/>
    </row>
    <row r="460" spans="1:22" s="18" customFormat="1" ht="71.25" customHeight="1">
      <c r="A460" s="82" t="s">
        <v>1453</v>
      </c>
      <c r="B460" s="83">
        <v>793</v>
      </c>
      <c r="C460" s="84" t="s">
        <v>53</v>
      </c>
      <c r="D460" s="84" t="s">
        <v>120</v>
      </c>
      <c r="E460" s="84" t="s">
        <v>1097</v>
      </c>
      <c r="F460" s="84"/>
      <c r="G460" s="87">
        <f>G461</f>
        <v>0</v>
      </c>
      <c r="H460" s="87">
        <f t="shared" ref="H460:I460" si="119">H461</f>
        <v>0</v>
      </c>
      <c r="I460" s="87">
        <f t="shared" si="119"/>
        <v>0</v>
      </c>
      <c r="J460" s="173"/>
      <c r="K460" s="195"/>
      <c r="L460" s="195"/>
      <c r="M460" s="195"/>
      <c r="N460" s="195"/>
      <c r="O460" s="195"/>
      <c r="P460" s="195"/>
      <c r="Q460" s="195"/>
      <c r="R460" s="195"/>
    </row>
    <row r="461" spans="1:22" ht="30.75" customHeight="1">
      <c r="A461" s="82" t="s">
        <v>35</v>
      </c>
      <c r="B461" s="83">
        <v>793</v>
      </c>
      <c r="C461" s="84" t="s">
        <v>53</v>
      </c>
      <c r="D461" s="84" t="s">
        <v>120</v>
      </c>
      <c r="E461" s="84" t="s">
        <v>1097</v>
      </c>
      <c r="F461" s="84" t="s">
        <v>36</v>
      </c>
      <c r="G461" s="87">
        <f t="shared" ref="G461:I461" si="120">G462</f>
        <v>0</v>
      </c>
      <c r="H461" s="87">
        <f t="shared" si="120"/>
        <v>0</v>
      </c>
      <c r="I461" s="87">
        <f t="shared" si="120"/>
        <v>0</v>
      </c>
      <c r="J461" s="173"/>
      <c r="K461" s="181"/>
      <c r="L461" s="181"/>
      <c r="M461" s="181"/>
      <c r="N461" s="181"/>
      <c r="O461" s="181"/>
      <c r="P461" s="181"/>
      <c r="Q461" s="181"/>
      <c r="R461" s="181"/>
      <c r="S461" s="1"/>
      <c r="T461" s="1"/>
    </row>
    <row r="462" spans="1:22" s="18" customFormat="1" ht="34.5" customHeight="1">
      <c r="A462" s="82" t="s">
        <v>37</v>
      </c>
      <c r="B462" s="83">
        <v>793</v>
      </c>
      <c r="C462" s="84" t="s">
        <v>53</v>
      </c>
      <c r="D462" s="84" t="s">
        <v>120</v>
      </c>
      <c r="E462" s="84" t="s">
        <v>1097</v>
      </c>
      <c r="F462" s="84" t="s">
        <v>38</v>
      </c>
      <c r="G462" s="70">
        <f>прил4!G1994</f>
        <v>0</v>
      </c>
      <c r="H462" s="87">
        <v>0</v>
      </c>
      <c r="I462" s="87">
        <v>0</v>
      </c>
      <c r="J462" s="173"/>
      <c r="K462" s="195"/>
      <c r="L462" s="195"/>
      <c r="M462" s="195"/>
      <c r="N462" s="195"/>
      <c r="O462" s="195"/>
      <c r="P462" s="208">
        <f>G450+G454+G458+G462+G1604+G1848+G1852+G1856+G1943+G1947</f>
        <v>23054054.689999998</v>
      </c>
      <c r="Q462" s="195">
        <v>2508390</v>
      </c>
      <c r="R462" s="208">
        <f>P462+Q462</f>
        <v>25562444.689999998</v>
      </c>
    </row>
    <row r="463" spans="1:22" s="227" customFormat="1" ht="52.8">
      <c r="A463" s="107" t="s">
        <v>1132</v>
      </c>
      <c r="B463" s="36" t="s">
        <v>92</v>
      </c>
      <c r="C463" s="36" t="s">
        <v>25</v>
      </c>
      <c r="D463" s="36" t="s">
        <v>27</v>
      </c>
      <c r="E463" s="36" t="s">
        <v>208</v>
      </c>
      <c r="F463" s="36"/>
      <c r="G463" s="71">
        <f>G467+G470+G473+G478+G485+G502+G490+G503+G518+G515+G506+G509+G512+G523+G526</f>
        <v>127439976.44999999</v>
      </c>
      <c r="H463" s="71">
        <f>H467+H470+H473+H478+H485+H502+H490+H503+H518+H515+H506</f>
        <v>16528205.800000001</v>
      </c>
      <c r="I463" s="71">
        <f>I467+I470+I473+I478+I485+I502+I490+I503+I518+I515+I506</f>
        <v>550000</v>
      </c>
      <c r="P463" s="226"/>
      <c r="Q463" s="226"/>
      <c r="R463" s="226"/>
      <c r="S463" s="226"/>
      <c r="T463" s="226">
        <f>прил4!G2119+прил4!G2749</f>
        <v>125271809.88</v>
      </c>
      <c r="U463" s="226">
        <f>T463-G463</f>
        <v>-2168166.5699999928</v>
      </c>
      <c r="V463" s="226"/>
    </row>
    <row r="464" spans="1:22" s="18" customFormat="1" ht="39.6" hidden="1">
      <c r="A464" s="16" t="s">
        <v>575</v>
      </c>
      <c r="B464" s="14">
        <v>757</v>
      </c>
      <c r="C464" s="15" t="s">
        <v>25</v>
      </c>
      <c r="D464" s="15" t="s">
        <v>69</v>
      </c>
      <c r="E464" s="15" t="s">
        <v>557</v>
      </c>
      <c r="F464" s="15"/>
      <c r="G464" s="70">
        <f>G465</f>
        <v>0</v>
      </c>
      <c r="H464" s="70">
        <f t="shared" ref="H464:I465" si="121">H465</f>
        <v>0</v>
      </c>
      <c r="I464" s="70">
        <f t="shared" si="121"/>
        <v>0</v>
      </c>
      <c r="P464" s="17"/>
      <c r="Q464" s="17"/>
      <c r="R464" s="17"/>
      <c r="S464" s="17"/>
      <c r="T464" s="17"/>
    </row>
    <row r="465" spans="1:20" s="18" customFormat="1" ht="36" hidden="1" customHeight="1">
      <c r="A465" s="16" t="s">
        <v>94</v>
      </c>
      <c r="B465" s="14">
        <v>757</v>
      </c>
      <c r="C465" s="15" t="s">
        <v>25</v>
      </c>
      <c r="D465" s="15" t="s">
        <v>69</v>
      </c>
      <c r="E465" s="15" t="s">
        <v>557</v>
      </c>
      <c r="F465" s="15" t="s">
        <v>338</v>
      </c>
      <c r="G465" s="70">
        <f>G466</f>
        <v>0</v>
      </c>
      <c r="H465" s="70">
        <f t="shared" si="121"/>
        <v>0</v>
      </c>
      <c r="I465" s="70">
        <f t="shared" si="121"/>
        <v>0</v>
      </c>
      <c r="P465" s="17"/>
      <c r="Q465" s="17"/>
      <c r="R465" s="17"/>
      <c r="S465" s="17"/>
      <c r="T465" s="17"/>
    </row>
    <row r="466" spans="1:20" s="18" customFormat="1" ht="99" hidden="1" customHeight="1">
      <c r="A466" s="50" t="s">
        <v>407</v>
      </c>
      <c r="B466" s="14">
        <v>757</v>
      </c>
      <c r="C466" s="15" t="s">
        <v>25</v>
      </c>
      <c r="D466" s="15" t="s">
        <v>69</v>
      </c>
      <c r="E466" s="15" t="s">
        <v>557</v>
      </c>
      <c r="F466" s="15" t="s">
        <v>406</v>
      </c>
      <c r="G466" s="70">
        <v>0</v>
      </c>
      <c r="H466" s="70"/>
      <c r="I466" s="70">
        <v>0</v>
      </c>
      <c r="P466" s="17"/>
      <c r="Q466" s="17"/>
      <c r="R466" s="17"/>
      <c r="S466" s="17"/>
      <c r="T466" s="17"/>
    </row>
    <row r="467" spans="1:20" s="18" customFormat="1" ht="26.4" hidden="1">
      <c r="A467" s="16" t="s">
        <v>478</v>
      </c>
      <c r="B467" s="15" t="s">
        <v>92</v>
      </c>
      <c r="C467" s="15" t="s">
        <v>25</v>
      </c>
      <c r="D467" s="15" t="s">
        <v>27</v>
      </c>
      <c r="E467" s="15" t="s">
        <v>477</v>
      </c>
      <c r="F467" s="15"/>
      <c r="G467" s="70">
        <f>G468</f>
        <v>0</v>
      </c>
      <c r="H467" s="70">
        <f t="shared" ref="H467:I468" si="122">H468</f>
        <v>0</v>
      </c>
      <c r="I467" s="70">
        <f t="shared" si="122"/>
        <v>0</v>
      </c>
      <c r="P467" s="17"/>
      <c r="Q467" s="17"/>
      <c r="R467" s="17"/>
      <c r="S467" s="17"/>
      <c r="T467" s="17"/>
    </row>
    <row r="468" spans="1:20" s="18" customFormat="1" ht="36" hidden="1" customHeight="1">
      <c r="A468" s="16" t="s">
        <v>94</v>
      </c>
      <c r="B468" s="15" t="s">
        <v>92</v>
      </c>
      <c r="C468" s="15" t="s">
        <v>25</v>
      </c>
      <c r="D468" s="15" t="s">
        <v>27</v>
      </c>
      <c r="E468" s="15" t="s">
        <v>477</v>
      </c>
      <c r="F468" s="15" t="s">
        <v>338</v>
      </c>
      <c r="G468" s="70">
        <f>G469</f>
        <v>0</v>
      </c>
      <c r="H468" s="70">
        <f t="shared" si="122"/>
        <v>0</v>
      </c>
      <c r="I468" s="70">
        <f t="shared" si="122"/>
        <v>0</v>
      </c>
      <c r="P468" s="17"/>
      <c r="Q468" s="17"/>
      <c r="R468" s="17"/>
      <c r="S468" s="17"/>
      <c r="T468" s="17"/>
    </row>
    <row r="469" spans="1:20" s="18" customFormat="1" ht="99" hidden="1" customHeight="1">
      <c r="A469" s="50" t="s">
        <v>407</v>
      </c>
      <c r="B469" s="15" t="s">
        <v>92</v>
      </c>
      <c r="C469" s="15" t="s">
        <v>25</v>
      </c>
      <c r="D469" s="15" t="s">
        <v>27</v>
      </c>
      <c r="E469" s="15" t="s">
        <v>477</v>
      </c>
      <c r="F469" s="15" t="s">
        <v>406</v>
      </c>
      <c r="G469" s="70">
        <v>0</v>
      </c>
      <c r="H469" s="70"/>
      <c r="I469" s="70">
        <v>0</v>
      </c>
      <c r="P469" s="17"/>
      <c r="Q469" s="17"/>
      <c r="R469" s="17"/>
      <c r="S469" s="17"/>
      <c r="T469" s="17"/>
    </row>
    <row r="470" spans="1:20" s="18" customFormat="1" ht="26.4" hidden="1">
      <c r="A470" s="16" t="s">
        <v>480</v>
      </c>
      <c r="B470" s="15" t="s">
        <v>92</v>
      </c>
      <c r="C470" s="15" t="s">
        <v>25</v>
      </c>
      <c r="D470" s="15" t="s">
        <v>27</v>
      </c>
      <c r="E470" s="15" t="s">
        <v>479</v>
      </c>
      <c r="F470" s="15"/>
      <c r="G470" s="70">
        <f>G471</f>
        <v>0</v>
      </c>
      <c r="H470" s="70">
        <f t="shared" ref="H470:I471" si="123">H471</f>
        <v>0</v>
      </c>
      <c r="I470" s="70">
        <f t="shared" si="123"/>
        <v>0</v>
      </c>
      <c r="P470" s="17"/>
      <c r="Q470" s="17"/>
      <c r="R470" s="17"/>
      <c r="S470" s="17"/>
      <c r="T470" s="17"/>
    </row>
    <row r="471" spans="1:20" s="18" customFormat="1" ht="36" hidden="1" customHeight="1">
      <c r="A471" s="16" t="s">
        <v>94</v>
      </c>
      <c r="B471" s="15" t="s">
        <v>92</v>
      </c>
      <c r="C471" s="15" t="s">
        <v>25</v>
      </c>
      <c r="D471" s="15" t="s">
        <v>27</v>
      </c>
      <c r="E471" s="15" t="s">
        <v>479</v>
      </c>
      <c r="F471" s="15" t="s">
        <v>338</v>
      </c>
      <c r="G471" s="70">
        <f>G472</f>
        <v>0</v>
      </c>
      <c r="H471" s="70">
        <f t="shared" si="123"/>
        <v>0</v>
      </c>
      <c r="I471" s="70">
        <f t="shared" si="123"/>
        <v>0</v>
      </c>
      <c r="P471" s="17"/>
      <c r="Q471" s="17"/>
      <c r="R471" s="17"/>
      <c r="S471" s="17"/>
      <c r="T471" s="17"/>
    </row>
    <row r="472" spans="1:20" s="18" customFormat="1" ht="99" hidden="1" customHeight="1">
      <c r="A472" s="50" t="s">
        <v>407</v>
      </c>
      <c r="B472" s="15" t="s">
        <v>92</v>
      </c>
      <c r="C472" s="15" t="s">
        <v>25</v>
      </c>
      <c r="D472" s="15" t="s">
        <v>27</v>
      </c>
      <c r="E472" s="15" t="s">
        <v>479</v>
      </c>
      <c r="F472" s="15" t="s">
        <v>406</v>
      </c>
      <c r="G472" s="70">
        <v>0</v>
      </c>
      <c r="H472" s="70"/>
      <c r="I472" s="70">
        <v>0</v>
      </c>
      <c r="P472" s="17"/>
      <c r="Q472" s="17"/>
      <c r="R472" s="17"/>
      <c r="S472" s="17"/>
      <c r="T472" s="17"/>
    </row>
    <row r="473" spans="1:20" s="18" customFormat="1" ht="79.2">
      <c r="A473" s="104" t="s">
        <v>1050</v>
      </c>
      <c r="B473" s="49">
        <v>795</v>
      </c>
      <c r="C473" s="10" t="s">
        <v>167</v>
      </c>
      <c r="D473" s="10" t="s">
        <v>18</v>
      </c>
      <c r="E473" s="15" t="s">
        <v>497</v>
      </c>
      <c r="F473" s="15"/>
      <c r="G473" s="70">
        <f>G476+G474</f>
        <v>118518358</v>
      </c>
      <c r="H473" s="70">
        <f t="shared" ref="H473:I473" si="124">H476+H474</f>
        <v>15674316</v>
      </c>
      <c r="I473" s="70">
        <f t="shared" si="124"/>
        <v>0</v>
      </c>
      <c r="P473" s="17"/>
      <c r="Q473" s="17"/>
      <c r="R473" s="17"/>
      <c r="S473" s="17"/>
      <c r="T473" s="17"/>
    </row>
    <row r="474" spans="1:20" s="18" customFormat="1" ht="31.2" customHeight="1">
      <c r="A474" s="16" t="s">
        <v>144</v>
      </c>
      <c r="B474" s="49">
        <v>793</v>
      </c>
      <c r="C474" s="10" t="s">
        <v>167</v>
      </c>
      <c r="D474" s="10" t="s">
        <v>18</v>
      </c>
      <c r="E474" s="15" t="s">
        <v>497</v>
      </c>
      <c r="F474" s="15" t="s">
        <v>145</v>
      </c>
      <c r="G474" s="70">
        <f>G475</f>
        <v>65219627.200000003</v>
      </c>
      <c r="H474" s="70">
        <f t="shared" ref="H474:I474" si="125">H475</f>
        <v>0</v>
      </c>
      <c r="I474" s="70">
        <f t="shared" si="125"/>
        <v>0</v>
      </c>
      <c r="J474" s="172"/>
    </row>
    <row r="475" spans="1:20" s="18" customFormat="1" ht="31.2" customHeight="1">
      <c r="A475" s="16" t="s">
        <v>146</v>
      </c>
      <c r="B475" s="49">
        <v>793</v>
      </c>
      <c r="C475" s="10" t="s">
        <v>167</v>
      </c>
      <c r="D475" s="10" t="s">
        <v>18</v>
      </c>
      <c r="E475" s="15" t="s">
        <v>497</v>
      </c>
      <c r="F475" s="15" t="s">
        <v>147</v>
      </c>
      <c r="G475" s="70">
        <f>прил4!G2752</f>
        <v>65219627.200000003</v>
      </c>
      <c r="H475" s="70">
        <f>прил4!H2134</f>
        <v>0</v>
      </c>
      <c r="I475" s="70">
        <f>прил4!I2134</f>
        <v>0</v>
      </c>
      <c r="J475" s="172"/>
    </row>
    <row r="476" spans="1:20" s="18" customFormat="1" ht="20.25" customHeight="1">
      <c r="A476" s="16" t="s">
        <v>62</v>
      </c>
      <c r="B476" s="49">
        <v>795</v>
      </c>
      <c r="C476" s="10" t="s">
        <v>167</v>
      </c>
      <c r="D476" s="10" t="s">
        <v>18</v>
      </c>
      <c r="E476" s="15" t="s">
        <v>497</v>
      </c>
      <c r="F476" s="15" t="s">
        <v>63</v>
      </c>
      <c r="G476" s="70">
        <f>G477</f>
        <v>53298730.799999997</v>
      </c>
      <c r="H476" s="70">
        <f t="shared" ref="H476:I476" si="126">H477</f>
        <v>15674316</v>
      </c>
      <c r="I476" s="70">
        <f t="shared" si="126"/>
        <v>0</v>
      </c>
      <c r="P476" s="17"/>
      <c r="Q476" s="17"/>
      <c r="R476" s="17"/>
      <c r="S476" s="17"/>
      <c r="T476" s="17"/>
    </row>
    <row r="477" spans="1:20" s="18" customFormat="1" ht="25.95" customHeight="1">
      <c r="A477" s="50" t="s">
        <v>140</v>
      </c>
      <c r="B477" s="49">
        <v>795</v>
      </c>
      <c r="C477" s="10" t="s">
        <v>167</v>
      </c>
      <c r="D477" s="10" t="s">
        <v>18</v>
      </c>
      <c r="E477" s="15" t="s">
        <v>497</v>
      </c>
      <c r="F477" s="15" t="s">
        <v>66</v>
      </c>
      <c r="G477" s="70">
        <f>прил4!G2136</f>
        <v>53298730.799999997</v>
      </c>
      <c r="H477" s="70">
        <f>прил4!H2136</f>
        <v>15674316</v>
      </c>
      <c r="I477" s="70">
        <f>прил4!I2136</f>
        <v>0</v>
      </c>
      <c r="P477" s="17"/>
      <c r="Q477" s="17"/>
      <c r="R477" s="17"/>
      <c r="S477" s="17"/>
      <c r="T477" s="17"/>
    </row>
    <row r="478" spans="1:20" s="18" customFormat="1" ht="99.75" customHeight="1">
      <c r="A478" s="104" t="s">
        <v>1051</v>
      </c>
      <c r="B478" s="49">
        <v>795</v>
      </c>
      <c r="C478" s="10" t="s">
        <v>167</v>
      </c>
      <c r="D478" s="10" t="s">
        <v>18</v>
      </c>
      <c r="E478" s="15" t="s">
        <v>498</v>
      </c>
      <c r="F478" s="15"/>
      <c r="G478" s="70">
        <f>G483+G479+G481</f>
        <v>2364355.54</v>
      </c>
      <c r="H478" s="70">
        <f t="shared" ref="H478:I478" si="127">H483+H479</f>
        <v>303889.8</v>
      </c>
      <c r="I478" s="70">
        <f t="shared" si="127"/>
        <v>0</v>
      </c>
      <c r="P478" s="17"/>
      <c r="Q478" s="17"/>
      <c r="R478" s="17"/>
      <c r="S478" s="17"/>
      <c r="T478" s="17"/>
    </row>
    <row r="479" spans="1:20" s="18" customFormat="1" ht="26.25" hidden="1" customHeight="1">
      <c r="A479" s="82" t="s">
        <v>94</v>
      </c>
      <c r="B479" s="49">
        <v>793</v>
      </c>
      <c r="C479" s="10" t="s">
        <v>167</v>
      </c>
      <c r="D479" s="10" t="s">
        <v>18</v>
      </c>
      <c r="E479" s="15" t="s">
        <v>498</v>
      </c>
      <c r="F479" s="15" t="s">
        <v>338</v>
      </c>
      <c r="G479" s="70">
        <f>G480</f>
        <v>0</v>
      </c>
      <c r="H479" s="70">
        <f t="shared" ref="H479:I479" si="128">H480</f>
        <v>0</v>
      </c>
      <c r="I479" s="70">
        <f t="shared" si="128"/>
        <v>0</v>
      </c>
      <c r="J479" s="172"/>
    </row>
    <row r="480" spans="1:20" s="18" customFormat="1" ht="20.25" hidden="1" customHeight="1">
      <c r="A480" s="130" t="s">
        <v>339</v>
      </c>
      <c r="B480" s="49">
        <v>793</v>
      </c>
      <c r="C480" s="10" t="s">
        <v>167</v>
      </c>
      <c r="D480" s="10" t="s">
        <v>18</v>
      </c>
      <c r="E480" s="15" t="s">
        <v>498</v>
      </c>
      <c r="F480" s="15" t="s">
        <v>340</v>
      </c>
      <c r="G480" s="70">
        <f>прил4!G2139</f>
        <v>0</v>
      </c>
      <c r="H480" s="70">
        <f>прил4!H2139</f>
        <v>0</v>
      </c>
      <c r="I480" s="70">
        <f>прил4!I2139</f>
        <v>0</v>
      </c>
      <c r="J480" s="172"/>
    </row>
    <row r="481" spans="1:20" s="18" customFormat="1" ht="20.25" customHeight="1">
      <c r="A481" s="16" t="s">
        <v>144</v>
      </c>
      <c r="B481" s="14">
        <v>793</v>
      </c>
      <c r="C481" s="15" t="s">
        <v>68</v>
      </c>
      <c r="D481" s="15" t="s">
        <v>69</v>
      </c>
      <c r="E481" s="15" t="s">
        <v>498</v>
      </c>
      <c r="F481" s="15" t="s">
        <v>145</v>
      </c>
      <c r="G481" s="70">
        <f>G482</f>
        <v>1331012.8</v>
      </c>
      <c r="H481" s="70">
        <f t="shared" ref="H481:I481" si="129">H482</f>
        <v>0</v>
      </c>
      <c r="I481" s="70">
        <f t="shared" si="129"/>
        <v>0</v>
      </c>
      <c r="J481" s="172"/>
    </row>
    <row r="482" spans="1:20" s="18" customFormat="1" ht="25.2" customHeight="1">
      <c r="A482" s="16" t="s">
        <v>146</v>
      </c>
      <c r="B482" s="14">
        <v>793</v>
      </c>
      <c r="C482" s="15" t="s">
        <v>68</v>
      </c>
      <c r="D482" s="15" t="s">
        <v>69</v>
      </c>
      <c r="E482" s="15" t="s">
        <v>498</v>
      </c>
      <c r="F482" s="15" t="s">
        <v>147</v>
      </c>
      <c r="G482" s="70">
        <f>прил4!G2755</f>
        <v>1331012.8</v>
      </c>
      <c r="H482" s="70">
        <v>0</v>
      </c>
      <c r="I482" s="70">
        <v>0</v>
      </c>
      <c r="J482" s="172"/>
    </row>
    <row r="483" spans="1:20" s="18" customFormat="1" ht="21.75" customHeight="1">
      <c r="A483" s="16" t="s">
        <v>62</v>
      </c>
      <c r="B483" s="49">
        <v>795</v>
      </c>
      <c r="C483" s="10" t="s">
        <v>167</v>
      </c>
      <c r="D483" s="10" t="s">
        <v>18</v>
      </c>
      <c r="E483" s="15" t="s">
        <v>498</v>
      </c>
      <c r="F483" s="15" t="s">
        <v>63</v>
      </c>
      <c r="G483" s="70">
        <f>G484</f>
        <v>1033342.74</v>
      </c>
      <c r="H483" s="70">
        <f t="shared" ref="H483:I483" si="130">H484</f>
        <v>303889.8</v>
      </c>
      <c r="I483" s="70">
        <f t="shared" si="130"/>
        <v>0</v>
      </c>
      <c r="P483" s="17"/>
      <c r="Q483" s="17"/>
      <c r="R483" s="17"/>
      <c r="S483" s="17"/>
      <c r="T483" s="17"/>
    </row>
    <row r="484" spans="1:20" s="18" customFormat="1" ht="23.25" customHeight="1">
      <c r="A484" s="50" t="s">
        <v>140</v>
      </c>
      <c r="B484" s="49">
        <v>795</v>
      </c>
      <c r="C484" s="10" t="s">
        <v>167</v>
      </c>
      <c r="D484" s="10" t="s">
        <v>18</v>
      </c>
      <c r="E484" s="15" t="s">
        <v>498</v>
      </c>
      <c r="F484" s="15" t="s">
        <v>66</v>
      </c>
      <c r="G484" s="70">
        <f>прил4!G2141</f>
        <v>1033342.74</v>
      </c>
      <c r="H484" s="70">
        <f>прил4!H2141</f>
        <v>303889.8</v>
      </c>
      <c r="I484" s="70">
        <f>прил4!I2141</f>
        <v>0</v>
      </c>
      <c r="P484" s="17"/>
      <c r="Q484" s="17"/>
      <c r="R484" s="17"/>
      <c r="S484" s="17"/>
      <c r="T484" s="17"/>
    </row>
    <row r="485" spans="1:20" s="46" customFormat="1" ht="48.75" hidden="1" customHeight="1">
      <c r="A485" s="16" t="s">
        <v>410</v>
      </c>
      <c r="B485" s="49">
        <v>795</v>
      </c>
      <c r="C485" s="10" t="s">
        <v>167</v>
      </c>
      <c r="D485" s="10" t="s">
        <v>18</v>
      </c>
      <c r="E485" s="15" t="s">
        <v>365</v>
      </c>
      <c r="F485" s="15"/>
      <c r="G485" s="70">
        <f>G486+G488</f>
        <v>0</v>
      </c>
      <c r="H485" s="70">
        <f t="shared" ref="G485:I486" si="131">H486</f>
        <v>0</v>
      </c>
      <c r="I485" s="70">
        <f t="shared" si="131"/>
        <v>0</v>
      </c>
      <c r="P485" s="110"/>
      <c r="Q485" s="110"/>
      <c r="R485" s="110"/>
      <c r="S485" s="110"/>
      <c r="T485" s="110"/>
    </row>
    <row r="486" spans="1:20" s="46" customFormat="1" ht="28.5" hidden="1" customHeight="1">
      <c r="A486" s="16" t="s">
        <v>316</v>
      </c>
      <c r="B486" s="49">
        <v>795</v>
      </c>
      <c r="C486" s="10" t="s">
        <v>167</v>
      </c>
      <c r="D486" s="10" t="s">
        <v>18</v>
      </c>
      <c r="E486" s="15" t="s">
        <v>365</v>
      </c>
      <c r="F486" s="15" t="s">
        <v>36</v>
      </c>
      <c r="G486" s="70">
        <f t="shared" si="131"/>
        <v>0</v>
      </c>
      <c r="H486" s="70">
        <f t="shared" si="131"/>
        <v>0</v>
      </c>
      <c r="I486" s="70">
        <f t="shared" si="131"/>
        <v>0</v>
      </c>
      <c r="P486" s="110"/>
      <c r="Q486" s="110"/>
      <c r="R486" s="110"/>
      <c r="S486" s="110"/>
      <c r="T486" s="110"/>
    </row>
    <row r="487" spans="1:20" s="46" customFormat="1" ht="28.5" hidden="1" customHeight="1">
      <c r="A487" s="16" t="s">
        <v>37</v>
      </c>
      <c r="B487" s="49">
        <v>795</v>
      </c>
      <c r="C487" s="10" t="s">
        <v>167</v>
      </c>
      <c r="D487" s="10" t="s">
        <v>18</v>
      </c>
      <c r="E487" s="15" t="s">
        <v>365</v>
      </c>
      <c r="F487" s="15" t="s">
        <v>38</v>
      </c>
      <c r="G487" s="70"/>
      <c r="H487" s="70">
        <f>прил4!H3016</f>
        <v>0</v>
      </c>
      <c r="I487" s="70">
        <f>прил4!I3016</f>
        <v>0</v>
      </c>
      <c r="P487" s="110"/>
      <c r="Q487" s="110"/>
      <c r="R487" s="110"/>
      <c r="S487" s="110"/>
      <c r="T487" s="110"/>
    </row>
    <row r="488" spans="1:20" hidden="1">
      <c r="A488" s="82" t="s">
        <v>152</v>
      </c>
      <c r="B488" s="49">
        <v>795</v>
      </c>
      <c r="C488" s="15" t="s">
        <v>167</v>
      </c>
      <c r="D488" s="15" t="s">
        <v>27</v>
      </c>
      <c r="E488" s="15" t="s">
        <v>365</v>
      </c>
      <c r="F488" s="15" t="s">
        <v>153</v>
      </c>
      <c r="G488" s="70">
        <f>G489</f>
        <v>0</v>
      </c>
      <c r="H488" s="70">
        <f>H489</f>
        <v>0</v>
      </c>
      <c r="I488" s="70">
        <f>I489</f>
        <v>0</v>
      </c>
      <c r="J488" s="1"/>
    </row>
    <row r="489" spans="1:20" hidden="1">
      <c r="A489" s="82" t="s">
        <v>172</v>
      </c>
      <c r="B489" s="49">
        <v>795</v>
      </c>
      <c r="C489" s="15" t="s">
        <v>167</v>
      </c>
      <c r="D489" s="15" t="s">
        <v>27</v>
      </c>
      <c r="E489" s="15" t="s">
        <v>365</v>
      </c>
      <c r="F489" s="15" t="s">
        <v>173</v>
      </c>
      <c r="G489" s="70"/>
      <c r="H489" s="70"/>
      <c r="I489" s="70"/>
      <c r="J489" s="1"/>
    </row>
    <row r="490" spans="1:20" s="18" customFormat="1" ht="84.75" customHeight="1">
      <c r="A490" s="82" t="s">
        <v>945</v>
      </c>
      <c r="B490" s="49">
        <v>793</v>
      </c>
      <c r="C490" s="10" t="s">
        <v>167</v>
      </c>
      <c r="D490" s="10" t="s">
        <v>18</v>
      </c>
      <c r="E490" s="15" t="s">
        <v>944</v>
      </c>
      <c r="F490" s="15"/>
      <c r="G490" s="70">
        <f>G491</f>
        <v>54386.46</v>
      </c>
      <c r="H490" s="70">
        <f t="shared" ref="H490:I491" si="132">H491</f>
        <v>15994.2</v>
      </c>
      <c r="I490" s="70">
        <f t="shared" si="132"/>
        <v>0</v>
      </c>
      <c r="J490" s="173"/>
      <c r="K490" s="195"/>
      <c r="L490" s="195"/>
      <c r="M490" s="195"/>
      <c r="N490" s="195"/>
      <c r="O490" s="195"/>
      <c r="P490" s="195"/>
      <c r="Q490" s="195"/>
      <c r="R490" s="195"/>
    </row>
    <row r="491" spans="1:20" s="18" customFormat="1" ht="22.5" customHeight="1">
      <c r="A491" s="82" t="s">
        <v>62</v>
      </c>
      <c r="B491" s="49">
        <v>793</v>
      </c>
      <c r="C491" s="10" t="s">
        <v>167</v>
      </c>
      <c r="D491" s="10" t="s">
        <v>18</v>
      </c>
      <c r="E491" s="15" t="s">
        <v>944</v>
      </c>
      <c r="F491" s="15" t="s">
        <v>63</v>
      </c>
      <c r="G491" s="70">
        <f>G492</f>
        <v>54386.46</v>
      </c>
      <c r="H491" s="70">
        <f t="shared" si="132"/>
        <v>15994.2</v>
      </c>
      <c r="I491" s="70">
        <f t="shared" si="132"/>
        <v>0</v>
      </c>
      <c r="J491" s="173"/>
      <c r="K491" s="195"/>
      <c r="L491" s="195"/>
      <c r="M491" s="195"/>
      <c r="N491" s="195"/>
      <c r="O491" s="195"/>
      <c r="P491" s="195"/>
      <c r="Q491" s="195"/>
      <c r="R491" s="195"/>
    </row>
    <row r="492" spans="1:20" s="18" customFormat="1" ht="37.5" customHeight="1">
      <c r="A492" s="130" t="s">
        <v>140</v>
      </c>
      <c r="B492" s="49">
        <v>793</v>
      </c>
      <c r="C492" s="10" t="s">
        <v>167</v>
      </c>
      <c r="D492" s="10" t="s">
        <v>18</v>
      </c>
      <c r="E492" s="15" t="s">
        <v>944</v>
      </c>
      <c r="F492" s="15" t="s">
        <v>66</v>
      </c>
      <c r="G492" s="70">
        <f>прил4!G2144</f>
        <v>54386.46</v>
      </c>
      <c r="H492" s="70">
        <f>прил4!H2144</f>
        <v>15994.2</v>
      </c>
      <c r="I492" s="70">
        <f>прил4!I2144</f>
        <v>0</v>
      </c>
      <c r="J492" s="173"/>
      <c r="K492" s="195"/>
      <c r="L492" s="195"/>
      <c r="M492" s="195"/>
      <c r="N492" s="195"/>
      <c r="O492" s="195"/>
      <c r="P492" s="195"/>
      <c r="Q492" s="195"/>
      <c r="R492" s="195"/>
    </row>
    <row r="493" spans="1:20" s="18" customFormat="1" hidden="1">
      <c r="A493" s="16"/>
      <c r="B493" s="49"/>
      <c r="C493" s="10"/>
      <c r="D493" s="10"/>
      <c r="E493" s="15"/>
      <c r="F493" s="15"/>
      <c r="G493" s="70"/>
      <c r="H493" s="70"/>
      <c r="I493" s="70"/>
      <c r="P493" s="17"/>
      <c r="Q493" s="17"/>
      <c r="R493" s="17"/>
      <c r="S493" s="17"/>
      <c r="T493" s="17"/>
    </row>
    <row r="494" spans="1:20" s="18" customFormat="1" ht="92.4" hidden="1">
      <c r="A494" s="16" t="s">
        <v>424</v>
      </c>
      <c r="B494" s="49">
        <v>793</v>
      </c>
      <c r="C494" s="10" t="s">
        <v>167</v>
      </c>
      <c r="D494" s="10" t="s">
        <v>18</v>
      </c>
      <c r="E494" s="15" t="s">
        <v>497</v>
      </c>
      <c r="F494" s="15"/>
      <c r="G494" s="70">
        <f>G495</f>
        <v>0</v>
      </c>
      <c r="H494" s="70">
        <f t="shared" ref="H494:I498" si="133">H495</f>
        <v>0</v>
      </c>
      <c r="I494" s="70">
        <f t="shared" si="133"/>
        <v>0</v>
      </c>
      <c r="P494" s="17"/>
      <c r="Q494" s="17"/>
      <c r="R494" s="17"/>
      <c r="S494" s="17"/>
      <c r="T494" s="17"/>
    </row>
    <row r="495" spans="1:20" s="18" customFormat="1" ht="23.25" hidden="1" customHeight="1">
      <c r="A495" s="82" t="s">
        <v>62</v>
      </c>
      <c r="B495" s="49">
        <v>793</v>
      </c>
      <c r="C495" s="10" t="s">
        <v>167</v>
      </c>
      <c r="D495" s="10" t="s">
        <v>18</v>
      </c>
      <c r="E495" s="15" t="s">
        <v>497</v>
      </c>
      <c r="F495" s="15" t="s">
        <v>63</v>
      </c>
      <c r="G495" s="70">
        <f>G496</f>
        <v>0</v>
      </c>
      <c r="H495" s="70">
        <f t="shared" si="133"/>
        <v>0</v>
      </c>
      <c r="I495" s="70">
        <f t="shared" si="133"/>
        <v>0</v>
      </c>
      <c r="P495" s="17"/>
      <c r="Q495" s="17"/>
      <c r="R495" s="17"/>
      <c r="S495" s="17"/>
      <c r="T495" s="17"/>
    </row>
    <row r="496" spans="1:20" s="18" customFormat="1" ht="20.25" hidden="1" customHeight="1">
      <c r="A496" s="130" t="s">
        <v>140</v>
      </c>
      <c r="B496" s="49">
        <v>793</v>
      </c>
      <c r="C496" s="10" t="s">
        <v>167</v>
      </c>
      <c r="D496" s="10" t="s">
        <v>18</v>
      </c>
      <c r="E496" s="15" t="s">
        <v>497</v>
      </c>
      <c r="F496" s="15" t="s">
        <v>66</v>
      </c>
      <c r="G496" s="70"/>
      <c r="H496" s="70"/>
      <c r="I496" s="70"/>
      <c r="P496" s="17"/>
      <c r="Q496" s="17"/>
      <c r="R496" s="17"/>
      <c r="S496" s="17"/>
      <c r="T496" s="17"/>
    </row>
    <row r="497" spans="1:20" s="18" customFormat="1" ht="79.2" hidden="1">
      <c r="A497" s="82" t="s">
        <v>425</v>
      </c>
      <c r="B497" s="49">
        <v>793</v>
      </c>
      <c r="C497" s="10" t="s">
        <v>167</v>
      </c>
      <c r="D497" s="10" t="s">
        <v>18</v>
      </c>
      <c r="E497" s="15" t="s">
        <v>498</v>
      </c>
      <c r="F497" s="15"/>
      <c r="G497" s="70">
        <f>G498</f>
        <v>0</v>
      </c>
      <c r="H497" s="70">
        <f t="shared" si="133"/>
        <v>0</v>
      </c>
      <c r="I497" s="70">
        <f t="shared" si="133"/>
        <v>0</v>
      </c>
      <c r="P497" s="17"/>
      <c r="Q497" s="17"/>
      <c r="R497" s="17"/>
      <c r="S497" s="17"/>
      <c r="T497" s="17"/>
    </row>
    <row r="498" spans="1:20" s="18" customFormat="1" ht="22.5" hidden="1" customHeight="1">
      <c r="A498" s="82" t="s">
        <v>62</v>
      </c>
      <c r="B498" s="49">
        <v>793</v>
      </c>
      <c r="C498" s="10" t="s">
        <v>167</v>
      </c>
      <c r="D498" s="10" t="s">
        <v>18</v>
      </c>
      <c r="E498" s="15" t="s">
        <v>498</v>
      </c>
      <c r="F498" s="15" t="s">
        <v>63</v>
      </c>
      <c r="G498" s="70">
        <f>G499</f>
        <v>0</v>
      </c>
      <c r="H498" s="70">
        <f t="shared" si="133"/>
        <v>0</v>
      </c>
      <c r="I498" s="70">
        <f t="shared" si="133"/>
        <v>0</v>
      </c>
      <c r="P498" s="17"/>
      <c r="Q498" s="17"/>
      <c r="R498" s="17"/>
      <c r="S498" s="17"/>
      <c r="T498" s="17"/>
    </row>
    <row r="499" spans="1:20" s="18" customFormat="1" ht="17.25" hidden="1" customHeight="1">
      <c r="A499" s="130" t="s">
        <v>140</v>
      </c>
      <c r="B499" s="49">
        <v>793</v>
      </c>
      <c r="C499" s="10" t="s">
        <v>167</v>
      </c>
      <c r="D499" s="10" t="s">
        <v>18</v>
      </c>
      <c r="E499" s="15" t="s">
        <v>498</v>
      </c>
      <c r="F499" s="15" t="s">
        <v>66</v>
      </c>
      <c r="G499" s="70"/>
      <c r="H499" s="70"/>
      <c r="I499" s="70"/>
      <c r="P499" s="17"/>
      <c r="Q499" s="17"/>
      <c r="R499" s="17"/>
      <c r="S499" s="17"/>
      <c r="T499" s="17"/>
    </row>
    <row r="500" spans="1:20" s="46" customFormat="1" ht="48.75" customHeight="1">
      <c r="A500" s="16" t="s">
        <v>1187</v>
      </c>
      <c r="B500" s="49">
        <v>793</v>
      </c>
      <c r="C500" s="10" t="s">
        <v>167</v>
      </c>
      <c r="D500" s="10" t="s">
        <v>18</v>
      </c>
      <c r="E500" s="15" t="s">
        <v>365</v>
      </c>
      <c r="F500" s="15"/>
      <c r="G500" s="70">
        <f>G501+G532</f>
        <v>1647500</v>
      </c>
      <c r="H500" s="70">
        <f t="shared" ref="G500:I501" si="134">H501</f>
        <v>534005.80000000005</v>
      </c>
      <c r="I500" s="70">
        <f t="shared" si="134"/>
        <v>550000</v>
      </c>
      <c r="P500" s="110"/>
      <c r="Q500" s="110"/>
      <c r="R500" s="110"/>
      <c r="S500" s="110"/>
      <c r="T500" s="110"/>
    </row>
    <row r="501" spans="1:20" s="46" customFormat="1" ht="21" customHeight="1">
      <c r="A501" s="16" t="s">
        <v>316</v>
      </c>
      <c r="B501" s="49">
        <v>793</v>
      </c>
      <c r="C501" s="10" t="s">
        <v>167</v>
      </c>
      <c r="D501" s="10" t="s">
        <v>18</v>
      </c>
      <c r="E501" s="15" t="s">
        <v>365</v>
      </c>
      <c r="F501" s="15" t="s">
        <v>36</v>
      </c>
      <c r="G501" s="70">
        <f t="shared" si="134"/>
        <v>1647500</v>
      </c>
      <c r="H501" s="70">
        <f t="shared" si="134"/>
        <v>534005.80000000005</v>
      </c>
      <c r="I501" s="70">
        <f t="shared" si="134"/>
        <v>550000</v>
      </c>
      <c r="P501" s="110"/>
      <c r="Q501" s="110"/>
      <c r="R501" s="110"/>
      <c r="S501" s="110"/>
      <c r="T501" s="110"/>
    </row>
    <row r="502" spans="1:20" s="46" customFormat="1" ht="28.5" customHeight="1">
      <c r="A502" s="16" t="s">
        <v>37</v>
      </c>
      <c r="B502" s="49">
        <v>793</v>
      </c>
      <c r="C502" s="10" t="s">
        <v>167</v>
      </c>
      <c r="D502" s="10" t="s">
        <v>18</v>
      </c>
      <c r="E502" s="15" t="s">
        <v>365</v>
      </c>
      <c r="F502" s="15" t="s">
        <v>38</v>
      </c>
      <c r="G502" s="70">
        <f>прил4!G3268+прил4!G2128</f>
        <v>1647500</v>
      </c>
      <c r="H502" s="70">
        <f>прил4!H3268+прил4!H2128</f>
        <v>534005.80000000005</v>
      </c>
      <c r="I502" s="70">
        <f>прил4!I3268+прил4!I2128</f>
        <v>550000</v>
      </c>
      <c r="P502" s="110"/>
      <c r="Q502" s="110"/>
      <c r="R502" s="110"/>
      <c r="S502" s="110"/>
      <c r="T502" s="110"/>
    </row>
    <row r="503" spans="1:20" s="18" customFormat="1" ht="39" customHeight="1">
      <c r="A503" s="82" t="s">
        <v>1419</v>
      </c>
      <c r="B503" s="83">
        <v>793</v>
      </c>
      <c r="C503" s="149" t="s">
        <v>167</v>
      </c>
      <c r="D503" s="149" t="s">
        <v>18</v>
      </c>
      <c r="E503" s="84" t="s">
        <v>1418</v>
      </c>
      <c r="F503" s="84"/>
      <c r="G503" s="87">
        <f>G504</f>
        <v>25000</v>
      </c>
      <c r="H503" s="87">
        <f>H504</f>
        <v>0</v>
      </c>
      <c r="I503" s="87">
        <f>I504</f>
        <v>0</v>
      </c>
      <c r="J503" s="173"/>
      <c r="K503" s="195"/>
      <c r="L503" s="195"/>
      <c r="M503" s="195"/>
      <c r="N503" s="195"/>
      <c r="O503" s="195"/>
      <c r="P503" s="195"/>
      <c r="Q503" s="195"/>
      <c r="R503" s="195"/>
    </row>
    <row r="504" spans="1:20" ht="30.75" customHeight="1">
      <c r="A504" s="82" t="s">
        <v>35</v>
      </c>
      <c r="B504" s="83">
        <v>793</v>
      </c>
      <c r="C504" s="149" t="s">
        <v>167</v>
      </c>
      <c r="D504" s="149" t="s">
        <v>18</v>
      </c>
      <c r="E504" s="84" t="s">
        <v>1418</v>
      </c>
      <c r="F504" s="84" t="s">
        <v>36</v>
      </c>
      <c r="G504" s="87">
        <f t="shared" ref="G504:I504" si="135">G505</f>
        <v>25000</v>
      </c>
      <c r="H504" s="87">
        <f t="shared" si="135"/>
        <v>0</v>
      </c>
      <c r="I504" s="87">
        <f t="shared" si="135"/>
        <v>0</v>
      </c>
      <c r="J504" s="173"/>
      <c r="K504" s="181"/>
      <c r="L504" s="181"/>
      <c r="M504" s="181"/>
      <c r="N504" s="181"/>
      <c r="O504" s="181"/>
      <c r="P504" s="181"/>
      <c r="Q504" s="181"/>
      <c r="R504" s="181"/>
      <c r="S504" s="1"/>
      <c r="T504" s="1"/>
    </row>
    <row r="505" spans="1:20" s="18" customFormat="1" ht="34.5" customHeight="1">
      <c r="A505" s="82" t="s">
        <v>37</v>
      </c>
      <c r="B505" s="83">
        <v>793</v>
      </c>
      <c r="C505" s="149" t="s">
        <v>167</v>
      </c>
      <c r="D505" s="149" t="s">
        <v>18</v>
      </c>
      <c r="E505" s="84" t="s">
        <v>1418</v>
      </c>
      <c r="F505" s="84" t="s">
        <v>38</v>
      </c>
      <c r="G505" s="87">
        <f>прил4!G2131</f>
        <v>25000</v>
      </c>
      <c r="H505" s="87">
        <v>0</v>
      </c>
      <c r="I505" s="87">
        <v>0</v>
      </c>
      <c r="J505" s="173"/>
      <c r="K505" s="195"/>
      <c r="L505" s="195"/>
      <c r="M505" s="195"/>
      <c r="N505" s="195"/>
      <c r="O505" s="195"/>
      <c r="P505" s="195"/>
      <c r="Q505" s="195"/>
      <c r="R505" s="195"/>
    </row>
    <row r="506" spans="1:20" s="3" customFormat="1" ht="126.75" customHeight="1">
      <c r="A506" s="130" t="s">
        <v>1508</v>
      </c>
      <c r="B506" s="49">
        <v>793</v>
      </c>
      <c r="C506" s="84" t="s">
        <v>25</v>
      </c>
      <c r="D506" s="84" t="s">
        <v>25</v>
      </c>
      <c r="E506" s="84" t="s">
        <v>1299</v>
      </c>
      <c r="F506" s="84"/>
      <c r="G506" s="87">
        <f t="shared" ref="G506:I507" si="136">G507</f>
        <v>400000</v>
      </c>
      <c r="H506" s="87">
        <f t="shared" si="136"/>
        <v>0</v>
      </c>
      <c r="I506" s="87">
        <f t="shared" si="136"/>
        <v>0</v>
      </c>
      <c r="J506" s="173"/>
      <c r="K506" s="194"/>
      <c r="L506" s="194"/>
      <c r="M506" s="194"/>
      <c r="N506" s="194"/>
      <c r="O506" s="194"/>
      <c r="P506" s="194"/>
      <c r="Q506" s="194"/>
      <c r="R506" s="194"/>
    </row>
    <row r="507" spans="1:20" s="3" customFormat="1" ht="42.75" customHeight="1">
      <c r="A507" s="82" t="s">
        <v>94</v>
      </c>
      <c r="B507" s="49">
        <v>793</v>
      </c>
      <c r="C507" s="84" t="s">
        <v>25</v>
      </c>
      <c r="D507" s="84" t="s">
        <v>25</v>
      </c>
      <c r="E507" s="84" t="s">
        <v>1299</v>
      </c>
      <c r="F507" s="84" t="s">
        <v>338</v>
      </c>
      <c r="G507" s="87">
        <f t="shared" si="136"/>
        <v>400000</v>
      </c>
      <c r="H507" s="87">
        <f t="shared" si="136"/>
        <v>0</v>
      </c>
      <c r="I507" s="87">
        <f t="shared" si="136"/>
        <v>0</v>
      </c>
      <c r="J507" s="173"/>
      <c r="K507" s="194"/>
      <c r="L507" s="194"/>
      <c r="M507" s="194"/>
      <c r="N507" s="194"/>
      <c r="O507" s="194"/>
      <c r="P507" s="194"/>
      <c r="Q507" s="194"/>
      <c r="R507" s="194"/>
    </row>
    <row r="508" spans="1:20" s="3" customFormat="1">
      <c r="A508" s="82" t="s">
        <v>339</v>
      </c>
      <c r="B508" s="49">
        <v>793</v>
      </c>
      <c r="C508" s="84" t="s">
        <v>25</v>
      </c>
      <c r="D508" s="84" t="s">
        <v>25</v>
      </c>
      <c r="E508" s="84" t="s">
        <v>1299</v>
      </c>
      <c r="F508" s="84" t="s">
        <v>340</v>
      </c>
      <c r="G508" s="87">
        <f>прил4!G2716</f>
        <v>400000</v>
      </c>
      <c r="H508" s="87">
        <v>0</v>
      </c>
      <c r="I508" s="87">
        <v>0</v>
      </c>
      <c r="J508" s="173"/>
      <c r="K508" s="194"/>
      <c r="L508" s="194"/>
      <c r="M508" s="194"/>
      <c r="N508" s="194"/>
      <c r="O508" s="194"/>
      <c r="P508" s="194"/>
      <c r="Q508" s="194"/>
      <c r="R508" s="194"/>
    </row>
    <row r="509" spans="1:20" s="3" customFormat="1" ht="105.6">
      <c r="A509" s="82" t="s">
        <v>1430</v>
      </c>
      <c r="B509" s="49">
        <v>793</v>
      </c>
      <c r="C509" s="84" t="s">
        <v>25</v>
      </c>
      <c r="D509" s="84" t="s">
        <v>27</v>
      </c>
      <c r="E509" s="84" t="s">
        <v>1431</v>
      </c>
      <c r="F509" s="84"/>
      <c r="G509" s="87">
        <f t="shared" ref="G509:I510" si="137">G510</f>
        <v>1168166.57</v>
      </c>
      <c r="H509" s="87">
        <f t="shared" si="137"/>
        <v>0</v>
      </c>
      <c r="I509" s="87">
        <f t="shared" si="137"/>
        <v>0</v>
      </c>
      <c r="J509" s="173"/>
      <c r="K509" s="194"/>
      <c r="L509" s="194"/>
      <c r="M509" s="194"/>
      <c r="N509" s="194"/>
      <c r="O509" s="194"/>
      <c r="P509" s="194"/>
      <c r="Q509" s="194"/>
      <c r="R509" s="194"/>
    </row>
    <row r="510" spans="1:20" s="3" customFormat="1" ht="26.4">
      <c r="A510" s="82" t="s">
        <v>94</v>
      </c>
      <c r="B510" s="49">
        <v>793</v>
      </c>
      <c r="C510" s="84" t="s">
        <v>25</v>
      </c>
      <c r="D510" s="84" t="s">
        <v>27</v>
      </c>
      <c r="E510" s="84" t="s">
        <v>1431</v>
      </c>
      <c r="F510" s="84" t="s">
        <v>338</v>
      </c>
      <c r="G510" s="87">
        <f t="shared" si="137"/>
        <v>1168166.57</v>
      </c>
      <c r="H510" s="87">
        <f t="shared" si="137"/>
        <v>0</v>
      </c>
      <c r="I510" s="87">
        <f t="shared" si="137"/>
        <v>0</v>
      </c>
      <c r="J510" s="173"/>
      <c r="K510" s="194"/>
      <c r="L510" s="194"/>
      <c r="M510" s="194"/>
      <c r="N510" s="194"/>
      <c r="O510" s="194"/>
      <c r="P510" s="194"/>
      <c r="Q510" s="194"/>
      <c r="R510" s="194"/>
    </row>
    <row r="511" spans="1:20" s="3" customFormat="1">
      <c r="A511" s="82" t="s">
        <v>339</v>
      </c>
      <c r="B511" s="49">
        <v>793</v>
      </c>
      <c r="C511" s="84" t="s">
        <v>25</v>
      </c>
      <c r="D511" s="84" t="s">
        <v>27</v>
      </c>
      <c r="E511" s="84" t="s">
        <v>1431</v>
      </c>
      <c r="F511" s="84" t="s">
        <v>340</v>
      </c>
      <c r="G511" s="87">
        <f>прил4!G2697</f>
        <v>1168166.57</v>
      </c>
      <c r="H511" s="87">
        <v>0</v>
      </c>
      <c r="I511" s="87">
        <v>0</v>
      </c>
      <c r="J511" s="173"/>
      <c r="K511" s="194"/>
      <c r="L511" s="194"/>
      <c r="M511" s="194"/>
      <c r="N511" s="194"/>
      <c r="O511" s="194"/>
      <c r="P511" s="194"/>
      <c r="Q511" s="194"/>
      <c r="R511" s="194"/>
    </row>
    <row r="512" spans="1:20" s="3" customFormat="1" ht="118.8">
      <c r="A512" s="82" t="s">
        <v>1432</v>
      </c>
      <c r="B512" s="49">
        <v>793</v>
      </c>
      <c r="C512" s="84" t="s">
        <v>25</v>
      </c>
      <c r="D512" s="84" t="s">
        <v>25</v>
      </c>
      <c r="E512" s="84" t="s">
        <v>1433</v>
      </c>
      <c r="F512" s="84"/>
      <c r="G512" s="87">
        <f t="shared" ref="G512:I513" si="138">G513</f>
        <v>600000</v>
      </c>
      <c r="H512" s="87">
        <f t="shared" si="138"/>
        <v>0</v>
      </c>
      <c r="I512" s="87">
        <f t="shared" si="138"/>
        <v>0</v>
      </c>
      <c r="J512" s="173"/>
      <c r="K512" s="194"/>
      <c r="L512" s="194"/>
      <c r="M512" s="194"/>
      <c r="N512" s="194"/>
      <c r="O512" s="194"/>
      <c r="P512" s="194"/>
      <c r="Q512" s="194"/>
      <c r="R512" s="194"/>
    </row>
    <row r="513" spans="1:20" s="3" customFormat="1" ht="26.4">
      <c r="A513" s="82" t="s">
        <v>94</v>
      </c>
      <c r="B513" s="49">
        <v>793</v>
      </c>
      <c r="C513" s="84" t="s">
        <v>25</v>
      </c>
      <c r="D513" s="84" t="s">
        <v>25</v>
      </c>
      <c r="E513" s="84" t="s">
        <v>1433</v>
      </c>
      <c r="F513" s="84" t="s">
        <v>338</v>
      </c>
      <c r="G513" s="87">
        <f t="shared" si="138"/>
        <v>600000</v>
      </c>
      <c r="H513" s="87">
        <f t="shared" si="138"/>
        <v>0</v>
      </c>
      <c r="I513" s="87">
        <f t="shared" si="138"/>
        <v>0</v>
      </c>
      <c r="J513" s="173"/>
      <c r="K513" s="194"/>
      <c r="L513" s="194"/>
      <c r="M513" s="194"/>
      <c r="N513" s="194"/>
      <c r="O513" s="194"/>
      <c r="P513" s="194"/>
      <c r="Q513" s="194"/>
      <c r="R513" s="194"/>
    </row>
    <row r="514" spans="1:20" s="3" customFormat="1">
      <c r="A514" s="82" t="s">
        <v>339</v>
      </c>
      <c r="B514" s="49">
        <v>793</v>
      </c>
      <c r="C514" s="84" t="s">
        <v>25</v>
      </c>
      <c r="D514" s="84" t="s">
        <v>25</v>
      </c>
      <c r="E514" s="84" t="s">
        <v>1433</v>
      </c>
      <c r="F514" s="84" t="s">
        <v>340</v>
      </c>
      <c r="G514" s="87">
        <f>прил4!G2713</f>
        <v>600000</v>
      </c>
      <c r="H514" s="87">
        <v>0</v>
      </c>
      <c r="I514" s="87">
        <v>0</v>
      </c>
      <c r="J514" s="173"/>
      <c r="K514" s="194"/>
      <c r="L514" s="194"/>
      <c r="M514" s="194"/>
      <c r="N514" s="194"/>
      <c r="O514" s="194"/>
      <c r="P514" s="194"/>
      <c r="Q514" s="194"/>
      <c r="R514" s="194"/>
    </row>
    <row r="515" spans="1:20" s="3" customFormat="1" ht="66">
      <c r="A515" s="82" t="s">
        <v>1233</v>
      </c>
      <c r="B515" s="49">
        <v>793</v>
      </c>
      <c r="C515" s="84" t="s">
        <v>25</v>
      </c>
      <c r="D515" s="84" t="s">
        <v>27</v>
      </c>
      <c r="E515" s="84" t="s">
        <v>1298</v>
      </c>
      <c r="F515" s="84"/>
      <c r="G515" s="87">
        <f t="shared" ref="G515:I516" si="139">G516</f>
        <v>0</v>
      </c>
      <c r="H515" s="87">
        <f t="shared" si="139"/>
        <v>0</v>
      </c>
      <c r="I515" s="87">
        <f t="shared" si="139"/>
        <v>0</v>
      </c>
      <c r="J515" s="173"/>
      <c r="K515" s="194"/>
      <c r="L515" s="194"/>
      <c r="M515" s="194"/>
      <c r="N515" s="194"/>
      <c r="O515" s="194"/>
      <c r="P515" s="194"/>
      <c r="Q515" s="194"/>
      <c r="R515" s="194"/>
    </row>
    <row r="516" spans="1:20" s="3" customFormat="1" ht="26.4">
      <c r="A516" s="82" t="s">
        <v>94</v>
      </c>
      <c r="B516" s="49">
        <v>793</v>
      </c>
      <c r="C516" s="84" t="s">
        <v>25</v>
      </c>
      <c r="D516" s="84" t="s">
        <v>27</v>
      </c>
      <c r="E516" s="84" t="s">
        <v>1298</v>
      </c>
      <c r="F516" s="84" t="s">
        <v>338</v>
      </c>
      <c r="G516" s="87">
        <f t="shared" si="139"/>
        <v>0</v>
      </c>
      <c r="H516" s="87">
        <f t="shared" si="139"/>
        <v>0</v>
      </c>
      <c r="I516" s="87">
        <f t="shared" si="139"/>
        <v>0</v>
      </c>
      <c r="J516" s="173"/>
      <c r="K516" s="194"/>
      <c r="L516" s="194"/>
      <c r="M516" s="194"/>
      <c r="N516" s="194"/>
      <c r="O516" s="194"/>
      <c r="P516" s="194"/>
      <c r="Q516" s="194"/>
      <c r="R516" s="194"/>
    </row>
    <row r="517" spans="1:20" s="3" customFormat="1">
      <c r="A517" s="82" t="s">
        <v>339</v>
      </c>
      <c r="B517" s="49">
        <v>793</v>
      </c>
      <c r="C517" s="84" t="s">
        <v>25</v>
      </c>
      <c r="D517" s="84" t="s">
        <v>27</v>
      </c>
      <c r="E517" s="84" t="s">
        <v>1298</v>
      </c>
      <c r="F517" s="84" t="s">
        <v>340</v>
      </c>
      <c r="G517" s="87">
        <f>прил4!G2700</f>
        <v>0</v>
      </c>
      <c r="H517" s="87">
        <v>0</v>
      </c>
      <c r="I517" s="87">
        <v>0</v>
      </c>
      <c r="J517" s="173"/>
      <c r="K517" s="194"/>
      <c r="L517" s="194"/>
      <c r="M517" s="194"/>
      <c r="N517" s="194"/>
      <c r="O517" s="194"/>
      <c r="P517" s="194"/>
      <c r="Q517" s="194"/>
      <c r="R517" s="194"/>
    </row>
    <row r="518" spans="1:20" s="18" customFormat="1" ht="25.5" customHeight="1">
      <c r="A518" s="16" t="s">
        <v>1448</v>
      </c>
      <c r="B518" s="49">
        <v>793</v>
      </c>
      <c r="C518" s="15" t="s">
        <v>167</v>
      </c>
      <c r="D518" s="15" t="s">
        <v>18</v>
      </c>
      <c r="E518" s="15" t="s">
        <v>1151</v>
      </c>
      <c r="F518" s="15"/>
      <c r="G518" s="70">
        <f>G519+G521</f>
        <v>1146499.9200000002</v>
      </c>
      <c r="H518" s="70">
        <f t="shared" ref="G518:I519" si="140">H519</f>
        <v>0</v>
      </c>
      <c r="I518" s="70">
        <f t="shared" si="140"/>
        <v>0</v>
      </c>
      <c r="J518" s="172"/>
      <c r="K518" s="180"/>
      <c r="L518" s="180"/>
      <c r="M518" s="180"/>
      <c r="N518" s="180"/>
      <c r="O518" s="180"/>
      <c r="P518" s="180"/>
      <c r="Q518" s="180"/>
      <c r="R518" s="180"/>
    </row>
    <row r="519" spans="1:20" ht="30.75" customHeight="1">
      <c r="A519" s="16" t="s">
        <v>35</v>
      </c>
      <c r="B519" s="49">
        <v>793</v>
      </c>
      <c r="C519" s="15" t="s">
        <v>167</v>
      </c>
      <c r="D519" s="15" t="s">
        <v>18</v>
      </c>
      <c r="E519" s="15" t="s">
        <v>1151</v>
      </c>
      <c r="F519" s="15" t="s">
        <v>36</v>
      </c>
      <c r="G519" s="70">
        <f t="shared" si="140"/>
        <v>1125779.05</v>
      </c>
      <c r="H519" s="70">
        <f t="shared" si="140"/>
        <v>0</v>
      </c>
      <c r="I519" s="70">
        <f t="shared" si="140"/>
        <v>0</v>
      </c>
      <c r="J519" s="172"/>
      <c r="K519" s="69"/>
      <c r="L519" s="69"/>
      <c r="M519" s="69"/>
      <c r="N519" s="69"/>
      <c r="O519" s="69"/>
      <c r="P519" s="69"/>
      <c r="Q519" s="241"/>
      <c r="R519" s="69"/>
      <c r="S519" s="1"/>
      <c r="T519" s="1"/>
    </row>
    <row r="520" spans="1:20" s="18" customFormat="1" ht="34.5" customHeight="1">
      <c r="A520" s="16" t="s">
        <v>37</v>
      </c>
      <c r="B520" s="49">
        <v>793</v>
      </c>
      <c r="C520" s="15" t="s">
        <v>167</v>
      </c>
      <c r="D520" s="15" t="s">
        <v>18</v>
      </c>
      <c r="E520" s="15" t="s">
        <v>1151</v>
      </c>
      <c r="F520" s="15" t="s">
        <v>38</v>
      </c>
      <c r="G520" s="70">
        <f>прил4!G2151</f>
        <v>1125779.05</v>
      </c>
      <c r="H520" s="70">
        <v>0</v>
      </c>
      <c r="I520" s="70">
        <v>0</v>
      </c>
      <c r="J520" s="172"/>
      <c r="K520" s="180"/>
      <c r="L520" s="180"/>
      <c r="M520" s="180"/>
      <c r="N520" s="180"/>
      <c r="O520" s="180"/>
      <c r="P520" s="180"/>
      <c r="Q520" s="180"/>
      <c r="R520" s="180"/>
    </row>
    <row r="521" spans="1:20" s="18" customFormat="1" ht="24" customHeight="1">
      <c r="A521" s="16" t="s">
        <v>62</v>
      </c>
      <c r="B521" s="49">
        <v>793</v>
      </c>
      <c r="C521" s="15" t="s">
        <v>167</v>
      </c>
      <c r="D521" s="15" t="s">
        <v>18</v>
      </c>
      <c r="E521" s="15" t="s">
        <v>1151</v>
      </c>
      <c r="F521" s="15" t="s">
        <v>63</v>
      </c>
      <c r="G521" s="70">
        <f>G522</f>
        <v>20720.87</v>
      </c>
      <c r="H521" s="70"/>
      <c r="I521" s="70"/>
      <c r="J521" s="172"/>
      <c r="K521" s="180"/>
      <c r="L521" s="180"/>
      <c r="M521" s="180"/>
      <c r="N521" s="180"/>
      <c r="O521" s="180"/>
      <c r="P521" s="180"/>
      <c r="Q521" s="180"/>
      <c r="R521" s="180"/>
    </row>
    <row r="522" spans="1:20" s="18" customFormat="1" ht="23.25" customHeight="1">
      <c r="A522" s="50" t="s">
        <v>140</v>
      </c>
      <c r="B522" s="49">
        <v>793</v>
      </c>
      <c r="C522" s="15" t="s">
        <v>167</v>
      </c>
      <c r="D522" s="15" t="s">
        <v>18</v>
      </c>
      <c r="E522" s="15" t="s">
        <v>1151</v>
      </c>
      <c r="F522" s="15" t="s">
        <v>66</v>
      </c>
      <c r="G522" s="70">
        <f>прил4!G2153</f>
        <v>20720.87</v>
      </c>
      <c r="H522" s="70"/>
      <c r="I522" s="70"/>
      <c r="J522" s="172"/>
      <c r="K522" s="180"/>
      <c r="L522" s="180"/>
      <c r="M522" s="180"/>
      <c r="N522" s="180"/>
      <c r="O522" s="180"/>
      <c r="P522" s="180"/>
      <c r="Q522" s="180"/>
      <c r="R522" s="180"/>
    </row>
    <row r="523" spans="1:20" s="18" customFormat="1" ht="20.25" customHeight="1">
      <c r="A523" s="16" t="s">
        <v>1439</v>
      </c>
      <c r="B523" s="49">
        <v>793</v>
      </c>
      <c r="C523" s="15" t="s">
        <v>167</v>
      </c>
      <c r="D523" s="15" t="s">
        <v>18</v>
      </c>
      <c r="E523" s="15" t="s">
        <v>1440</v>
      </c>
      <c r="F523" s="15"/>
      <c r="G523" s="70">
        <f t="shared" ref="G523:I524" si="141">G524</f>
        <v>968699.96</v>
      </c>
      <c r="H523" s="70">
        <f t="shared" si="141"/>
        <v>0</v>
      </c>
      <c r="I523" s="70">
        <f t="shared" si="141"/>
        <v>0</v>
      </c>
      <c r="J523" s="172"/>
      <c r="K523" s="180"/>
      <c r="L523" s="180"/>
      <c r="M523" s="180"/>
      <c r="N523" s="180"/>
      <c r="O523" s="180"/>
      <c r="P523" s="180"/>
      <c r="Q523" s="180"/>
      <c r="R523" s="180"/>
    </row>
    <row r="524" spans="1:20" ht="30.75" customHeight="1">
      <c r="A524" s="16" t="s">
        <v>35</v>
      </c>
      <c r="B524" s="49">
        <v>793</v>
      </c>
      <c r="C524" s="15" t="s">
        <v>167</v>
      </c>
      <c r="D524" s="15" t="s">
        <v>18</v>
      </c>
      <c r="E524" s="15" t="s">
        <v>1440</v>
      </c>
      <c r="F524" s="15" t="s">
        <v>36</v>
      </c>
      <c r="G524" s="70">
        <f t="shared" si="141"/>
        <v>968699.96</v>
      </c>
      <c r="H524" s="70">
        <f t="shared" si="141"/>
        <v>0</v>
      </c>
      <c r="I524" s="70">
        <f t="shared" si="141"/>
        <v>0</v>
      </c>
      <c r="J524" s="172"/>
      <c r="K524" s="69"/>
      <c r="L524" s="69"/>
      <c r="M524" s="69"/>
      <c r="N524" s="69"/>
      <c r="O524" s="69"/>
      <c r="P524" s="69"/>
      <c r="Q524" s="69"/>
      <c r="R524" s="69"/>
      <c r="S524" s="1"/>
      <c r="T524" s="1"/>
    </row>
    <row r="525" spans="1:20" s="18" customFormat="1" ht="34.5" customHeight="1">
      <c r="A525" s="16" t="s">
        <v>37</v>
      </c>
      <c r="B525" s="49">
        <v>793</v>
      </c>
      <c r="C525" s="15" t="s">
        <v>167</v>
      </c>
      <c r="D525" s="15" t="s">
        <v>18</v>
      </c>
      <c r="E525" s="15" t="s">
        <v>1440</v>
      </c>
      <c r="F525" s="15" t="s">
        <v>38</v>
      </c>
      <c r="G525" s="70">
        <f>прил4!G2156</f>
        <v>968699.96</v>
      </c>
      <c r="H525" s="70">
        <v>0</v>
      </c>
      <c r="I525" s="70">
        <v>0</v>
      </c>
      <c r="J525" s="172"/>
      <c r="K525" s="180"/>
      <c r="L525" s="180"/>
      <c r="M525" s="180"/>
      <c r="N525" s="180"/>
      <c r="O525" s="180"/>
      <c r="P525" s="180"/>
      <c r="Q525" s="180"/>
      <c r="R525" s="180"/>
    </row>
    <row r="526" spans="1:20" s="18" customFormat="1" ht="64.5" customHeight="1">
      <c r="A526" s="16" t="s">
        <v>1466</v>
      </c>
      <c r="B526" s="49">
        <v>793</v>
      </c>
      <c r="C526" s="15" t="s">
        <v>167</v>
      </c>
      <c r="D526" s="15" t="s">
        <v>18</v>
      </c>
      <c r="E526" s="15" t="s">
        <v>1465</v>
      </c>
      <c r="F526" s="15"/>
      <c r="G526" s="70">
        <f t="shared" ref="G526:I527" si="142">G527</f>
        <v>547010</v>
      </c>
      <c r="H526" s="70">
        <f t="shared" si="142"/>
        <v>0</v>
      </c>
      <c r="I526" s="70">
        <f t="shared" si="142"/>
        <v>0</v>
      </c>
      <c r="J526" s="172"/>
      <c r="K526" s="180"/>
      <c r="L526" s="180"/>
      <c r="M526" s="180"/>
      <c r="N526" s="180"/>
      <c r="O526" s="180"/>
      <c r="P526" s="180"/>
      <c r="Q526" s="180"/>
      <c r="R526" s="180"/>
    </row>
    <row r="527" spans="1:20" ht="30.75" customHeight="1">
      <c r="A527" s="16" t="s">
        <v>35</v>
      </c>
      <c r="B527" s="49">
        <v>793</v>
      </c>
      <c r="C527" s="15" t="s">
        <v>167</v>
      </c>
      <c r="D527" s="15" t="s">
        <v>18</v>
      </c>
      <c r="E527" s="15" t="s">
        <v>1465</v>
      </c>
      <c r="F527" s="15" t="s">
        <v>36</v>
      </c>
      <c r="G527" s="70">
        <f t="shared" si="142"/>
        <v>547010</v>
      </c>
      <c r="H527" s="70">
        <f t="shared" si="142"/>
        <v>0</v>
      </c>
      <c r="I527" s="70">
        <f t="shared" si="142"/>
        <v>0</v>
      </c>
      <c r="J527" s="172"/>
      <c r="K527" s="69"/>
      <c r="L527" s="69"/>
      <c r="M527" s="69"/>
      <c r="N527" s="69"/>
      <c r="O527" s="69"/>
      <c r="P527" s="69"/>
      <c r="Q527" s="69"/>
      <c r="R527" s="69"/>
      <c r="S527" s="1"/>
      <c r="T527" s="1"/>
    </row>
    <row r="528" spans="1:20" s="18" customFormat="1" ht="34.5" customHeight="1">
      <c r="A528" s="16" t="s">
        <v>37</v>
      </c>
      <c r="B528" s="49">
        <v>793</v>
      </c>
      <c r="C528" s="15" t="s">
        <v>167</v>
      </c>
      <c r="D528" s="15" t="s">
        <v>18</v>
      </c>
      <c r="E528" s="15" t="s">
        <v>1465</v>
      </c>
      <c r="F528" s="15" t="s">
        <v>38</v>
      </c>
      <c r="G528" s="70">
        <f>прил4!G2159</f>
        <v>547010</v>
      </c>
      <c r="H528" s="70">
        <v>0</v>
      </c>
      <c r="I528" s="70">
        <v>0</v>
      </c>
      <c r="J528" s="172"/>
      <c r="K528" s="180"/>
      <c r="L528" s="180"/>
      <c r="M528" s="180"/>
      <c r="N528" s="180"/>
      <c r="O528" s="180"/>
      <c r="P528" s="180"/>
      <c r="Q528" s="180"/>
      <c r="R528" s="180"/>
    </row>
    <row r="529" spans="1:22" s="227" customFormat="1" ht="31.5" customHeight="1">
      <c r="A529" s="107" t="s">
        <v>1133</v>
      </c>
      <c r="B529" s="35">
        <v>774</v>
      </c>
      <c r="C529" s="36" t="s">
        <v>25</v>
      </c>
      <c r="D529" s="36" t="s">
        <v>18</v>
      </c>
      <c r="E529" s="36" t="s">
        <v>183</v>
      </c>
      <c r="F529" s="36"/>
      <c r="G529" s="153">
        <f>G530+G717+G910+G980+G984+G1004</f>
        <v>1258578672.9399998</v>
      </c>
      <c r="H529" s="71">
        <f>H530+H717+H910+H980+H984</f>
        <v>1162428926.3699996</v>
      </c>
      <c r="I529" s="71">
        <f>I530+I717+I910+I980+I984</f>
        <v>1171428260.4899995</v>
      </c>
      <c r="J529" s="71">
        <f t="shared" ref="J529:O529" si="143">J530+J717+J910+J980+J984+J665</f>
        <v>18738720</v>
      </c>
      <c r="K529" s="71">
        <f t="shared" si="143"/>
        <v>0</v>
      </c>
      <c r="L529" s="71">
        <f t="shared" si="143"/>
        <v>0</v>
      </c>
      <c r="M529" s="71">
        <f t="shared" si="143"/>
        <v>0</v>
      </c>
      <c r="N529" s="71">
        <f t="shared" si="143"/>
        <v>0</v>
      </c>
      <c r="O529" s="71">
        <f t="shared" si="143"/>
        <v>0</v>
      </c>
      <c r="P529" s="226"/>
      <c r="Q529" s="228"/>
      <c r="R529" s="226"/>
      <c r="S529" s="226"/>
      <c r="T529" s="226">
        <f>прил4!G128+прил4!G673+прил4!G789+прил4!G1134+прил4!G1256++прил4!G1315+прил4!G1365</f>
        <v>1258578672.9399998</v>
      </c>
      <c r="V529" s="226"/>
    </row>
    <row r="530" spans="1:22" s="18" customFormat="1" ht="42.75" customHeight="1">
      <c r="A530" s="82" t="s">
        <v>1172</v>
      </c>
      <c r="B530" s="14">
        <v>774</v>
      </c>
      <c r="C530" s="15" t="s">
        <v>25</v>
      </c>
      <c r="D530" s="15" t="s">
        <v>18</v>
      </c>
      <c r="E530" s="15" t="s">
        <v>209</v>
      </c>
      <c r="F530" s="15"/>
      <c r="G530" s="70">
        <f>G536+G539+G545+G551+G558+G567+G570+G582+G585+G588+G591+G594+G599+G608+G632+G643+G652+G667+G676+G677+G678+G680+G698+G701+G710+G576+G602+G611+G605+G617+G626+G621+G620++G711+G573+G561+G562+G647+G629+G542+G714</f>
        <v>1145400242.2399998</v>
      </c>
      <c r="H530" s="70">
        <f t="shared" ref="H530:I530" si="144">H536+H539+H545+H551+H558+H567+H570+H582+H585+H588+H591+H594+H599+H608+H632+H643+H652+H667+H676+H677+H678+H680+H698+H701+H710+H576+H602+H611+H605+H617+H626+H621+H620++H711+H573+H561+H562+H647+H629+H542</f>
        <v>1130524716.2499998</v>
      </c>
      <c r="I530" s="70">
        <f t="shared" si="144"/>
        <v>1138450310.7699997</v>
      </c>
      <c r="J530" s="17">
        <v>18738720</v>
      </c>
      <c r="P530" s="17"/>
      <c r="Q530" s="17"/>
      <c r="R530" s="17"/>
      <c r="S530" s="17"/>
      <c r="T530" s="17"/>
      <c r="V530" s="17"/>
    </row>
    <row r="531" spans="1:22" ht="50.25" hidden="1" customHeight="1">
      <c r="A531" s="16" t="s">
        <v>619</v>
      </c>
      <c r="B531" s="15" t="s">
        <v>92</v>
      </c>
      <c r="C531" s="15" t="s">
        <v>25</v>
      </c>
      <c r="D531" s="15" t="s">
        <v>27</v>
      </c>
      <c r="E531" s="15" t="s">
        <v>618</v>
      </c>
      <c r="F531" s="15"/>
      <c r="G531" s="70">
        <f t="shared" ref="G531:I532" si="145">G532</f>
        <v>0</v>
      </c>
      <c r="H531" s="70">
        <f t="shared" si="145"/>
        <v>0</v>
      </c>
      <c r="I531" s="70">
        <f t="shared" si="145"/>
        <v>0</v>
      </c>
      <c r="J531" s="1"/>
    </row>
    <row r="532" spans="1:22" s="18" customFormat="1" ht="26.4" hidden="1">
      <c r="A532" s="16" t="s">
        <v>29</v>
      </c>
      <c r="B532" s="15" t="s">
        <v>92</v>
      </c>
      <c r="C532" s="15" t="s">
        <v>25</v>
      </c>
      <c r="D532" s="15" t="s">
        <v>27</v>
      </c>
      <c r="E532" s="15" t="s">
        <v>618</v>
      </c>
      <c r="F532" s="15" t="s">
        <v>30</v>
      </c>
      <c r="G532" s="70">
        <f t="shared" si="145"/>
        <v>0</v>
      </c>
      <c r="H532" s="70">
        <f t="shared" si="145"/>
        <v>0</v>
      </c>
      <c r="I532" s="70">
        <f t="shared" si="145"/>
        <v>0</v>
      </c>
      <c r="L532" s="17" t="e">
        <f>#REF!+#REF!</f>
        <v>#REF!</v>
      </c>
      <c r="M532" s="17" t="e">
        <f>#REF!-L532</f>
        <v>#REF!</v>
      </c>
      <c r="P532" s="17"/>
      <c r="Q532" s="17"/>
      <c r="R532" s="17"/>
      <c r="S532" s="17"/>
      <c r="T532" s="17"/>
    </row>
    <row r="533" spans="1:22" s="18" customFormat="1" hidden="1">
      <c r="A533" s="16" t="s">
        <v>31</v>
      </c>
      <c r="B533" s="15" t="s">
        <v>92</v>
      </c>
      <c r="C533" s="15" t="s">
        <v>25</v>
      </c>
      <c r="D533" s="15" t="s">
        <v>27</v>
      </c>
      <c r="E533" s="15" t="s">
        <v>618</v>
      </c>
      <c r="F533" s="15" t="s">
        <v>32</v>
      </c>
      <c r="G533" s="70">
        <f>прил4!G793</f>
        <v>0</v>
      </c>
      <c r="H533" s="70">
        <f>прил4!H792</f>
        <v>0</v>
      </c>
      <c r="I533" s="70">
        <f>прил4!I792</f>
        <v>0</v>
      </c>
      <c r="P533" s="17"/>
      <c r="Q533" s="17"/>
      <c r="R533" s="17"/>
      <c r="S533" s="17"/>
      <c r="T533" s="17"/>
    </row>
    <row r="534" spans="1:22" s="18" customFormat="1" ht="56.25" customHeight="1">
      <c r="A534" s="104" t="s">
        <v>64</v>
      </c>
      <c r="B534" s="15" t="s">
        <v>92</v>
      </c>
      <c r="C534" s="15" t="s">
        <v>25</v>
      </c>
      <c r="D534" s="15" t="s">
        <v>27</v>
      </c>
      <c r="E534" s="15" t="s">
        <v>422</v>
      </c>
      <c r="F534" s="15"/>
      <c r="G534" s="87">
        <f t="shared" ref="G534:I535" si="146">G535</f>
        <v>500887.41000000009</v>
      </c>
      <c r="H534" s="87">
        <f t="shared" si="146"/>
        <v>638490</v>
      </c>
      <c r="I534" s="87">
        <f t="shared" si="146"/>
        <v>623370</v>
      </c>
      <c r="J534" s="17">
        <v>188298123</v>
      </c>
      <c r="P534" s="17"/>
      <c r="Q534" s="17"/>
      <c r="R534" s="17"/>
      <c r="S534" s="17"/>
      <c r="T534" s="17"/>
    </row>
    <row r="535" spans="1:22" s="18" customFormat="1" ht="26.4">
      <c r="A535" s="16" t="s">
        <v>29</v>
      </c>
      <c r="B535" s="15" t="s">
        <v>92</v>
      </c>
      <c r="C535" s="15" t="s">
        <v>25</v>
      </c>
      <c r="D535" s="15" t="s">
        <v>27</v>
      </c>
      <c r="E535" s="15" t="s">
        <v>422</v>
      </c>
      <c r="F535" s="15" t="s">
        <v>30</v>
      </c>
      <c r="G535" s="87">
        <f t="shared" si="146"/>
        <v>500887.41000000009</v>
      </c>
      <c r="H535" s="87">
        <f t="shared" si="146"/>
        <v>638490</v>
      </c>
      <c r="I535" s="87">
        <f t="shared" si="146"/>
        <v>623370</v>
      </c>
      <c r="J535" s="17">
        <v>100473040</v>
      </c>
      <c r="P535" s="17"/>
      <c r="Q535" s="17"/>
      <c r="R535" s="17"/>
      <c r="S535" s="17"/>
      <c r="T535" s="17"/>
    </row>
    <row r="536" spans="1:22" s="18" customFormat="1">
      <c r="A536" s="16" t="s">
        <v>31</v>
      </c>
      <c r="B536" s="15" t="s">
        <v>92</v>
      </c>
      <c r="C536" s="15" t="s">
        <v>25</v>
      </c>
      <c r="D536" s="15" t="s">
        <v>27</v>
      </c>
      <c r="E536" s="15" t="s">
        <v>422</v>
      </c>
      <c r="F536" s="15" t="s">
        <v>32</v>
      </c>
      <c r="G536" s="70">
        <f>прил4!G1406</f>
        <v>500887.41000000009</v>
      </c>
      <c r="H536" s="70">
        <f>прил4!H1406</f>
        <v>638490</v>
      </c>
      <c r="I536" s="70">
        <f>прил4!I1406</f>
        <v>623370</v>
      </c>
      <c r="J536" s="17">
        <v>1481975</v>
      </c>
      <c r="P536" s="17"/>
      <c r="Q536" s="17"/>
      <c r="R536" s="17"/>
      <c r="S536" s="17"/>
      <c r="T536" s="17"/>
    </row>
    <row r="537" spans="1:22" s="18" customFormat="1" ht="66">
      <c r="A537" s="104" t="s">
        <v>850</v>
      </c>
      <c r="B537" s="15" t="s">
        <v>92</v>
      </c>
      <c r="C537" s="15" t="s">
        <v>25</v>
      </c>
      <c r="D537" s="15" t="s">
        <v>27</v>
      </c>
      <c r="E537" s="15" t="s">
        <v>741</v>
      </c>
      <c r="F537" s="15"/>
      <c r="G537" s="70">
        <f t="shared" ref="G537:I538" si="147">G538</f>
        <v>1787576</v>
      </c>
      <c r="H537" s="70">
        <f t="shared" si="147"/>
        <v>1787576</v>
      </c>
      <c r="I537" s="70">
        <f t="shared" si="147"/>
        <v>1787576</v>
      </c>
      <c r="P537" s="17"/>
      <c r="Q537" s="17"/>
      <c r="R537" s="17"/>
      <c r="S537" s="17"/>
      <c r="T537" s="17"/>
    </row>
    <row r="538" spans="1:22" s="18" customFormat="1" ht="26.4">
      <c r="A538" s="16" t="s">
        <v>29</v>
      </c>
      <c r="B538" s="15" t="s">
        <v>92</v>
      </c>
      <c r="C538" s="15" t="s">
        <v>25</v>
      </c>
      <c r="D538" s="15" t="s">
        <v>27</v>
      </c>
      <c r="E538" s="15" t="s">
        <v>741</v>
      </c>
      <c r="F538" s="15" t="s">
        <v>30</v>
      </c>
      <c r="G538" s="70">
        <f t="shared" si="147"/>
        <v>1787576</v>
      </c>
      <c r="H538" s="70">
        <f t="shared" si="147"/>
        <v>1787576</v>
      </c>
      <c r="I538" s="70">
        <f t="shared" si="147"/>
        <v>1787576</v>
      </c>
      <c r="P538" s="17"/>
      <c r="Q538" s="17"/>
      <c r="R538" s="17"/>
      <c r="S538" s="17"/>
      <c r="T538" s="17"/>
    </row>
    <row r="539" spans="1:22" s="18" customFormat="1">
      <c r="A539" s="16" t="s">
        <v>31</v>
      </c>
      <c r="B539" s="15" t="s">
        <v>92</v>
      </c>
      <c r="C539" s="15" t="s">
        <v>25</v>
      </c>
      <c r="D539" s="15" t="s">
        <v>27</v>
      </c>
      <c r="E539" s="15" t="s">
        <v>741</v>
      </c>
      <c r="F539" s="15" t="s">
        <v>32</v>
      </c>
      <c r="G539" s="70">
        <f>прил4!G835</f>
        <v>1787576</v>
      </c>
      <c r="H539" s="70">
        <f>прил4!H835</f>
        <v>1787576</v>
      </c>
      <c r="I539" s="70">
        <f>прил4!I835</f>
        <v>1787576</v>
      </c>
      <c r="P539" s="17"/>
      <c r="Q539" s="17"/>
      <c r="R539" s="17"/>
      <c r="S539" s="17"/>
      <c r="T539" s="17"/>
    </row>
    <row r="540" spans="1:22" ht="75" customHeight="1">
      <c r="A540" s="104" t="s">
        <v>1413</v>
      </c>
      <c r="B540" s="84" t="s">
        <v>92</v>
      </c>
      <c r="C540" s="84" t="s">
        <v>25</v>
      </c>
      <c r="D540" s="84" t="s">
        <v>27</v>
      </c>
      <c r="E540" s="15" t="s">
        <v>1412</v>
      </c>
      <c r="F540" s="15"/>
      <c r="G540" s="70">
        <f t="shared" ref="G540:I540" si="148">G541</f>
        <v>810979.34</v>
      </c>
      <c r="H540" s="70">
        <f t="shared" si="148"/>
        <v>4396968.58</v>
      </c>
      <c r="I540" s="87">
        <f t="shared" si="148"/>
        <v>4396968.58</v>
      </c>
      <c r="J540" s="173"/>
      <c r="K540" s="181"/>
      <c r="L540" s="181"/>
      <c r="M540" s="181"/>
      <c r="N540" s="181"/>
      <c r="O540" s="181"/>
      <c r="P540" s="181"/>
      <c r="Q540" s="181"/>
      <c r="R540" s="181"/>
      <c r="S540" s="1"/>
      <c r="T540" s="1"/>
    </row>
    <row r="541" spans="1:22" ht="26.4">
      <c r="A541" s="82" t="s">
        <v>29</v>
      </c>
      <c r="B541" s="84" t="s">
        <v>92</v>
      </c>
      <c r="C541" s="84" t="s">
        <v>25</v>
      </c>
      <c r="D541" s="84" t="s">
        <v>27</v>
      </c>
      <c r="E541" s="15" t="s">
        <v>1412</v>
      </c>
      <c r="F541" s="84" t="s">
        <v>30</v>
      </c>
      <c r="G541" s="70">
        <f>G542</f>
        <v>810979.34</v>
      </c>
      <c r="H541" s="87">
        <f>H542</f>
        <v>4396968.58</v>
      </c>
      <c r="I541" s="87">
        <f>I542</f>
        <v>4396968.58</v>
      </c>
      <c r="J541" s="173"/>
      <c r="K541" s="181"/>
      <c r="L541" s="181"/>
      <c r="M541" s="181"/>
      <c r="N541" s="181"/>
      <c r="O541" s="181"/>
      <c r="P541" s="181"/>
      <c r="Q541" s="181"/>
      <c r="R541" s="181"/>
      <c r="S541" s="1"/>
      <c r="T541" s="1"/>
    </row>
    <row r="542" spans="1:22">
      <c r="A542" s="82" t="s">
        <v>31</v>
      </c>
      <c r="B542" s="84" t="s">
        <v>92</v>
      </c>
      <c r="C542" s="84" t="s">
        <v>25</v>
      </c>
      <c r="D542" s="84" t="s">
        <v>27</v>
      </c>
      <c r="E542" s="15" t="s">
        <v>1412</v>
      </c>
      <c r="F542" s="84" t="s">
        <v>32</v>
      </c>
      <c r="G542" s="70">
        <f>прил4!G880</f>
        <v>810979.34</v>
      </c>
      <c r="H542" s="70">
        <f>прил4!H880</f>
        <v>4396968.58</v>
      </c>
      <c r="I542" s="70">
        <f>прил4!I880</f>
        <v>4396968.58</v>
      </c>
      <c r="J542" s="173"/>
      <c r="K542" s="181"/>
      <c r="L542" s="181"/>
      <c r="M542" s="181"/>
      <c r="N542" s="181"/>
      <c r="O542" s="181"/>
      <c r="P542" s="181"/>
      <c r="Q542" s="181"/>
      <c r="R542" s="181"/>
      <c r="S542" s="1"/>
      <c r="T542" s="1"/>
    </row>
    <row r="543" spans="1:22" s="18" customFormat="1" ht="93" customHeight="1">
      <c r="A543" s="104" t="s">
        <v>1053</v>
      </c>
      <c r="B543" s="15"/>
      <c r="C543" s="15"/>
      <c r="D543" s="15"/>
      <c r="E543" s="15" t="s">
        <v>867</v>
      </c>
      <c r="F543" s="15"/>
      <c r="G543" s="70">
        <f>G544</f>
        <v>69566579.74000001</v>
      </c>
      <c r="H543" s="70">
        <f t="shared" ref="G543:I544" si="149">H544</f>
        <v>56830782.090000004</v>
      </c>
      <c r="I543" s="70">
        <f t="shared" si="149"/>
        <v>46395292.390000001</v>
      </c>
      <c r="J543" s="17">
        <v>1277362</v>
      </c>
      <c r="P543" s="17"/>
      <c r="Q543" s="17"/>
      <c r="R543" s="17"/>
      <c r="S543" s="17"/>
      <c r="T543" s="17"/>
    </row>
    <row r="544" spans="1:22" s="18" customFormat="1" ht="26.4">
      <c r="A544" s="16" t="s">
        <v>29</v>
      </c>
      <c r="B544" s="15" t="s">
        <v>92</v>
      </c>
      <c r="C544" s="15" t="s">
        <v>25</v>
      </c>
      <c r="D544" s="15" t="s">
        <v>27</v>
      </c>
      <c r="E544" s="15" t="s">
        <v>867</v>
      </c>
      <c r="F544" s="15" t="s">
        <v>30</v>
      </c>
      <c r="G544" s="70">
        <f t="shared" si="149"/>
        <v>69566579.74000001</v>
      </c>
      <c r="H544" s="70">
        <f t="shared" si="149"/>
        <v>56830782.090000004</v>
      </c>
      <c r="I544" s="70">
        <f t="shared" si="149"/>
        <v>46395292.390000001</v>
      </c>
      <c r="J544" s="17">
        <v>442381</v>
      </c>
      <c r="P544" s="17"/>
      <c r="Q544" s="17"/>
      <c r="R544" s="17"/>
      <c r="S544" s="17"/>
      <c r="T544" s="17"/>
    </row>
    <row r="545" spans="1:20" s="18" customFormat="1">
      <c r="A545" s="16" t="s">
        <v>31</v>
      </c>
      <c r="B545" s="15" t="s">
        <v>92</v>
      </c>
      <c r="C545" s="15" t="s">
        <v>25</v>
      </c>
      <c r="D545" s="15" t="s">
        <v>27</v>
      </c>
      <c r="E545" s="15" t="s">
        <v>867</v>
      </c>
      <c r="F545" s="15" t="s">
        <v>32</v>
      </c>
      <c r="G545" s="70">
        <f>прил4!G796+прил4!G677+прил4!G1138+прил4!G132</f>
        <v>69566579.74000001</v>
      </c>
      <c r="H545" s="70">
        <f>прил4!H796+прил4!H677+прил4!H1138+прил4!H132</f>
        <v>56830782.090000004</v>
      </c>
      <c r="I545" s="70">
        <f>прил4!I796+прил4!I677+прил4!I1138+прил4!I132</f>
        <v>46395292.390000001</v>
      </c>
      <c r="J545" s="17">
        <v>100000</v>
      </c>
      <c r="P545" s="17"/>
      <c r="Q545" s="17"/>
      <c r="R545" s="17"/>
      <c r="S545" s="17"/>
      <c r="T545" s="17"/>
    </row>
    <row r="546" spans="1:20" s="18" customFormat="1" hidden="1">
      <c r="A546" s="300" t="s">
        <v>1052</v>
      </c>
      <c r="B546" s="298" t="s">
        <v>92</v>
      </c>
      <c r="C546" s="298" t="s">
        <v>25</v>
      </c>
      <c r="D546" s="298" t="s">
        <v>27</v>
      </c>
      <c r="E546" s="298" t="s">
        <v>131</v>
      </c>
      <c r="F546" s="298"/>
      <c r="G546" s="70">
        <f>G547+G549</f>
        <v>711205100.00000012</v>
      </c>
      <c r="H546" s="70">
        <f t="shared" ref="H546:I546" si="150">H547+H549</f>
        <v>703898812.43000007</v>
      </c>
      <c r="I546" s="70">
        <f t="shared" si="150"/>
        <v>719111732.43000007</v>
      </c>
      <c r="J546" s="17">
        <v>1000000</v>
      </c>
      <c r="P546" s="17"/>
      <c r="Q546" s="17"/>
      <c r="R546" s="17"/>
      <c r="S546" s="17"/>
      <c r="T546" s="17"/>
    </row>
    <row r="547" spans="1:20" s="18" customFormat="1" hidden="1">
      <c r="A547" s="295" t="s">
        <v>62</v>
      </c>
      <c r="B547" s="298" t="s">
        <v>92</v>
      </c>
      <c r="C547" s="298" t="s">
        <v>25</v>
      </c>
      <c r="D547" s="298" t="s">
        <v>27</v>
      </c>
      <c r="E547" s="298" t="s">
        <v>131</v>
      </c>
      <c r="F547" s="298" t="s">
        <v>63</v>
      </c>
      <c r="G547" s="70">
        <f t="shared" ref="G547:I547" si="151">G548</f>
        <v>0</v>
      </c>
      <c r="H547" s="87">
        <f t="shared" si="151"/>
        <v>0</v>
      </c>
      <c r="I547" s="87">
        <f t="shared" si="151"/>
        <v>0</v>
      </c>
      <c r="J547" s="17">
        <v>28108080</v>
      </c>
      <c r="P547" s="17"/>
      <c r="Q547" s="17"/>
      <c r="R547" s="17"/>
      <c r="S547" s="17"/>
      <c r="T547" s="17"/>
    </row>
    <row r="548" spans="1:20" s="18" customFormat="1" hidden="1">
      <c r="A548" s="295" t="s">
        <v>174</v>
      </c>
      <c r="B548" s="298" t="s">
        <v>92</v>
      </c>
      <c r="C548" s="298" t="s">
        <v>25</v>
      </c>
      <c r="D548" s="298" t="s">
        <v>27</v>
      </c>
      <c r="E548" s="298" t="s">
        <v>131</v>
      </c>
      <c r="F548" s="298" t="s">
        <v>175</v>
      </c>
      <c r="G548" s="70">
        <f>прил4!G802</f>
        <v>0</v>
      </c>
      <c r="H548" s="87">
        <f>прил4!H802</f>
        <v>0</v>
      </c>
      <c r="I548" s="87">
        <f>прил4!I802</f>
        <v>0</v>
      </c>
      <c r="J548" s="17">
        <v>346225581</v>
      </c>
      <c r="P548" s="17"/>
      <c r="Q548" s="17"/>
      <c r="R548" s="17"/>
      <c r="S548" s="17"/>
      <c r="T548" s="17"/>
    </row>
    <row r="549" spans="1:20" s="18" customFormat="1" ht="15" customHeight="1">
      <c r="A549" s="325" t="s">
        <v>1052</v>
      </c>
      <c r="B549" s="14">
        <v>774</v>
      </c>
      <c r="C549" s="15" t="s">
        <v>25</v>
      </c>
      <c r="D549" s="15" t="s">
        <v>18</v>
      </c>
      <c r="E549" s="15" t="s">
        <v>131</v>
      </c>
      <c r="F549" s="15"/>
      <c r="G549" s="70">
        <f>G550+G559</f>
        <v>711205100.00000012</v>
      </c>
      <c r="H549" s="70">
        <f t="shared" ref="G549:I550" si="152">H550</f>
        <v>703898812.43000007</v>
      </c>
      <c r="I549" s="70">
        <f t="shared" si="152"/>
        <v>719111732.43000007</v>
      </c>
      <c r="J549" s="17"/>
      <c r="P549" s="17"/>
      <c r="Q549" s="17"/>
      <c r="R549" s="17"/>
      <c r="S549" s="17"/>
      <c r="T549" s="17"/>
    </row>
    <row r="550" spans="1:20" s="18" customFormat="1" ht="26.4">
      <c r="A550" s="16" t="s">
        <v>29</v>
      </c>
      <c r="B550" s="14">
        <v>774</v>
      </c>
      <c r="C550" s="15" t="s">
        <v>25</v>
      </c>
      <c r="D550" s="15" t="s">
        <v>18</v>
      </c>
      <c r="E550" s="15" t="s">
        <v>131</v>
      </c>
      <c r="F550" s="15" t="s">
        <v>30</v>
      </c>
      <c r="G550" s="70">
        <f t="shared" si="152"/>
        <v>700071210.43000007</v>
      </c>
      <c r="H550" s="70">
        <f t="shared" si="152"/>
        <v>703898812.43000007</v>
      </c>
      <c r="I550" s="70">
        <f t="shared" si="152"/>
        <v>719111732.43000007</v>
      </c>
      <c r="J550" s="17">
        <v>6074133</v>
      </c>
      <c r="P550" s="17"/>
      <c r="Q550" s="17"/>
      <c r="R550" s="17"/>
      <c r="S550" s="17"/>
      <c r="T550" s="17"/>
    </row>
    <row r="551" spans="1:20" s="18" customFormat="1">
      <c r="A551" s="16" t="s">
        <v>31</v>
      </c>
      <c r="B551" s="14">
        <v>774</v>
      </c>
      <c r="C551" s="15" t="s">
        <v>25</v>
      </c>
      <c r="D551" s="15" t="s">
        <v>18</v>
      </c>
      <c r="E551" s="15" t="s">
        <v>131</v>
      </c>
      <c r="F551" s="15" t="s">
        <v>32</v>
      </c>
      <c r="G551" s="70">
        <f>прил4!G680+прил4!G799+прил4!G1141</f>
        <v>700071210.43000007</v>
      </c>
      <c r="H551" s="70">
        <f>прил4!H680+прил4!H799+прил4!H1141</f>
        <v>703898812.43000007</v>
      </c>
      <c r="I551" s="70">
        <f>прил4!I680+прил4!I799+прил4!I1141</f>
        <v>719111732.43000007</v>
      </c>
      <c r="J551" s="17">
        <v>123332466</v>
      </c>
      <c r="P551" s="17"/>
      <c r="Q551" s="17"/>
      <c r="R551" s="17"/>
      <c r="S551" s="17"/>
      <c r="T551" s="17"/>
    </row>
    <row r="552" spans="1:20" s="18" customFormat="1" ht="15" hidden="1" customHeight="1">
      <c r="A552" s="16" t="s">
        <v>89</v>
      </c>
      <c r="B552" s="14">
        <v>774</v>
      </c>
      <c r="C552" s="15" t="s">
        <v>25</v>
      </c>
      <c r="D552" s="15" t="s">
        <v>18</v>
      </c>
      <c r="E552" s="15" t="s">
        <v>210</v>
      </c>
      <c r="F552" s="15"/>
      <c r="G552" s="70">
        <f t="shared" ref="G552:I553" si="153">G553</f>
        <v>0</v>
      </c>
      <c r="H552" s="87">
        <f t="shared" si="153"/>
        <v>0</v>
      </c>
      <c r="I552" s="87">
        <f t="shared" si="153"/>
        <v>0</v>
      </c>
      <c r="J552" s="17"/>
      <c r="P552" s="17"/>
      <c r="Q552" s="17"/>
      <c r="R552" s="17"/>
      <c r="S552" s="17"/>
      <c r="T552" s="17"/>
    </row>
    <row r="553" spans="1:20" s="18" customFormat="1" ht="26.4" hidden="1">
      <c r="A553" s="16" t="s">
        <v>29</v>
      </c>
      <c r="B553" s="14">
        <v>774</v>
      </c>
      <c r="C553" s="15" t="s">
        <v>25</v>
      </c>
      <c r="D553" s="15" t="s">
        <v>18</v>
      </c>
      <c r="E553" s="15" t="s">
        <v>210</v>
      </c>
      <c r="F553" s="15" t="s">
        <v>30</v>
      </c>
      <c r="G553" s="70">
        <f t="shared" si="153"/>
        <v>0</v>
      </c>
      <c r="H553" s="87">
        <f t="shared" si="153"/>
        <v>0</v>
      </c>
      <c r="I553" s="87">
        <f t="shared" si="153"/>
        <v>0</v>
      </c>
      <c r="J553" s="17"/>
      <c r="P553" s="17"/>
      <c r="Q553" s="17"/>
      <c r="R553" s="17"/>
      <c r="S553" s="17"/>
      <c r="T553" s="17"/>
    </row>
    <row r="554" spans="1:20" s="18" customFormat="1" hidden="1">
      <c r="A554" s="16" t="s">
        <v>31</v>
      </c>
      <c r="B554" s="14">
        <v>774</v>
      </c>
      <c r="C554" s="15" t="s">
        <v>25</v>
      </c>
      <c r="D554" s="15" t="s">
        <v>18</v>
      </c>
      <c r="E554" s="15" t="s">
        <v>210</v>
      </c>
      <c r="F554" s="15" t="s">
        <v>32</v>
      </c>
      <c r="G554" s="70"/>
      <c r="H554" s="87"/>
      <c r="I554" s="87"/>
      <c r="J554" s="17"/>
      <c r="P554" s="17"/>
      <c r="Q554" s="17"/>
      <c r="R554" s="17"/>
      <c r="S554" s="17"/>
      <c r="T554" s="17"/>
    </row>
    <row r="555" spans="1:20" s="18" customFormat="1" ht="52.8" hidden="1">
      <c r="A555" s="16" t="s">
        <v>33</v>
      </c>
      <c r="B555" s="14">
        <v>774</v>
      </c>
      <c r="C555" s="15" t="s">
        <v>25</v>
      </c>
      <c r="D555" s="15" t="s">
        <v>18</v>
      </c>
      <c r="E555" s="15" t="s">
        <v>210</v>
      </c>
      <c r="F555" s="15" t="s">
        <v>90</v>
      </c>
      <c r="G555" s="70"/>
      <c r="H555" s="87"/>
      <c r="I555" s="87"/>
      <c r="J555" s="17"/>
      <c r="P555" s="17"/>
      <c r="Q555" s="17"/>
      <c r="R555" s="17"/>
      <c r="S555" s="17"/>
      <c r="T555" s="17"/>
    </row>
    <row r="556" spans="1:20" s="18" customFormat="1" ht="53.25" hidden="1" customHeight="1">
      <c r="A556" s="16" t="s">
        <v>609</v>
      </c>
      <c r="B556" s="15" t="s">
        <v>92</v>
      </c>
      <c r="C556" s="15" t="s">
        <v>25</v>
      </c>
      <c r="D556" s="15" t="s">
        <v>69</v>
      </c>
      <c r="E556" s="15" t="s">
        <v>608</v>
      </c>
      <c r="F556" s="15"/>
      <c r="G556" s="70">
        <f t="shared" ref="G556:I557" si="154">G557</f>
        <v>0</v>
      </c>
      <c r="H556" s="70">
        <f t="shared" si="154"/>
        <v>0</v>
      </c>
      <c r="I556" s="70">
        <f t="shared" si="154"/>
        <v>0</v>
      </c>
      <c r="P556" s="17" t="s">
        <v>851</v>
      </c>
      <c r="Q556" s="17"/>
      <c r="R556" s="17"/>
      <c r="S556" s="17"/>
      <c r="T556" s="17"/>
    </row>
    <row r="557" spans="1:20" s="18" customFormat="1" ht="26.4" hidden="1">
      <c r="A557" s="16" t="s">
        <v>29</v>
      </c>
      <c r="B557" s="15" t="s">
        <v>92</v>
      </c>
      <c r="C557" s="15" t="s">
        <v>25</v>
      </c>
      <c r="D557" s="15" t="s">
        <v>69</v>
      </c>
      <c r="E557" s="15" t="s">
        <v>608</v>
      </c>
      <c r="F557" s="15" t="s">
        <v>30</v>
      </c>
      <c r="G557" s="70">
        <f t="shared" si="154"/>
        <v>0</v>
      </c>
      <c r="H557" s="70">
        <f t="shared" si="154"/>
        <v>0</v>
      </c>
      <c r="I557" s="70">
        <f t="shared" si="154"/>
        <v>0</v>
      </c>
      <c r="P557" s="17"/>
      <c r="Q557" s="17"/>
      <c r="R557" s="17"/>
      <c r="S557" s="17"/>
      <c r="T557" s="17"/>
    </row>
    <row r="558" spans="1:20" s="18" customFormat="1" hidden="1">
      <c r="A558" s="16" t="s">
        <v>31</v>
      </c>
      <c r="B558" s="15" t="s">
        <v>92</v>
      </c>
      <c r="C558" s="15" t="s">
        <v>25</v>
      </c>
      <c r="D558" s="15" t="s">
        <v>69</v>
      </c>
      <c r="E558" s="15" t="s">
        <v>608</v>
      </c>
      <c r="F558" s="15" t="s">
        <v>32</v>
      </c>
      <c r="G558" s="70">
        <f>прил4!G1156</f>
        <v>0</v>
      </c>
      <c r="H558" s="70">
        <f>прил4!H1156</f>
        <v>0</v>
      </c>
      <c r="I558" s="70">
        <f>прил4!I1156</f>
        <v>0</v>
      </c>
      <c r="P558" s="17"/>
      <c r="Q558" s="17"/>
      <c r="R558" s="17"/>
      <c r="S558" s="17"/>
      <c r="T558" s="17"/>
    </row>
    <row r="559" spans="1:20" s="18" customFormat="1" ht="53.25" customHeight="1">
      <c r="A559" s="82" t="s">
        <v>609</v>
      </c>
      <c r="B559" s="84" t="s">
        <v>92</v>
      </c>
      <c r="C559" s="84" t="s">
        <v>25</v>
      </c>
      <c r="D559" s="84" t="s">
        <v>69</v>
      </c>
      <c r="E559" s="84" t="s">
        <v>608</v>
      </c>
      <c r="F559" s="84"/>
      <c r="G559" s="87">
        <f t="shared" ref="G559:I560" si="155">G560</f>
        <v>11133889.57</v>
      </c>
      <c r="H559" s="87">
        <f t="shared" si="155"/>
        <v>11227587.57</v>
      </c>
      <c r="I559" s="87">
        <f t="shared" si="155"/>
        <v>11331567.57</v>
      </c>
      <c r="J559" s="173"/>
      <c r="K559" s="195"/>
      <c r="L559" s="195"/>
      <c r="M559" s="195"/>
      <c r="N559" s="195"/>
      <c r="O559" s="195"/>
      <c r="P559" s="195"/>
      <c r="Q559" s="208"/>
      <c r="R559" s="195"/>
    </row>
    <row r="560" spans="1:20" s="18" customFormat="1" ht="26.4">
      <c r="A560" s="82" t="s">
        <v>29</v>
      </c>
      <c r="B560" s="84" t="s">
        <v>92</v>
      </c>
      <c r="C560" s="84" t="s">
        <v>25</v>
      </c>
      <c r="D560" s="84" t="s">
        <v>69</v>
      </c>
      <c r="E560" s="84" t="s">
        <v>608</v>
      </c>
      <c r="F560" s="84" t="s">
        <v>30</v>
      </c>
      <c r="G560" s="87">
        <f t="shared" si="155"/>
        <v>11133889.57</v>
      </c>
      <c r="H560" s="87">
        <f t="shared" si="155"/>
        <v>11227587.57</v>
      </c>
      <c r="I560" s="87">
        <f t="shared" si="155"/>
        <v>11331567.57</v>
      </c>
      <c r="J560" s="173"/>
      <c r="K560" s="195"/>
      <c r="L560" s="195"/>
      <c r="M560" s="195"/>
      <c r="N560" s="195"/>
      <c r="O560" s="195"/>
      <c r="P560" s="195"/>
      <c r="Q560" s="195"/>
      <c r="R560" s="195"/>
    </row>
    <row r="561" spans="1:20" s="18" customFormat="1">
      <c r="A561" s="82" t="s">
        <v>31</v>
      </c>
      <c r="B561" s="84" t="s">
        <v>92</v>
      </c>
      <c r="C561" s="84" t="s">
        <v>25</v>
      </c>
      <c r="D561" s="84" t="s">
        <v>69</v>
      </c>
      <c r="E561" s="84" t="s">
        <v>608</v>
      </c>
      <c r="F561" s="84" t="s">
        <v>32</v>
      </c>
      <c r="G561" s="87">
        <v>11133889.57</v>
      </c>
      <c r="H561" s="87">
        <v>11227587.57</v>
      </c>
      <c r="I561" s="87">
        <v>11331567.57</v>
      </c>
      <c r="J561" s="173"/>
      <c r="K561" s="195"/>
      <c r="L561" s="195"/>
      <c r="M561" s="195"/>
      <c r="N561" s="195"/>
      <c r="O561" s="195"/>
      <c r="P561" s="195"/>
      <c r="Q561" s="195"/>
      <c r="R561" s="195"/>
    </row>
    <row r="562" spans="1:20" s="28" customFormat="1" ht="315" customHeight="1">
      <c r="A562" s="104" t="s">
        <v>1261</v>
      </c>
      <c r="B562" s="84" t="s">
        <v>92</v>
      </c>
      <c r="C562" s="84" t="s">
        <v>68</v>
      </c>
      <c r="D562" s="84" t="s">
        <v>53</v>
      </c>
      <c r="E562" s="15" t="s">
        <v>1260</v>
      </c>
      <c r="F562" s="39"/>
      <c r="G562" s="70">
        <f t="shared" ref="G562:I563" si="156">G563</f>
        <v>797443</v>
      </c>
      <c r="H562" s="87">
        <f t="shared" si="156"/>
        <v>0</v>
      </c>
      <c r="I562" s="87">
        <f t="shared" si="156"/>
        <v>0</v>
      </c>
      <c r="J562" s="173"/>
      <c r="K562" s="199"/>
      <c r="L562" s="199"/>
      <c r="M562" s="199"/>
      <c r="N562" s="199"/>
      <c r="O562" s="199"/>
      <c r="P562" s="199"/>
      <c r="Q562" s="199"/>
      <c r="R562" s="199"/>
    </row>
    <row r="563" spans="1:20" s="28" customFormat="1" ht="26.4">
      <c r="A563" s="82" t="s">
        <v>29</v>
      </c>
      <c r="B563" s="84" t="s">
        <v>92</v>
      </c>
      <c r="C563" s="84" t="s">
        <v>68</v>
      </c>
      <c r="D563" s="84" t="s">
        <v>53</v>
      </c>
      <c r="E563" s="15" t="s">
        <v>1260</v>
      </c>
      <c r="F563" s="15" t="s">
        <v>30</v>
      </c>
      <c r="G563" s="70">
        <f t="shared" si="156"/>
        <v>797443</v>
      </c>
      <c r="H563" s="87">
        <f t="shared" si="156"/>
        <v>0</v>
      </c>
      <c r="I563" s="87">
        <f t="shared" si="156"/>
        <v>0</v>
      </c>
      <c r="J563" s="173"/>
      <c r="K563" s="199"/>
      <c r="L563" s="199"/>
      <c r="M563" s="199"/>
      <c r="N563" s="199"/>
      <c r="O563" s="199"/>
      <c r="P563" s="199"/>
      <c r="Q563" s="199"/>
      <c r="R563" s="199"/>
    </row>
    <row r="564" spans="1:20">
      <c r="A564" s="82" t="s">
        <v>31</v>
      </c>
      <c r="B564" s="84" t="s">
        <v>92</v>
      </c>
      <c r="C564" s="84" t="s">
        <v>68</v>
      </c>
      <c r="D564" s="84" t="s">
        <v>53</v>
      </c>
      <c r="E564" s="15" t="s">
        <v>1260</v>
      </c>
      <c r="F564" s="15" t="s">
        <v>32</v>
      </c>
      <c r="G564" s="70">
        <f>прил4!G1403</f>
        <v>797443</v>
      </c>
      <c r="H564" s="87">
        <v>0</v>
      </c>
      <c r="I564" s="87">
        <v>0</v>
      </c>
      <c r="J564" s="173"/>
      <c r="K564" s="181"/>
      <c r="L564" s="181"/>
      <c r="M564" s="181"/>
      <c r="N564" s="181"/>
      <c r="O564" s="181"/>
      <c r="P564" s="181"/>
      <c r="Q564" s="181"/>
      <c r="R564" s="181"/>
      <c r="S564" s="1"/>
      <c r="T564" s="1"/>
    </row>
    <row r="565" spans="1:20" s="18" customFormat="1" ht="26.4">
      <c r="A565" s="16" t="s">
        <v>91</v>
      </c>
      <c r="B565" s="14">
        <v>774</v>
      </c>
      <c r="C565" s="15" t="s">
        <v>25</v>
      </c>
      <c r="D565" s="15" t="s">
        <v>18</v>
      </c>
      <c r="E565" s="15" t="s">
        <v>211</v>
      </c>
      <c r="F565" s="15"/>
      <c r="G565" s="70">
        <f t="shared" ref="G565:I566" si="157">G566</f>
        <v>113421134.05</v>
      </c>
      <c r="H565" s="70">
        <f t="shared" si="157"/>
        <v>115129134.05</v>
      </c>
      <c r="I565" s="70">
        <f t="shared" si="157"/>
        <v>116129134.05</v>
      </c>
      <c r="J565" s="17">
        <v>100000</v>
      </c>
      <c r="P565" s="17"/>
      <c r="Q565" s="17"/>
      <c r="R565" s="17"/>
      <c r="S565" s="17"/>
      <c r="T565" s="17"/>
    </row>
    <row r="566" spans="1:20" s="18" customFormat="1" ht="26.4">
      <c r="A566" s="16" t="s">
        <v>29</v>
      </c>
      <c r="B566" s="14">
        <v>774</v>
      </c>
      <c r="C566" s="15" t="s">
        <v>25</v>
      </c>
      <c r="D566" s="15" t="s">
        <v>18</v>
      </c>
      <c r="E566" s="15" t="s">
        <v>211</v>
      </c>
      <c r="F566" s="15" t="s">
        <v>30</v>
      </c>
      <c r="G566" s="70">
        <f t="shared" si="157"/>
        <v>113421134.05</v>
      </c>
      <c r="H566" s="70">
        <f t="shared" si="157"/>
        <v>115129134.05</v>
      </c>
      <c r="I566" s="70">
        <f t="shared" si="157"/>
        <v>116129134.05</v>
      </c>
      <c r="J566" s="17">
        <v>1000000</v>
      </c>
      <c r="P566" s="17"/>
      <c r="Q566" s="17"/>
      <c r="R566" s="17"/>
      <c r="S566" s="17"/>
      <c r="T566" s="17"/>
    </row>
    <row r="567" spans="1:20" s="18" customFormat="1">
      <c r="A567" s="16" t="s">
        <v>31</v>
      </c>
      <c r="B567" s="14">
        <v>774</v>
      </c>
      <c r="C567" s="15" t="s">
        <v>25</v>
      </c>
      <c r="D567" s="15" t="s">
        <v>18</v>
      </c>
      <c r="E567" s="15" t="s">
        <v>211</v>
      </c>
      <c r="F567" s="15" t="s">
        <v>32</v>
      </c>
      <c r="G567" s="70">
        <f>прил4!G683</f>
        <v>113421134.05</v>
      </c>
      <c r="H567" s="70">
        <f>прил4!H683</f>
        <v>115129134.05</v>
      </c>
      <c r="I567" s="70">
        <f>прил4!I683</f>
        <v>116129134.05</v>
      </c>
      <c r="J567" s="17">
        <v>3557619</v>
      </c>
      <c r="P567" s="17"/>
      <c r="Q567" s="17"/>
      <c r="R567" s="17"/>
      <c r="S567" s="17"/>
      <c r="T567" s="17"/>
    </row>
    <row r="568" spans="1:20" s="18" customFormat="1" ht="42.75" hidden="1" customHeight="1">
      <c r="A568" s="42" t="s">
        <v>835</v>
      </c>
      <c r="B568" s="15" t="s">
        <v>92</v>
      </c>
      <c r="C568" s="15" t="s">
        <v>25</v>
      </c>
      <c r="D568" s="15" t="s">
        <v>18</v>
      </c>
      <c r="E568" s="15" t="s">
        <v>588</v>
      </c>
      <c r="F568" s="15"/>
      <c r="G568" s="70">
        <f t="shared" ref="G568:I569" si="158">G569</f>
        <v>0</v>
      </c>
      <c r="H568" s="70">
        <f t="shared" si="158"/>
        <v>0</v>
      </c>
      <c r="I568" s="70">
        <f t="shared" si="158"/>
        <v>0</v>
      </c>
      <c r="P568" s="17"/>
      <c r="Q568" s="17"/>
      <c r="R568" s="17"/>
      <c r="S568" s="17"/>
      <c r="T568" s="17"/>
    </row>
    <row r="569" spans="1:20" s="18" customFormat="1" ht="26.4" hidden="1">
      <c r="A569" s="16" t="s">
        <v>29</v>
      </c>
      <c r="B569" s="15" t="s">
        <v>92</v>
      </c>
      <c r="C569" s="15" t="s">
        <v>25</v>
      </c>
      <c r="D569" s="15" t="s">
        <v>18</v>
      </c>
      <c r="E569" s="15" t="s">
        <v>588</v>
      </c>
      <c r="F569" s="15" t="s">
        <v>30</v>
      </c>
      <c r="G569" s="70">
        <f t="shared" si="158"/>
        <v>0</v>
      </c>
      <c r="H569" s="70">
        <f t="shared" si="158"/>
        <v>0</v>
      </c>
      <c r="I569" s="70">
        <f t="shared" si="158"/>
        <v>0</v>
      </c>
      <c r="P569" s="17"/>
      <c r="Q569" s="17"/>
      <c r="R569" s="17"/>
      <c r="S569" s="17"/>
      <c r="T569" s="17"/>
    </row>
    <row r="570" spans="1:20" hidden="1">
      <c r="A570" s="16" t="s">
        <v>31</v>
      </c>
      <c r="B570" s="15" t="s">
        <v>92</v>
      </c>
      <c r="C570" s="15" t="s">
        <v>25</v>
      </c>
      <c r="D570" s="15" t="s">
        <v>18</v>
      </c>
      <c r="E570" s="15" t="s">
        <v>588</v>
      </c>
      <c r="F570" s="15" t="s">
        <v>32</v>
      </c>
      <c r="G570" s="70">
        <f>прил4!G695</f>
        <v>0</v>
      </c>
      <c r="H570" s="70">
        <f>прил4!H695</f>
        <v>0</v>
      </c>
      <c r="I570" s="70">
        <f>прил4!I695</f>
        <v>0</v>
      </c>
      <c r="J570" s="1"/>
    </row>
    <row r="571" spans="1:20" s="3" customFormat="1" ht="24.75" customHeight="1">
      <c r="A571" s="82" t="s">
        <v>138</v>
      </c>
      <c r="B571" s="145">
        <v>774</v>
      </c>
      <c r="C571" s="84" t="s">
        <v>25</v>
      </c>
      <c r="D571" s="84" t="s">
        <v>69</v>
      </c>
      <c r="E571" s="84" t="s">
        <v>682</v>
      </c>
      <c r="F571" s="84"/>
      <c r="G571" s="87">
        <f t="shared" ref="G571:I571" si="159">G572</f>
        <v>0</v>
      </c>
      <c r="H571" s="87">
        <f t="shared" si="159"/>
        <v>60000</v>
      </c>
      <c r="I571" s="87">
        <f t="shared" si="159"/>
        <v>60000</v>
      </c>
      <c r="J571" s="173"/>
      <c r="K571" s="194"/>
      <c r="L571" s="194"/>
      <c r="M571" s="194"/>
      <c r="N571" s="194"/>
      <c r="O571" s="194"/>
      <c r="P571" s="194"/>
      <c r="Q571" s="194"/>
      <c r="R571" s="194"/>
    </row>
    <row r="572" spans="1:20" s="18" customFormat="1" ht="26.4">
      <c r="A572" s="82" t="s">
        <v>29</v>
      </c>
      <c r="B572" s="84" t="s">
        <v>92</v>
      </c>
      <c r="C572" s="84" t="s">
        <v>25</v>
      </c>
      <c r="D572" s="84" t="s">
        <v>69</v>
      </c>
      <c r="E572" s="84" t="s">
        <v>682</v>
      </c>
      <c r="F572" s="84" t="s">
        <v>30</v>
      </c>
      <c r="G572" s="87">
        <f>G573</f>
        <v>0</v>
      </c>
      <c r="H572" s="87">
        <f>H573</f>
        <v>60000</v>
      </c>
      <c r="I572" s="87">
        <f>I573</f>
        <v>60000</v>
      </c>
      <c r="J572" s="173"/>
      <c r="K572" s="195"/>
      <c r="L572" s="195"/>
      <c r="M572" s="195"/>
      <c r="N572" s="195"/>
      <c r="O572" s="195"/>
      <c r="P572" s="195"/>
      <c r="Q572" s="195"/>
      <c r="R572" s="195"/>
    </row>
    <row r="573" spans="1:20" s="18" customFormat="1">
      <c r="A573" s="16" t="s">
        <v>31</v>
      </c>
      <c r="B573" s="15" t="s">
        <v>92</v>
      </c>
      <c r="C573" s="15" t="s">
        <v>25</v>
      </c>
      <c r="D573" s="15" t="s">
        <v>69</v>
      </c>
      <c r="E573" s="15" t="s">
        <v>682</v>
      </c>
      <c r="F573" s="15" t="s">
        <v>32</v>
      </c>
      <c r="G573" s="70">
        <f>прил4!G1175</f>
        <v>0</v>
      </c>
      <c r="H573" s="70">
        <f>прил4!H1175</f>
        <v>60000</v>
      </c>
      <c r="I573" s="70">
        <f>прил4!I1175</f>
        <v>60000</v>
      </c>
      <c r="J573" s="172"/>
      <c r="K573" s="180"/>
      <c r="L573" s="180"/>
      <c r="M573" s="180"/>
      <c r="N573" s="180"/>
      <c r="O573" s="180"/>
      <c r="P573" s="180"/>
      <c r="Q573" s="180"/>
      <c r="R573" s="180"/>
    </row>
    <row r="574" spans="1:20" ht="43.5" customHeight="1">
      <c r="A574" s="16" t="s">
        <v>115</v>
      </c>
      <c r="B574" s="15" t="s">
        <v>92</v>
      </c>
      <c r="C574" s="15" t="s">
        <v>25</v>
      </c>
      <c r="D574" s="15" t="s">
        <v>27</v>
      </c>
      <c r="E574" s="15" t="s">
        <v>216</v>
      </c>
      <c r="F574" s="15"/>
      <c r="G574" s="70">
        <f>G575</f>
        <v>152487872.59</v>
      </c>
      <c r="H574" s="87">
        <f>H575</f>
        <v>149270276.62</v>
      </c>
      <c r="I574" s="87">
        <f>I575</f>
        <v>150756372.59</v>
      </c>
      <c r="J574" s="17">
        <v>1832238</v>
      </c>
    </row>
    <row r="575" spans="1:20" ht="26.4">
      <c r="A575" s="16" t="s">
        <v>29</v>
      </c>
      <c r="B575" s="15" t="s">
        <v>92</v>
      </c>
      <c r="C575" s="15" t="s">
        <v>25</v>
      </c>
      <c r="D575" s="15" t="s">
        <v>27</v>
      </c>
      <c r="E575" s="15" t="s">
        <v>216</v>
      </c>
      <c r="F575" s="15" t="s">
        <v>30</v>
      </c>
      <c r="G575" s="70">
        <f t="shared" ref="G575:I575" si="160">G576</f>
        <v>152487872.59</v>
      </c>
      <c r="H575" s="87">
        <f t="shared" si="160"/>
        <v>149270276.62</v>
      </c>
      <c r="I575" s="87">
        <f t="shared" si="160"/>
        <v>150756372.59</v>
      </c>
      <c r="J575" s="17">
        <v>275000</v>
      </c>
    </row>
    <row r="576" spans="1:20">
      <c r="A576" s="16" t="s">
        <v>31</v>
      </c>
      <c r="B576" s="15" t="s">
        <v>92</v>
      </c>
      <c r="C576" s="15" t="s">
        <v>25</v>
      </c>
      <c r="D576" s="15" t="s">
        <v>27</v>
      </c>
      <c r="E576" s="15" t="s">
        <v>216</v>
      </c>
      <c r="F576" s="15" t="s">
        <v>32</v>
      </c>
      <c r="G576" s="70">
        <f>прил4!G807</f>
        <v>152487872.59</v>
      </c>
      <c r="H576" s="70">
        <f>прил4!H807</f>
        <v>149270276.62</v>
      </c>
      <c r="I576" s="70">
        <f>прил4!I807</f>
        <v>150756372.59</v>
      </c>
      <c r="J576" s="17">
        <v>2097500</v>
      </c>
    </row>
    <row r="577" spans="1:20" ht="43.5" hidden="1" customHeight="1">
      <c r="A577" s="82" t="s">
        <v>707</v>
      </c>
      <c r="B577" s="84"/>
      <c r="C577" s="84"/>
      <c r="D577" s="84"/>
      <c r="E577" s="84" t="s">
        <v>701</v>
      </c>
      <c r="F577" s="84"/>
      <c r="G577" s="87">
        <f>G578</f>
        <v>0</v>
      </c>
      <c r="H577" s="87"/>
      <c r="I577" s="87"/>
      <c r="J577" s="17"/>
    </row>
    <row r="578" spans="1:20" ht="26.4" hidden="1">
      <c r="A578" s="82" t="s">
        <v>94</v>
      </c>
      <c r="B578" s="84" t="s">
        <v>92</v>
      </c>
      <c r="C578" s="84" t="s">
        <v>25</v>
      </c>
      <c r="D578" s="84" t="s">
        <v>27</v>
      </c>
      <c r="E578" s="84" t="s">
        <v>701</v>
      </c>
      <c r="F578" s="84" t="s">
        <v>338</v>
      </c>
      <c r="G578" s="87">
        <f>G579</f>
        <v>0</v>
      </c>
      <c r="H578" s="70">
        <f>H579</f>
        <v>0</v>
      </c>
      <c r="I578" s="70">
        <f>I579</f>
        <v>0</v>
      </c>
      <c r="J578" s="1"/>
    </row>
    <row r="579" spans="1:20" s="3" customFormat="1" ht="92.4" hidden="1">
      <c r="A579" s="82" t="s">
        <v>407</v>
      </c>
      <c r="B579" s="145">
        <v>774</v>
      </c>
      <c r="C579" s="84" t="s">
        <v>25</v>
      </c>
      <c r="D579" s="84" t="s">
        <v>27</v>
      </c>
      <c r="E579" s="84" t="s">
        <v>701</v>
      </c>
      <c r="F579" s="84" t="s">
        <v>406</v>
      </c>
      <c r="G579" s="87">
        <f>прил4!G810</f>
        <v>0</v>
      </c>
      <c r="H579" s="70">
        <v>0</v>
      </c>
      <c r="I579" s="70">
        <v>0</v>
      </c>
      <c r="P579" s="111"/>
      <c r="Q579" s="111"/>
      <c r="R579" s="111"/>
      <c r="S579" s="111"/>
      <c r="T579" s="111"/>
    </row>
    <row r="580" spans="1:20" ht="26.4">
      <c r="A580" s="16" t="s">
        <v>28</v>
      </c>
      <c r="B580" s="15" t="s">
        <v>92</v>
      </c>
      <c r="C580" s="15" t="s">
        <v>25</v>
      </c>
      <c r="D580" s="15" t="s">
        <v>27</v>
      </c>
      <c r="E580" s="15" t="s">
        <v>217</v>
      </c>
      <c r="F580" s="15"/>
      <c r="G580" s="87">
        <f t="shared" ref="G580:I581" si="161">G581</f>
        <v>21513787.390000001</v>
      </c>
      <c r="H580" s="87">
        <f t="shared" si="161"/>
        <v>19634116.510000002</v>
      </c>
      <c r="I580" s="87">
        <f t="shared" si="161"/>
        <v>19529566.760000002</v>
      </c>
      <c r="J580" s="2">
        <v>66815463</v>
      </c>
    </row>
    <row r="581" spans="1:20" ht="26.4">
      <c r="A581" s="16" t="s">
        <v>29</v>
      </c>
      <c r="B581" s="15" t="s">
        <v>92</v>
      </c>
      <c r="C581" s="15" t="s">
        <v>25</v>
      </c>
      <c r="D581" s="15" t="s">
        <v>27</v>
      </c>
      <c r="E581" s="15" t="s">
        <v>217</v>
      </c>
      <c r="F581" s="15" t="s">
        <v>30</v>
      </c>
      <c r="G581" s="87">
        <f t="shared" si="161"/>
        <v>21513787.390000001</v>
      </c>
      <c r="H581" s="87">
        <f t="shared" si="161"/>
        <v>19634116.510000002</v>
      </c>
      <c r="I581" s="87">
        <f t="shared" si="161"/>
        <v>19529566.760000002</v>
      </c>
      <c r="J581" s="2">
        <v>11498996</v>
      </c>
    </row>
    <row r="582" spans="1:20">
      <c r="A582" s="16" t="s">
        <v>31</v>
      </c>
      <c r="B582" s="15" t="s">
        <v>92</v>
      </c>
      <c r="C582" s="15" t="s">
        <v>25</v>
      </c>
      <c r="D582" s="15" t="s">
        <v>27</v>
      </c>
      <c r="E582" s="15" t="s">
        <v>217</v>
      </c>
      <c r="F582" s="15" t="s">
        <v>32</v>
      </c>
      <c r="G582" s="70">
        <f>прил4!G1147</f>
        <v>21513787.390000001</v>
      </c>
      <c r="H582" s="70">
        <f>прил4!H1147</f>
        <v>19634116.510000002</v>
      </c>
      <c r="I582" s="70">
        <f>прил4!I1147</f>
        <v>19529566.760000002</v>
      </c>
      <c r="J582" s="2">
        <v>90400</v>
      </c>
    </row>
    <row r="583" spans="1:20" s="18" customFormat="1">
      <c r="A583" s="16" t="s">
        <v>816</v>
      </c>
      <c r="B583" s="14">
        <v>774</v>
      </c>
      <c r="C583" s="15" t="s">
        <v>25</v>
      </c>
      <c r="D583" s="15" t="s">
        <v>18</v>
      </c>
      <c r="E583" s="15" t="s">
        <v>834</v>
      </c>
      <c r="F583" s="15"/>
      <c r="G583" s="70">
        <f>G584</f>
        <v>1880005.3599999999</v>
      </c>
      <c r="H583" s="70">
        <f t="shared" ref="G583:I584" si="162">H584</f>
        <v>1937000</v>
      </c>
      <c r="I583" s="70">
        <f t="shared" si="162"/>
        <v>1937000</v>
      </c>
      <c r="P583" s="17"/>
      <c r="Q583" s="17"/>
      <c r="R583" s="17"/>
      <c r="S583" s="17"/>
      <c r="T583" s="17"/>
    </row>
    <row r="584" spans="1:20" s="18" customFormat="1" ht="26.4">
      <c r="A584" s="16" t="s">
        <v>29</v>
      </c>
      <c r="B584" s="14">
        <v>774</v>
      </c>
      <c r="C584" s="15" t="s">
        <v>25</v>
      </c>
      <c r="D584" s="15" t="s">
        <v>18</v>
      </c>
      <c r="E584" s="15" t="s">
        <v>834</v>
      </c>
      <c r="F584" s="15" t="s">
        <v>30</v>
      </c>
      <c r="G584" s="70">
        <f t="shared" si="162"/>
        <v>1880005.3599999999</v>
      </c>
      <c r="H584" s="70">
        <f t="shared" si="162"/>
        <v>1937000</v>
      </c>
      <c r="I584" s="70">
        <f t="shared" si="162"/>
        <v>1937000</v>
      </c>
      <c r="P584" s="17"/>
      <c r="Q584" s="17"/>
      <c r="R584" s="17"/>
      <c r="S584" s="17"/>
      <c r="T584" s="17"/>
    </row>
    <row r="585" spans="1:20" s="18" customFormat="1">
      <c r="A585" s="16" t="s">
        <v>31</v>
      </c>
      <c r="B585" s="14">
        <v>774</v>
      </c>
      <c r="C585" s="15" t="s">
        <v>25</v>
      </c>
      <c r="D585" s="15" t="s">
        <v>18</v>
      </c>
      <c r="E585" s="15" t="s">
        <v>834</v>
      </c>
      <c r="F585" s="15" t="s">
        <v>32</v>
      </c>
      <c r="G585" s="70">
        <f>прил4!G686+прил4!G1150+прил4!G813</f>
        <v>1880005.3599999999</v>
      </c>
      <c r="H585" s="70">
        <f>прил4!H686+прил4!H1150+прил4!H813</f>
        <v>1937000</v>
      </c>
      <c r="I585" s="70">
        <f>прил4!I686+прил4!I1150+прил4!I813</f>
        <v>1937000</v>
      </c>
      <c r="P585" s="17"/>
      <c r="Q585" s="17"/>
      <c r="R585" s="17"/>
      <c r="S585" s="17"/>
      <c r="T585" s="17"/>
    </row>
    <row r="586" spans="1:20" s="18" customFormat="1" ht="54" customHeight="1">
      <c r="A586" s="176" t="s">
        <v>840</v>
      </c>
      <c r="B586" s="15" t="s">
        <v>92</v>
      </c>
      <c r="C586" s="15" t="s">
        <v>25</v>
      </c>
      <c r="D586" s="15" t="s">
        <v>18</v>
      </c>
      <c r="E586" s="15" t="s">
        <v>836</v>
      </c>
      <c r="F586" s="15"/>
      <c r="G586" s="70">
        <f t="shared" ref="G586:I587" si="163">G587</f>
        <v>2752134.0900000003</v>
      </c>
      <c r="H586" s="70">
        <f t="shared" si="163"/>
        <v>2385722.9</v>
      </c>
      <c r="I586" s="70">
        <f t="shared" si="163"/>
        <v>2385711.16</v>
      </c>
      <c r="P586" s="17"/>
      <c r="Q586" s="17"/>
      <c r="R586" s="17"/>
      <c r="S586" s="17"/>
      <c r="T586" s="17"/>
    </row>
    <row r="587" spans="1:20" s="18" customFormat="1" ht="26.4">
      <c r="A587" s="16" t="s">
        <v>29</v>
      </c>
      <c r="B587" s="15" t="s">
        <v>92</v>
      </c>
      <c r="C587" s="15" t="s">
        <v>25</v>
      </c>
      <c r="D587" s="15" t="s">
        <v>18</v>
      </c>
      <c r="E587" s="15" t="s">
        <v>836</v>
      </c>
      <c r="F587" s="15" t="s">
        <v>30</v>
      </c>
      <c r="G587" s="70">
        <f t="shared" si="163"/>
        <v>2752134.0900000003</v>
      </c>
      <c r="H587" s="70">
        <f t="shared" si="163"/>
        <v>2385722.9</v>
      </c>
      <c r="I587" s="70">
        <f t="shared" si="163"/>
        <v>2385711.16</v>
      </c>
      <c r="P587" s="17"/>
      <c r="Q587" s="17"/>
      <c r="R587" s="17"/>
      <c r="S587" s="17"/>
      <c r="T587" s="17"/>
    </row>
    <row r="588" spans="1:20">
      <c r="A588" s="16" t="s">
        <v>31</v>
      </c>
      <c r="B588" s="15" t="s">
        <v>92</v>
      </c>
      <c r="C588" s="15" t="s">
        <v>25</v>
      </c>
      <c r="D588" s="15" t="s">
        <v>18</v>
      </c>
      <c r="E588" s="15" t="s">
        <v>836</v>
      </c>
      <c r="F588" s="15" t="s">
        <v>32</v>
      </c>
      <c r="G588" s="70">
        <f>прил4!G700</f>
        <v>2752134.0900000003</v>
      </c>
      <c r="H588" s="70">
        <f>прил4!H700</f>
        <v>2385722.9</v>
      </c>
      <c r="I588" s="70">
        <f>прил4!I700</f>
        <v>2385711.16</v>
      </c>
      <c r="J588" s="1"/>
    </row>
    <row r="589" spans="1:20" s="18" customFormat="1" ht="51" customHeight="1">
      <c r="A589" s="42" t="s">
        <v>837</v>
      </c>
      <c r="B589" s="15" t="s">
        <v>92</v>
      </c>
      <c r="C589" s="15" t="s">
        <v>25</v>
      </c>
      <c r="D589" s="15" t="s">
        <v>27</v>
      </c>
      <c r="E589" s="15" t="s">
        <v>841</v>
      </c>
      <c r="F589" s="15"/>
      <c r="G589" s="70">
        <f t="shared" ref="G589:I590" si="164">G590</f>
        <v>2080357.94</v>
      </c>
      <c r="H589" s="70">
        <f t="shared" si="164"/>
        <v>830221</v>
      </c>
      <c r="I589" s="70">
        <f t="shared" si="164"/>
        <v>830221</v>
      </c>
      <c r="P589" s="17"/>
      <c r="Q589" s="17"/>
      <c r="R589" s="17"/>
      <c r="S589" s="17"/>
      <c r="T589" s="17"/>
    </row>
    <row r="590" spans="1:20" s="18" customFormat="1" ht="26.4">
      <c r="A590" s="16" t="s">
        <v>29</v>
      </c>
      <c r="B590" s="15" t="s">
        <v>92</v>
      </c>
      <c r="C590" s="15" t="s">
        <v>25</v>
      </c>
      <c r="D590" s="15" t="s">
        <v>27</v>
      </c>
      <c r="E590" s="15" t="s">
        <v>841</v>
      </c>
      <c r="F590" s="15" t="s">
        <v>30</v>
      </c>
      <c r="G590" s="70">
        <f t="shared" si="164"/>
        <v>2080357.94</v>
      </c>
      <c r="H590" s="70">
        <f t="shared" si="164"/>
        <v>830221</v>
      </c>
      <c r="I590" s="70">
        <f t="shared" si="164"/>
        <v>830221</v>
      </c>
      <c r="P590" s="17"/>
      <c r="Q590" s="17"/>
      <c r="R590" s="17"/>
      <c r="S590" s="17"/>
      <c r="T590" s="17"/>
    </row>
    <row r="591" spans="1:20">
      <c r="A591" s="16" t="s">
        <v>31</v>
      </c>
      <c r="B591" s="15" t="s">
        <v>92</v>
      </c>
      <c r="C591" s="15" t="s">
        <v>25</v>
      </c>
      <c r="D591" s="15" t="s">
        <v>27</v>
      </c>
      <c r="E591" s="15" t="s">
        <v>841</v>
      </c>
      <c r="F591" s="15" t="s">
        <v>32</v>
      </c>
      <c r="G591" s="70">
        <f>прил4!G847</f>
        <v>2080357.94</v>
      </c>
      <c r="H591" s="70">
        <f>прил4!H847</f>
        <v>830221</v>
      </c>
      <c r="I591" s="70">
        <f>прил4!I847</f>
        <v>830221</v>
      </c>
      <c r="J591" s="1"/>
    </row>
    <row r="592" spans="1:20" ht="16.5" hidden="1" customHeight="1">
      <c r="A592" s="16" t="s">
        <v>1</v>
      </c>
      <c r="B592" s="15" t="s">
        <v>92</v>
      </c>
      <c r="C592" s="15" t="s">
        <v>25</v>
      </c>
      <c r="D592" s="15" t="s">
        <v>27</v>
      </c>
      <c r="E592" s="15" t="s">
        <v>523</v>
      </c>
      <c r="F592" s="15"/>
      <c r="G592" s="70">
        <f t="shared" ref="G592:I592" si="165">G593</f>
        <v>0</v>
      </c>
      <c r="H592" s="70">
        <f t="shared" si="165"/>
        <v>0</v>
      </c>
      <c r="I592" s="70">
        <f t="shared" si="165"/>
        <v>0</v>
      </c>
      <c r="J592" s="1"/>
      <c r="P592" s="1"/>
      <c r="Q592" s="1"/>
      <c r="R592" s="1"/>
      <c r="S592" s="1"/>
      <c r="T592" s="1"/>
    </row>
    <row r="593" spans="1:20" ht="24.75" hidden="1" customHeight="1">
      <c r="A593" s="16" t="s">
        <v>29</v>
      </c>
      <c r="B593" s="15" t="s">
        <v>92</v>
      </c>
      <c r="C593" s="15" t="s">
        <v>25</v>
      </c>
      <c r="D593" s="15" t="s">
        <v>27</v>
      </c>
      <c r="E593" s="15" t="s">
        <v>523</v>
      </c>
      <c r="F593" s="15" t="s">
        <v>30</v>
      </c>
      <c r="G593" s="70">
        <f>G594</f>
        <v>0</v>
      </c>
      <c r="H593" s="70">
        <f>H594</f>
        <v>0</v>
      </c>
      <c r="I593" s="70">
        <f>I594</f>
        <v>0</v>
      </c>
      <c r="J593" s="1"/>
      <c r="P593" s="1"/>
      <c r="Q593" s="1"/>
      <c r="R593" s="1"/>
      <c r="S593" s="1"/>
      <c r="T593" s="1"/>
    </row>
    <row r="594" spans="1:20" hidden="1">
      <c r="A594" s="16" t="s">
        <v>31</v>
      </c>
      <c r="B594" s="15" t="s">
        <v>92</v>
      </c>
      <c r="C594" s="15" t="s">
        <v>25</v>
      </c>
      <c r="D594" s="15" t="s">
        <v>27</v>
      </c>
      <c r="E594" s="15" t="s">
        <v>523</v>
      </c>
      <c r="F594" s="15" t="s">
        <v>32</v>
      </c>
      <c r="G594" s="70">
        <f>прил4!G1172</f>
        <v>0</v>
      </c>
      <c r="H594" s="70">
        <f>прил4!H1172</f>
        <v>0</v>
      </c>
      <c r="I594" s="70">
        <f>прил4!I1172</f>
        <v>0</v>
      </c>
      <c r="J594" s="1"/>
      <c r="P594" s="1"/>
      <c r="Q594" s="1"/>
      <c r="R594" s="1"/>
      <c r="S594" s="1"/>
      <c r="T594" s="1"/>
    </row>
    <row r="595" spans="1:20" ht="74.25" hidden="1" customHeight="1">
      <c r="A595" s="82" t="s">
        <v>727</v>
      </c>
      <c r="B595" s="84" t="s">
        <v>92</v>
      </c>
      <c r="C595" s="84" t="s">
        <v>25</v>
      </c>
      <c r="D595" s="84" t="s">
        <v>27</v>
      </c>
      <c r="E595" s="84" t="s">
        <v>725</v>
      </c>
      <c r="F595" s="15"/>
      <c r="G595" s="70">
        <f>G598+G596</f>
        <v>0</v>
      </c>
      <c r="H595" s="70">
        <f t="shared" ref="H595:I595" si="166">H598+H596</f>
        <v>0</v>
      </c>
      <c r="I595" s="70">
        <f t="shared" si="166"/>
        <v>0</v>
      </c>
      <c r="J595" s="1"/>
    </row>
    <row r="596" spans="1:20" ht="26.4" hidden="1">
      <c r="A596" s="16" t="s">
        <v>94</v>
      </c>
      <c r="B596" s="15" t="s">
        <v>92</v>
      </c>
      <c r="C596" s="15" t="s">
        <v>25</v>
      </c>
      <c r="D596" s="15" t="s">
        <v>27</v>
      </c>
      <c r="E596" s="15" t="s">
        <v>701</v>
      </c>
      <c r="F596" s="15" t="s">
        <v>338</v>
      </c>
      <c r="G596" s="70">
        <f>G597</f>
        <v>0</v>
      </c>
      <c r="H596" s="70">
        <f>H597</f>
        <v>0</v>
      </c>
      <c r="I596" s="70">
        <f>I597</f>
        <v>0</v>
      </c>
      <c r="J596" s="1"/>
    </row>
    <row r="597" spans="1:20" s="3" customFormat="1" ht="92.4" hidden="1">
      <c r="A597" s="16" t="s">
        <v>407</v>
      </c>
      <c r="B597" s="14">
        <v>774</v>
      </c>
      <c r="C597" s="15" t="s">
        <v>25</v>
      </c>
      <c r="D597" s="15" t="s">
        <v>27</v>
      </c>
      <c r="E597" s="15" t="s">
        <v>701</v>
      </c>
      <c r="F597" s="15" t="s">
        <v>406</v>
      </c>
      <c r="G597" s="159"/>
      <c r="H597" s="70">
        <v>0</v>
      </c>
      <c r="I597" s="70">
        <v>0</v>
      </c>
      <c r="P597" s="111"/>
      <c r="Q597" s="111"/>
      <c r="R597" s="111"/>
      <c r="S597" s="111"/>
      <c r="T597" s="111"/>
    </row>
    <row r="598" spans="1:20" ht="26.4" hidden="1">
      <c r="A598" s="16" t="s">
        <v>29</v>
      </c>
      <c r="B598" s="15" t="s">
        <v>92</v>
      </c>
      <c r="C598" s="15" t="s">
        <v>25</v>
      </c>
      <c r="D598" s="15" t="s">
        <v>27</v>
      </c>
      <c r="E598" s="15" t="s">
        <v>725</v>
      </c>
      <c r="F598" s="15" t="s">
        <v>30</v>
      </c>
      <c r="G598" s="70">
        <f>G599</f>
        <v>0</v>
      </c>
      <c r="H598" s="70">
        <f t="shared" ref="H598:I598" si="167">H599</f>
        <v>0</v>
      </c>
      <c r="I598" s="70">
        <f t="shared" si="167"/>
        <v>0</v>
      </c>
      <c r="J598" s="1"/>
    </row>
    <row r="599" spans="1:20" hidden="1">
      <c r="A599" s="16" t="s">
        <v>31</v>
      </c>
      <c r="B599" s="15" t="s">
        <v>92</v>
      </c>
      <c r="C599" s="15" t="s">
        <v>25</v>
      </c>
      <c r="D599" s="15" t="s">
        <v>27</v>
      </c>
      <c r="E599" s="15" t="s">
        <v>725</v>
      </c>
      <c r="F599" s="15" t="s">
        <v>32</v>
      </c>
      <c r="G599" s="70">
        <f>прил4!G818</f>
        <v>0</v>
      </c>
      <c r="H599" s="70">
        <f>прил4!H818</f>
        <v>0</v>
      </c>
      <c r="I599" s="70">
        <f>прил4!I818</f>
        <v>0</v>
      </c>
      <c r="J599" s="1"/>
    </row>
    <row r="600" spans="1:20" ht="24.75" hidden="1" customHeight="1">
      <c r="A600" s="82" t="s">
        <v>893</v>
      </c>
      <c r="B600" s="84" t="s">
        <v>92</v>
      </c>
      <c r="C600" s="84" t="s">
        <v>25</v>
      </c>
      <c r="D600" s="84" t="s">
        <v>27</v>
      </c>
      <c r="E600" s="84" t="s">
        <v>892</v>
      </c>
      <c r="F600" s="15"/>
      <c r="G600" s="70">
        <f>G604+G601</f>
        <v>0</v>
      </c>
      <c r="H600" s="70">
        <f t="shared" ref="H600:I600" si="168">H604</f>
        <v>0</v>
      </c>
      <c r="I600" s="70">
        <f t="shared" si="168"/>
        <v>0</v>
      </c>
      <c r="J600" s="1"/>
    </row>
    <row r="601" spans="1:20" ht="26.4" hidden="1">
      <c r="A601" s="16" t="s">
        <v>29</v>
      </c>
      <c r="B601" s="15" t="s">
        <v>92</v>
      </c>
      <c r="C601" s="15" t="s">
        <v>25</v>
      </c>
      <c r="D601" s="15" t="s">
        <v>27</v>
      </c>
      <c r="E601" s="15" t="s">
        <v>892</v>
      </c>
      <c r="F601" s="15" t="s">
        <v>30</v>
      </c>
      <c r="G601" s="70">
        <f>G602</f>
        <v>0</v>
      </c>
      <c r="H601" s="70">
        <f>H602</f>
        <v>0</v>
      </c>
      <c r="I601" s="70">
        <f>I602</f>
        <v>0</v>
      </c>
      <c r="J601" s="1"/>
    </row>
    <row r="602" spans="1:20" s="3" customFormat="1" hidden="1">
      <c r="A602" s="16" t="s">
        <v>31</v>
      </c>
      <c r="B602" s="14">
        <v>774</v>
      </c>
      <c r="C602" s="15" t="s">
        <v>25</v>
      </c>
      <c r="D602" s="15" t="s">
        <v>27</v>
      </c>
      <c r="E602" s="15" t="s">
        <v>892</v>
      </c>
      <c r="F602" s="15" t="s">
        <v>32</v>
      </c>
      <c r="G602" s="70">
        <f>прил4!G1373</f>
        <v>0</v>
      </c>
      <c r="H602" s="70">
        <v>0</v>
      </c>
      <c r="I602" s="70">
        <v>0</v>
      </c>
      <c r="P602" s="111"/>
      <c r="Q602" s="111"/>
      <c r="R602" s="111"/>
      <c r="S602" s="111"/>
      <c r="T602" s="111"/>
    </row>
    <row r="603" spans="1:20" ht="57" hidden="1" customHeight="1">
      <c r="A603" s="82" t="s">
        <v>726</v>
      </c>
      <c r="B603" s="84" t="s">
        <v>92</v>
      </c>
      <c r="C603" s="15" t="s">
        <v>25</v>
      </c>
      <c r="D603" s="15" t="s">
        <v>27</v>
      </c>
      <c r="E603" s="84" t="s">
        <v>724</v>
      </c>
      <c r="F603" s="15"/>
      <c r="G603" s="70">
        <f>G604</f>
        <v>0</v>
      </c>
      <c r="H603" s="70">
        <f t="shared" ref="H603:I603" si="169">H604</f>
        <v>0</v>
      </c>
      <c r="I603" s="70">
        <f t="shared" si="169"/>
        <v>0</v>
      </c>
      <c r="J603" s="173"/>
      <c r="K603" s="181"/>
      <c r="L603" s="181"/>
      <c r="M603" s="181"/>
      <c r="N603" s="181"/>
      <c r="O603" s="181"/>
      <c r="P603" s="181"/>
      <c r="Q603" s="181"/>
      <c r="R603" s="181"/>
      <c r="S603" s="1"/>
      <c r="T603" s="1"/>
    </row>
    <row r="604" spans="1:20" ht="26.4" hidden="1">
      <c r="A604" s="16" t="s">
        <v>29</v>
      </c>
      <c r="B604" s="15" t="s">
        <v>92</v>
      </c>
      <c r="C604" s="15" t="s">
        <v>25</v>
      </c>
      <c r="D604" s="15" t="s">
        <v>27</v>
      </c>
      <c r="E604" s="15" t="s">
        <v>724</v>
      </c>
      <c r="F604" s="15" t="s">
        <v>30</v>
      </c>
      <c r="G604" s="70">
        <f>G605</f>
        <v>0</v>
      </c>
      <c r="H604" s="70">
        <f>H605</f>
        <v>0</v>
      </c>
      <c r="I604" s="70">
        <f>I605</f>
        <v>0</v>
      </c>
      <c r="J604" s="1"/>
    </row>
    <row r="605" spans="1:20" hidden="1">
      <c r="A605" s="16" t="s">
        <v>31</v>
      </c>
      <c r="B605" s="15" t="s">
        <v>92</v>
      </c>
      <c r="C605" s="15" t="s">
        <v>25</v>
      </c>
      <c r="D605" s="15" t="s">
        <v>27</v>
      </c>
      <c r="E605" s="15" t="s">
        <v>724</v>
      </c>
      <c r="F605" s="15" t="s">
        <v>32</v>
      </c>
      <c r="G605" s="70">
        <f>прил4!G823</f>
        <v>0</v>
      </c>
      <c r="H605" s="70">
        <v>0</v>
      </c>
      <c r="I605" s="70">
        <v>0</v>
      </c>
      <c r="J605" s="1"/>
    </row>
    <row r="606" spans="1:20" ht="32.25" hidden="1" customHeight="1">
      <c r="A606" s="16" t="s">
        <v>138</v>
      </c>
      <c r="B606" s="15" t="s">
        <v>92</v>
      </c>
      <c r="C606" s="15" t="s">
        <v>25</v>
      </c>
      <c r="D606" s="15" t="s">
        <v>27</v>
      </c>
      <c r="E606" s="15" t="s">
        <v>682</v>
      </c>
      <c r="F606" s="15"/>
      <c r="G606" s="70">
        <f t="shared" ref="G606:I606" si="170">G607</f>
        <v>0</v>
      </c>
      <c r="H606" s="70">
        <f t="shared" si="170"/>
        <v>0</v>
      </c>
      <c r="I606" s="70">
        <f t="shared" si="170"/>
        <v>0</v>
      </c>
      <c r="J606" s="1"/>
    </row>
    <row r="607" spans="1:20" ht="26.4" hidden="1">
      <c r="A607" s="16" t="s">
        <v>29</v>
      </c>
      <c r="B607" s="15" t="s">
        <v>92</v>
      </c>
      <c r="C607" s="15" t="s">
        <v>25</v>
      </c>
      <c r="D607" s="15" t="s">
        <v>27</v>
      </c>
      <c r="E607" s="15" t="s">
        <v>682</v>
      </c>
      <c r="F607" s="15" t="s">
        <v>30</v>
      </c>
      <c r="G607" s="70">
        <f>G608</f>
        <v>0</v>
      </c>
      <c r="H607" s="70">
        <f>H608</f>
        <v>0</v>
      </c>
      <c r="I607" s="70">
        <f>I608</f>
        <v>0</v>
      </c>
      <c r="J607" s="1"/>
    </row>
    <row r="608" spans="1:20" hidden="1">
      <c r="A608" s="16" t="s">
        <v>31</v>
      </c>
      <c r="B608" s="15" t="s">
        <v>92</v>
      </c>
      <c r="C608" s="15" t="s">
        <v>25</v>
      </c>
      <c r="D608" s="15" t="s">
        <v>27</v>
      </c>
      <c r="E608" s="15" t="s">
        <v>682</v>
      </c>
      <c r="F608" s="15" t="s">
        <v>32</v>
      </c>
      <c r="G608" s="70">
        <f>прил4!G826</f>
        <v>0</v>
      </c>
      <c r="H608" s="70">
        <f>прил4!H826</f>
        <v>0</v>
      </c>
      <c r="I608" s="70">
        <f>прил4!I826</f>
        <v>0</v>
      </c>
      <c r="J608" s="1"/>
    </row>
    <row r="609" spans="1:20" ht="33" hidden="1" customHeight="1">
      <c r="A609" s="16" t="s">
        <v>906</v>
      </c>
      <c r="B609" s="15" t="s">
        <v>92</v>
      </c>
      <c r="C609" s="15" t="s">
        <v>25</v>
      </c>
      <c r="D609" s="15" t="s">
        <v>27</v>
      </c>
      <c r="E609" s="15" t="s">
        <v>905</v>
      </c>
      <c r="F609" s="15"/>
      <c r="G609" s="70">
        <f>G610</f>
        <v>0</v>
      </c>
      <c r="H609" s="70"/>
      <c r="I609" s="70"/>
      <c r="J609" s="173"/>
      <c r="K609" s="181"/>
      <c r="L609" s="181"/>
      <c r="M609" s="181"/>
      <c r="N609" s="181"/>
      <c r="O609" s="181"/>
      <c r="P609" s="181"/>
      <c r="Q609" s="181"/>
      <c r="R609" s="181"/>
      <c r="S609" s="1"/>
      <c r="T609" s="1"/>
    </row>
    <row r="610" spans="1:20" ht="24.75" hidden="1" customHeight="1">
      <c r="A610" s="16" t="s">
        <v>29</v>
      </c>
      <c r="B610" s="15" t="s">
        <v>92</v>
      </c>
      <c r="C610" s="15" t="s">
        <v>25</v>
      </c>
      <c r="D610" s="15" t="s">
        <v>27</v>
      </c>
      <c r="E610" s="15" t="s">
        <v>905</v>
      </c>
      <c r="F610" s="15" t="s">
        <v>30</v>
      </c>
      <c r="G610" s="70">
        <f>G611</f>
        <v>0</v>
      </c>
      <c r="H610" s="70"/>
      <c r="I610" s="70"/>
      <c r="J610" s="173"/>
      <c r="K610" s="181"/>
      <c r="L610" s="181"/>
      <c r="M610" s="181"/>
      <c r="N610" s="181"/>
      <c r="O610" s="181"/>
      <c r="P610" s="181"/>
      <c r="Q610" s="181"/>
      <c r="R610" s="181"/>
      <c r="S610" s="1"/>
      <c r="T610" s="1"/>
    </row>
    <row r="611" spans="1:20" ht="19.5" hidden="1" customHeight="1">
      <c r="A611" s="16" t="s">
        <v>31</v>
      </c>
      <c r="B611" s="15" t="s">
        <v>92</v>
      </c>
      <c r="C611" s="15" t="s">
        <v>25</v>
      </c>
      <c r="D611" s="15" t="s">
        <v>27</v>
      </c>
      <c r="E611" s="15" t="s">
        <v>905</v>
      </c>
      <c r="F611" s="15" t="s">
        <v>32</v>
      </c>
      <c r="G611" s="87"/>
      <c r="H611" s="70"/>
      <c r="I611" s="70"/>
      <c r="J611" s="173"/>
      <c r="K611" s="181"/>
      <c r="L611" s="181"/>
      <c r="M611" s="181"/>
      <c r="N611" s="181"/>
      <c r="O611" s="181"/>
      <c r="P611" s="181"/>
      <c r="Q611" s="181"/>
      <c r="R611" s="181"/>
      <c r="S611" s="1"/>
      <c r="T611" s="1"/>
    </row>
    <row r="612" spans="1:20" ht="16.5" hidden="1" customHeight="1">
      <c r="A612" s="16" t="s">
        <v>1</v>
      </c>
      <c r="B612" s="15" t="s">
        <v>92</v>
      </c>
      <c r="C612" s="15" t="s">
        <v>25</v>
      </c>
      <c r="D612" s="15" t="s">
        <v>27</v>
      </c>
      <c r="E612" s="15" t="s">
        <v>523</v>
      </c>
      <c r="F612" s="15"/>
      <c r="G612" s="70">
        <f t="shared" ref="G612:I612" si="171">G613</f>
        <v>0</v>
      </c>
      <c r="H612" s="70">
        <f t="shared" si="171"/>
        <v>0</v>
      </c>
      <c r="I612" s="70">
        <f t="shared" si="171"/>
        <v>0</v>
      </c>
      <c r="J612" s="1"/>
    </row>
    <row r="613" spans="1:20" ht="24.75" hidden="1" customHeight="1">
      <c r="A613" s="16" t="s">
        <v>29</v>
      </c>
      <c r="B613" s="15" t="s">
        <v>92</v>
      </c>
      <c r="C613" s="15" t="s">
        <v>25</v>
      </c>
      <c r="D613" s="15" t="s">
        <v>27</v>
      </c>
      <c r="E613" s="15" t="s">
        <v>523</v>
      </c>
      <c r="F613" s="15" t="s">
        <v>30</v>
      </c>
      <c r="G613" s="70">
        <f>G614</f>
        <v>0</v>
      </c>
      <c r="H613" s="70">
        <f>H614</f>
        <v>0</v>
      </c>
      <c r="I613" s="70">
        <f>I614</f>
        <v>0</v>
      </c>
      <c r="J613" s="1"/>
    </row>
    <row r="614" spans="1:20" hidden="1">
      <c r="A614" s="16" t="s">
        <v>31</v>
      </c>
      <c r="B614" s="15" t="s">
        <v>92</v>
      </c>
      <c r="C614" s="15" t="s">
        <v>25</v>
      </c>
      <c r="D614" s="15" t="s">
        <v>27</v>
      </c>
      <c r="E614" s="15" t="s">
        <v>523</v>
      </c>
      <c r="F614" s="15" t="s">
        <v>32</v>
      </c>
      <c r="G614" s="70">
        <f>прил4!G829</f>
        <v>0</v>
      </c>
      <c r="H614" s="70"/>
      <c r="I614" s="70"/>
      <c r="J614" s="1"/>
    </row>
    <row r="615" spans="1:20" ht="33" customHeight="1">
      <c r="A615" s="16" t="s">
        <v>928</v>
      </c>
      <c r="B615" s="15" t="s">
        <v>92</v>
      </c>
      <c r="C615" s="15" t="s">
        <v>25</v>
      </c>
      <c r="D615" s="15" t="s">
        <v>120</v>
      </c>
      <c r="E615" s="15" t="s">
        <v>905</v>
      </c>
      <c r="F615" s="15"/>
      <c r="G615" s="70">
        <f>G616</f>
        <v>105000</v>
      </c>
      <c r="H615" s="70">
        <f t="shared" ref="H615:I616" si="172">H616</f>
        <v>105000</v>
      </c>
      <c r="I615" s="70">
        <f t="shared" si="172"/>
        <v>105000</v>
      </c>
      <c r="J615" s="173"/>
      <c r="K615" s="181"/>
      <c r="L615" s="181"/>
      <c r="M615" s="181"/>
      <c r="N615" s="181"/>
      <c r="O615" s="181"/>
      <c r="P615" s="181"/>
      <c r="Q615" s="181"/>
      <c r="R615" s="181"/>
      <c r="S615" s="1"/>
      <c r="T615" s="1"/>
    </row>
    <row r="616" spans="1:20" ht="24.75" customHeight="1">
      <c r="A616" s="16" t="s">
        <v>35</v>
      </c>
      <c r="B616" s="15" t="s">
        <v>92</v>
      </c>
      <c r="C616" s="15" t="s">
        <v>25</v>
      </c>
      <c r="D616" s="15" t="s">
        <v>120</v>
      </c>
      <c r="E616" s="15" t="s">
        <v>905</v>
      </c>
      <c r="F616" s="15" t="s">
        <v>36</v>
      </c>
      <c r="G616" s="70">
        <f>G617</f>
        <v>105000</v>
      </c>
      <c r="H616" s="70">
        <f t="shared" si="172"/>
        <v>105000</v>
      </c>
      <c r="I616" s="70">
        <f t="shared" si="172"/>
        <v>105000</v>
      </c>
      <c r="J616" s="173"/>
      <c r="K616" s="181"/>
      <c r="L616" s="181"/>
      <c r="M616" s="181"/>
      <c r="N616" s="181"/>
      <c r="O616" s="181"/>
      <c r="P616" s="181"/>
      <c r="Q616" s="181"/>
      <c r="R616" s="181"/>
      <c r="S616" s="1"/>
      <c r="T616" s="1"/>
    </row>
    <row r="617" spans="1:20" ht="32.25" customHeight="1">
      <c r="A617" s="16" t="s">
        <v>37</v>
      </c>
      <c r="B617" s="15" t="s">
        <v>92</v>
      </c>
      <c r="C617" s="15" t="s">
        <v>25</v>
      </c>
      <c r="D617" s="15" t="s">
        <v>120</v>
      </c>
      <c r="E617" s="15" t="s">
        <v>905</v>
      </c>
      <c r="F617" s="15" t="s">
        <v>38</v>
      </c>
      <c r="G617" s="87">
        <f>прил4!G1323</f>
        <v>105000</v>
      </c>
      <c r="H617" s="87">
        <f>прил4!H1323</f>
        <v>105000</v>
      </c>
      <c r="I617" s="87">
        <f>прил4!I1323</f>
        <v>105000</v>
      </c>
      <c r="J617" s="173"/>
      <c r="K617" s="181"/>
      <c r="L617" s="181"/>
      <c r="M617" s="181"/>
      <c r="N617" s="181"/>
      <c r="O617" s="181"/>
      <c r="P617" s="181"/>
      <c r="Q617" s="181"/>
      <c r="R617" s="181"/>
      <c r="S617" s="1"/>
      <c r="T617" s="1"/>
    </row>
    <row r="618" spans="1:20" s="18" customFormat="1" ht="26.4">
      <c r="A618" s="82" t="s">
        <v>1064</v>
      </c>
      <c r="B618" s="145">
        <v>774</v>
      </c>
      <c r="C618" s="84" t="s">
        <v>25</v>
      </c>
      <c r="D618" s="84" t="s">
        <v>18</v>
      </c>
      <c r="E618" s="84" t="s">
        <v>1065</v>
      </c>
      <c r="F618" s="84"/>
      <c r="G618" s="87">
        <f t="shared" ref="G618:I619" si="173">G619</f>
        <v>108000</v>
      </c>
      <c r="H618" s="87">
        <f t="shared" si="173"/>
        <v>0</v>
      </c>
      <c r="I618" s="87">
        <f t="shared" si="173"/>
        <v>0</v>
      </c>
      <c r="J618" s="173"/>
      <c r="K618" s="195"/>
      <c r="L618" s="195"/>
      <c r="M618" s="195"/>
      <c r="N618" s="195"/>
      <c r="O618" s="195"/>
      <c r="P618" s="195"/>
      <c r="Q618" s="208"/>
      <c r="R618" s="208"/>
      <c r="S618" s="17"/>
    </row>
    <row r="619" spans="1:20" s="18" customFormat="1" ht="26.4">
      <c r="A619" s="82" t="s">
        <v>29</v>
      </c>
      <c r="B619" s="145">
        <v>774</v>
      </c>
      <c r="C619" s="84" t="s">
        <v>25</v>
      </c>
      <c r="D619" s="84" t="s">
        <v>18</v>
      </c>
      <c r="E619" s="84" t="s">
        <v>1065</v>
      </c>
      <c r="F619" s="84" t="s">
        <v>30</v>
      </c>
      <c r="G619" s="87">
        <f t="shared" si="173"/>
        <v>108000</v>
      </c>
      <c r="H619" s="87">
        <f t="shared" si="173"/>
        <v>0</v>
      </c>
      <c r="I619" s="87">
        <f t="shared" si="173"/>
        <v>0</v>
      </c>
      <c r="J619" s="173"/>
      <c r="K619" s="195"/>
      <c r="L619" s="195"/>
      <c r="M619" s="195"/>
      <c r="N619" s="195"/>
      <c r="O619" s="195"/>
      <c r="P619" s="195"/>
      <c r="Q619" s="208"/>
      <c r="R619" s="208"/>
      <c r="S619" s="17"/>
    </row>
    <row r="620" spans="1:20" s="18" customFormat="1">
      <c r="A620" s="82" t="s">
        <v>31</v>
      </c>
      <c r="B620" s="145">
        <v>774</v>
      </c>
      <c r="C620" s="84" t="s">
        <v>25</v>
      </c>
      <c r="D620" s="84" t="s">
        <v>18</v>
      </c>
      <c r="E620" s="84" t="s">
        <v>1065</v>
      </c>
      <c r="F620" s="84" t="s">
        <v>32</v>
      </c>
      <c r="G620" s="70">
        <f>прил4!G692</f>
        <v>108000</v>
      </c>
      <c r="H620" s="87">
        <v>0</v>
      </c>
      <c r="I620" s="87">
        <v>0</v>
      </c>
      <c r="J620" s="173"/>
      <c r="K620" s="195"/>
      <c r="L620" s="195"/>
      <c r="M620" s="195"/>
      <c r="N620" s="195"/>
      <c r="O620" s="195"/>
      <c r="P620" s="195"/>
      <c r="Q620" s="208"/>
      <c r="R620" s="208"/>
      <c r="S620" s="17"/>
    </row>
    <row r="621" spans="1:20" s="18" customFormat="1" ht="57.75" hidden="1" customHeight="1">
      <c r="A621" s="177" t="s">
        <v>982</v>
      </c>
      <c r="B621" s="15" t="s">
        <v>92</v>
      </c>
      <c r="C621" s="15" t="s">
        <v>25</v>
      </c>
      <c r="D621" s="15" t="s">
        <v>120</v>
      </c>
      <c r="E621" s="15" t="s">
        <v>981</v>
      </c>
      <c r="F621" s="15"/>
      <c r="G621" s="70">
        <f t="shared" ref="G621:I622" si="174">G622</f>
        <v>0</v>
      </c>
      <c r="H621" s="70">
        <f t="shared" si="174"/>
        <v>0</v>
      </c>
      <c r="I621" s="70">
        <f t="shared" si="174"/>
        <v>0</v>
      </c>
      <c r="J621" s="173"/>
      <c r="K621" s="195"/>
      <c r="L621" s="195"/>
      <c r="M621" s="195"/>
      <c r="N621" s="195"/>
      <c r="O621" s="195"/>
      <c r="P621" s="195"/>
      <c r="Q621" s="195"/>
      <c r="R621" s="195"/>
    </row>
    <row r="622" spans="1:20" s="18" customFormat="1" hidden="1">
      <c r="A622" s="16" t="s">
        <v>144</v>
      </c>
      <c r="B622" s="15" t="s">
        <v>92</v>
      </c>
      <c r="C622" s="15" t="s">
        <v>25</v>
      </c>
      <c r="D622" s="15" t="s">
        <v>120</v>
      </c>
      <c r="E622" s="15" t="s">
        <v>981</v>
      </c>
      <c r="F622" s="15" t="s">
        <v>145</v>
      </c>
      <c r="G622" s="70">
        <f t="shared" si="174"/>
        <v>0</v>
      </c>
      <c r="H622" s="70">
        <f t="shared" si="174"/>
        <v>0</v>
      </c>
      <c r="I622" s="70">
        <f t="shared" si="174"/>
        <v>0</v>
      </c>
      <c r="J622" s="173"/>
      <c r="K622" s="195"/>
      <c r="L622" s="195"/>
      <c r="M622" s="195"/>
      <c r="N622" s="195"/>
      <c r="O622" s="195"/>
      <c r="P622" s="195"/>
      <c r="Q622" s="195"/>
      <c r="R622" s="195"/>
    </row>
    <row r="623" spans="1:20" s="18" customFormat="1" hidden="1">
      <c r="A623" s="16" t="s">
        <v>875</v>
      </c>
      <c r="B623" s="15" t="s">
        <v>92</v>
      </c>
      <c r="C623" s="15" t="s">
        <v>25</v>
      </c>
      <c r="D623" s="15" t="s">
        <v>120</v>
      </c>
      <c r="E623" s="15" t="s">
        <v>981</v>
      </c>
      <c r="F623" s="15" t="s">
        <v>872</v>
      </c>
      <c r="G623" s="70">
        <f>прил4!G1326</f>
        <v>0</v>
      </c>
      <c r="H623" s="70"/>
      <c r="I623" s="70"/>
      <c r="J623" s="173"/>
      <c r="K623" s="195"/>
      <c r="L623" s="195"/>
      <c r="M623" s="195"/>
      <c r="N623" s="195"/>
      <c r="O623" s="195"/>
      <c r="P623" s="195"/>
      <c r="Q623" s="195"/>
      <c r="R623" s="195"/>
    </row>
    <row r="624" spans="1:20" s="18" customFormat="1" ht="39.6">
      <c r="A624" s="177" t="s">
        <v>839</v>
      </c>
      <c r="B624" s="15" t="s">
        <v>92</v>
      </c>
      <c r="C624" s="15" t="s">
        <v>25</v>
      </c>
      <c r="D624" s="15" t="s">
        <v>120</v>
      </c>
      <c r="E624" s="15" t="s">
        <v>838</v>
      </c>
      <c r="F624" s="15"/>
      <c r="G624" s="70">
        <f t="shared" ref="G624:I625" si="175">G625</f>
        <v>137931.12</v>
      </c>
      <c r="H624" s="70">
        <f t="shared" si="175"/>
        <v>48276</v>
      </c>
      <c r="I624" s="70">
        <f t="shared" si="175"/>
        <v>48276</v>
      </c>
      <c r="J624" s="173"/>
      <c r="K624" s="195"/>
      <c r="L624" s="195"/>
      <c r="M624" s="195"/>
      <c r="N624" s="195"/>
      <c r="O624" s="195"/>
      <c r="P624" s="195"/>
      <c r="Q624" s="195"/>
      <c r="R624" s="195"/>
    </row>
    <row r="625" spans="1:20" s="18" customFormat="1">
      <c r="A625" s="16" t="s">
        <v>144</v>
      </c>
      <c r="B625" s="15" t="s">
        <v>92</v>
      </c>
      <c r="C625" s="15" t="s">
        <v>25</v>
      </c>
      <c r="D625" s="15" t="s">
        <v>120</v>
      </c>
      <c r="E625" s="15" t="s">
        <v>838</v>
      </c>
      <c r="F625" s="15" t="s">
        <v>145</v>
      </c>
      <c r="G625" s="70">
        <f t="shared" si="175"/>
        <v>137931.12</v>
      </c>
      <c r="H625" s="70">
        <f t="shared" si="175"/>
        <v>48276</v>
      </c>
      <c r="I625" s="70">
        <f t="shared" si="175"/>
        <v>48276</v>
      </c>
      <c r="J625" s="173"/>
      <c r="K625" s="195"/>
      <c r="L625" s="195"/>
      <c r="M625" s="195"/>
      <c r="N625" s="195"/>
      <c r="O625" s="195"/>
      <c r="P625" s="195"/>
      <c r="Q625" s="195"/>
      <c r="R625" s="195"/>
    </row>
    <row r="626" spans="1:20" s="18" customFormat="1">
      <c r="A626" s="82" t="s">
        <v>1063</v>
      </c>
      <c r="B626" s="15" t="s">
        <v>92</v>
      </c>
      <c r="C626" s="15" t="s">
        <v>25</v>
      </c>
      <c r="D626" s="15" t="s">
        <v>120</v>
      </c>
      <c r="E626" s="15" t="s">
        <v>838</v>
      </c>
      <c r="F626" s="15" t="s">
        <v>1062</v>
      </c>
      <c r="G626" s="70">
        <f>прил4!G1329</f>
        <v>137931.12</v>
      </c>
      <c r="H626" s="70">
        <f>прил4!H1329</f>
        <v>48276</v>
      </c>
      <c r="I626" s="70">
        <f>прил4!I1329</f>
        <v>48276</v>
      </c>
      <c r="J626" s="173"/>
      <c r="K626" s="195"/>
      <c r="L626" s="195"/>
      <c r="M626" s="195"/>
      <c r="N626" s="195"/>
      <c r="O626" s="195"/>
      <c r="P626" s="195"/>
      <c r="Q626" s="195"/>
      <c r="R626" s="195"/>
    </row>
    <row r="627" spans="1:20" s="18" customFormat="1" ht="44.25" customHeight="1">
      <c r="A627" s="272" t="s">
        <v>982</v>
      </c>
      <c r="B627" s="84" t="s">
        <v>92</v>
      </c>
      <c r="C627" s="84" t="s">
        <v>25</v>
      </c>
      <c r="D627" s="84" t="s">
        <v>120</v>
      </c>
      <c r="E627" s="84" t="s">
        <v>981</v>
      </c>
      <c r="F627" s="84"/>
      <c r="G627" s="70">
        <f t="shared" ref="G627:I628" si="176">G628</f>
        <v>6896.66</v>
      </c>
      <c r="H627" s="87">
        <f t="shared" si="176"/>
        <v>0</v>
      </c>
      <c r="I627" s="87">
        <f t="shared" si="176"/>
        <v>0</v>
      </c>
      <c r="J627" s="173"/>
      <c r="K627" s="195"/>
      <c r="L627" s="195"/>
      <c r="M627" s="195"/>
      <c r="N627" s="195"/>
      <c r="O627" s="195"/>
      <c r="P627" s="195"/>
      <c r="Q627" s="195"/>
      <c r="R627" s="195"/>
    </row>
    <row r="628" spans="1:20" s="18" customFormat="1">
      <c r="A628" s="82" t="s">
        <v>144</v>
      </c>
      <c r="B628" s="84" t="s">
        <v>92</v>
      </c>
      <c r="C628" s="84" t="s">
        <v>25</v>
      </c>
      <c r="D628" s="84" t="s">
        <v>120</v>
      </c>
      <c r="E628" s="84" t="s">
        <v>981</v>
      </c>
      <c r="F628" s="84" t="s">
        <v>145</v>
      </c>
      <c r="G628" s="70">
        <f t="shared" si="176"/>
        <v>6896.66</v>
      </c>
      <c r="H628" s="87">
        <f t="shared" si="176"/>
        <v>0</v>
      </c>
      <c r="I628" s="87">
        <f t="shared" si="176"/>
        <v>0</v>
      </c>
      <c r="J628" s="173"/>
      <c r="K628" s="195"/>
      <c r="L628" s="195"/>
      <c r="M628" s="195"/>
      <c r="N628" s="195"/>
      <c r="O628" s="195"/>
      <c r="P628" s="195"/>
      <c r="Q628" s="195"/>
      <c r="R628" s="195"/>
    </row>
    <row r="629" spans="1:20" s="18" customFormat="1">
      <c r="A629" s="82" t="s">
        <v>1063</v>
      </c>
      <c r="B629" s="84" t="s">
        <v>92</v>
      </c>
      <c r="C629" s="84" t="s">
        <v>25</v>
      </c>
      <c r="D629" s="84" t="s">
        <v>120</v>
      </c>
      <c r="E629" s="84" t="s">
        <v>981</v>
      </c>
      <c r="F629" s="84" t="s">
        <v>1062</v>
      </c>
      <c r="G629" s="70">
        <f>прил4!G1332</f>
        <v>6896.66</v>
      </c>
      <c r="H629" s="87"/>
      <c r="I629" s="87"/>
      <c r="J629" s="173"/>
      <c r="K629" s="195"/>
      <c r="L629" s="195"/>
      <c r="M629" s="195"/>
      <c r="N629" s="195"/>
      <c r="O629" s="195"/>
      <c r="P629" s="195"/>
      <c r="Q629" s="195"/>
      <c r="R629" s="195"/>
    </row>
    <row r="630" spans="1:20" s="18" customFormat="1" ht="31.5" customHeight="1">
      <c r="A630" s="42" t="s">
        <v>122</v>
      </c>
      <c r="B630" s="15" t="s">
        <v>92</v>
      </c>
      <c r="C630" s="15" t="s">
        <v>25</v>
      </c>
      <c r="D630" s="15" t="s">
        <v>120</v>
      </c>
      <c r="E630" s="15" t="s">
        <v>220</v>
      </c>
      <c r="F630" s="15"/>
      <c r="G630" s="70">
        <f t="shared" ref="G630:I631" si="177">G631</f>
        <v>908773.6399999999</v>
      </c>
      <c r="H630" s="70">
        <f t="shared" si="177"/>
        <v>568773.6399999999</v>
      </c>
      <c r="I630" s="70">
        <f t="shared" si="177"/>
        <v>568773.6399999999</v>
      </c>
      <c r="J630" s="110">
        <v>40000</v>
      </c>
      <c r="P630" s="17"/>
      <c r="Q630" s="17"/>
      <c r="R630" s="17"/>
      <c r="S630" s="17"/>
      <c r="T630" s="17"/>
    </row>
    <row r="631" spans="1:20" s="18" customFormat="1" ht="26.4">
      <c r="A631" s="16" t="s">
        <v>29</v>
      </c>
      <c r="B631" s="15" t="s">
        <v>92</v>
      </c>
      <c r="C631" s="15" t="s">
        <v>25</v>
      </c>
      <c r="D631" s="15" t="s">
        <v>120</v>
      </c>
      <c r="E631" s="15" t="s">
        <v>220</v>
      </c>
      <c r="F631" s="15" t="s">
        <v>30</v>
      </c>
      <c r="G631" s="70">
        <f t="shared" si="177"/>
        <v>908773.6399999999</v>
      </c>
      <c r="H631" s="70">
        <f t="shared" si="177"/>
        <v>568773.6399999999</v>
      </c>
      <c r="I631" s="70">
        <f t="shared" si="177"/>
        <v>568773.6399999999</v>
      </c>
      <c r="J631" s="110">
        <v>5480300</v>
      </c>
      <c r="P631" s="17"/>
      <c r="Q631" s="17"/>
      <c r="R631" s="17"/>
      <c r="S631" s="17"/>
      <c r="T631" s="17"/>
    </row>
    <row r="632" spans="1:20">
      <c r="A632" s="16" t="s">
        <v>31</v>
      </c>
      <c r="B632" s="15" t="s">
        <v>92</v>
      </c>
      <c r="C632" s="15" t="s">
        <v>25</v>
      </c>
      <c r="D632" s="15" t="s">
        <v>120</v>
      </c>
      <c r="E632" s="15" t="s">
        <v>220</v>
      </c>
      <c r="F632" s="15" t="s">
        <v>32</v>
      </c>
      <c r="G632" s="70">
        <f>прил4!G689</f>
        <v>908773.6399999999</v>
      </c>
      <c r="H632" s="70">
        <f>прил4!H689</f>
        <v>568773.6399999999</v>
      </c>
      <c r="I632" s="70">
        <f>прил4!I689</f>
        <v>568773.6399999999</v>
      </c>
      <c r="J632" s="110">
        <v>500000</v>
      </c>
    </row>
    <row r="633" spans="1:20" s="3" customFormat="1" hidden="1">
      <c r="A633" s="16"/>
      <c r="B633" s="14">
        <v>774</v>
      </c>
      <c r="C633" s="15" t="s">
        <v>25</v>
      </c>
      <c r="D633" s="15" t="s">
        <v>27</v>
      </c>
      <c r="E633" s="84"/>
      <c r="F633" s="15"/>
      <c r="G633" s="70">
        <f t="shared" ref="G633:I634" si="178">G634</f>
        <v>0</v>
      </c>
      <c r="H633" s="70">
        <f t="shared" si="178"/>
        <v>0</v>
      </c>
      <c r="I633" s="70">
        <f t="shared" si="178"/>
        <v>0</v>
      </c>
      <c r="J633" s="111"/>
      <c r="P633" s="111"/>
      <c r="Q633" s="111"/>
      <c r="R633" s="111"/>
      <c r="S633" s="111"/>
      <c r="T633" s="111"/>
    </row>
    <row r="634" spans="1:20" s="3" customFormat="1" ht="26.4" hidden="1">
      <c r="A634" s="16" t="s">
        <v>29</v>
      </c>
      <c r="B634" s="14">
        <v>774</v>
      </c>
      <c r="C634" s="15" t="s">
        <v>25</v>
      </c>
      <c r="D634" s="15" t="s">
        <v>27</v>
      </c>
      <c r="E634" s="15" t="s">
        <v>523</v>
      </c>
      <c r="F634" s="15" t="s">
        <v>30</v>
      </c>
      <c r="G634" s="70">
        <f t="shared" si="178"/>
        <v>0</v>
      </c>
      <c r="H634" s="87">
        <f t="shared" si="178"/>
        <v>0</v>
      </c>
      <c r="I634" s="87">
        <f t="shared" si="178"/>
        <v>0</v>
      </c>
      <c r="J634" s="111"/>
      <c r="P634" s="111"/>
      <c r="Q634" s="111"/>
      <c r="R634" s="111"/>
      <c r="S634" s="111"/>
      <c r="T634" s="111"/>
    </row>
    <row r="635" spans="1:20" s="3" customFormat="1" hidden="1">
      <c r="A635" s="16" t="s">
        <v>31</v>
      </c>
      <c r="B635" s="14">
        <v>774</v>
      </c>
      <c r="C635" s="15" t="s">
        <v>25</v>
      </c>
      <c r="D635" s="15" t="s">
        <v>27</v>
      </c>
      <c r="E635" s="15" t="s">
        <v>523</v>
      </c>
      <c r="F635" s="15" t="s">
        <v>32</v>
      </c>
      <c r="G635" s="70">
        <f>прил4!G853</f>
        <v>0</v>
      </c>
      <c r="H635" s="70">
        <f>прил4!H853</f>
        <v>0</v>
      </c>
      <c r="I635" s="70">
        <f>прил4!I853</f>
        <v>0</v>
      </c>
      <c r="J635" s="111"/>
      <c r="P635" s="111"/>
      <c r="Q635" s="111"/>
      <c r="R635" s="111"/>
      <c r="S635" s="111"/>
      <c r="T635" s="111"/>
    </row>
    <row r="636" spans="1:20" s="18" customFormat="1" ht="66" hidden="1">
      <c r="A636" s="16" t="s">
        <v>118</v>
      </c>
      <c r="B636" s="15" t="s">
        <v>92</v>
      </c>
      <c r="C636" s="15" t="s">
        <v>25</v>
      </c>
      <c r="D636" s="15" t="s">
        <v>27</v>
      </c>
      <c r="E636" s="15" t="s">
        <v>374</v>
      </c>
      <c r="F636" s="15"/>
      <c r="G636" s="70">
        <f t="shared" ref="G636:I637" si="179">G637</f>
        <v>0</v>
      </c>
      <c r="H636" s="87">
        <f t="shared" si="179"/>
        <v>0</v>
      </c>
      <c r="I636" s="87">
        <f t="shared" si="179"/>
        <v>0</v>
      </c>
      <c r="J636" s="17">
        <v>12965665</v>
      </c>
      <c r="P636" s="17"/>
      <c r="Q636" s="17"/>
      <c r="R636" s="17"/>
      <c r="S636" s="17"/>
      <c r="T636" s="17"/>
    </row>
    <row r="637" spans="1:20" s="18" customFormat="1" ht="26.4" hidden="1">
      <c r="A637" s="16" t="s">
        <v>29</v>
      </c>
      <c r="B637" s="15" t="s">
        <v>92</v>
      </c>
      <c r="C637" s="15" t="s">
        <v>25</v>
      </c>
      <c r="D637" s="15" t="s">
        <v>27</v>
      </c>
      <c r="E637" s="15" t="s">
        <v>374</v>
      </c>
      <c r="F637" s="15" t="s">
        <v>30</v>
      </c>
      <c r="G637" s="70">
        <f t="shared" si="179"/>
        <v>0</v>
      </c>
      <c r="H637" s="87">
        <f t="shared" si="179"/>
        <v>0</v>
      </c>
      <c r="I637" s="87">
        <f t="shared" si="179"/>
        <v>0</v>
      </c>
      <c r="J637" s="17">
        <v>685206</v>
      </c>
      <c r="P637" s="17"/>
      <c r="Q637" s="17"/>
      <c r="R637" s="17"/>
      <c r="S637" s="17"/>
      <c r="T637" s="17"/>
    </row>
    <row r="638" spans="1:20" s="18" customFormat="1" hidden="1">
      <c r="A638" s="16" t="s">
        <v>31</v>
      </c>
      <c r="B638" s="15" t="s">
        <v>92</v>
      </c>
      <c r="C638" s="15" t="s">
        <v>25</v>
      </c>
      <c r="D638" s="15" t="s">
        <v>27</v>
      </c>
      <c r="E638" s="15" t="s">
        <v>374</v>
      </c>
      <c r="F638" s="15" t="s">
        <v>32</v>
      </c>
      <c r="G638" s="70"/>
      <c r="H638" s="87"/>
      <c r="I638" s="87"/>
      <c r="J638" s="17">
        <v>649200</v>
      </c>
      <c r="P638" s="17"/>
      <c r="Q638" s="17"/>
      <c r="R638" s="17"/>
      <c r="S638" s="17"/>
      <c r="T638" s="17"/>
    </row>
    <row r="639" spans="1:20" s="3" customFormat="1" hidden="1">
      <c r="A639" s="16" t="s">
        <v>416</v>
      </c>
      <c r="B639" s="14">
        <v>774</v>
      </c>
      <c r="C639" s="15" t="s">
        <v>25</v>
      </c>
      <c r="D639" s="15" t="s">
        <v>27</v>
      </c>
      <c r="E639" s="15" t="s">
        <v>522</v>
      </c>
      <c r="F639" s="15"/>
      <c r="G639" s="70">
        <f>G640</f>
        <v>1787576</v>
      </c>
      <c r="H639" s="70">
        <f>H640</f>
        <v>0</v>
      </c>
      <c r="I639" s="70">
        <f>I640</f>
        <v>0</v>
      </c>
      <c r="P639" s="111"/>
      <c r="Q639" s="111"/>
      <c r="R639" s="111"/>
      <c r="S639" s="111"/>
      <c r="T639" s="111"/>
    </row>
    <row r="640" spans="1:20" s="3" customFormat="1" hidden="1">
      <c r="A640" s="16" t="s">
        <v>31</v>
      </c>
      <c r="B640" s="14">
        <v>774</v>
      </c>
      <c r="C640" s="15" t="s">
        <v>25</v>
      </c>
      <c r="D640" s="15" t="s">
        <v>27</v>
      </c>
      <c r="E640" s="15" t="s">
        <v>522</v>
      </c>
      <c r="F640" s="15" t="s">
        <v>32</v>
      </c>
      <c r="G640" s="70">
        <f>прил4!G835</f>
        <v>1787576</v>
      </c>
      <c r="H640" s="70"/>
      <c r="I640" s="70"/>
      <c r="P640" s="111"/>
      <c r="Q640" s="111"/>
      <c r="R640" s="111"/>
      <c r="S640" s="111"/>
      <c r="T640" s="111"/>
    </row>
    <row r="641" spans="1:20" ht="54.75" hidden="1" customHeight="1">
      <c r="A641" s="104" t="s">
        <v>619</v>
      </c>
      <c r="B641" s="15" t="s">
        <v>92</v>
      </c>
      <c r="C641" s="15" t="s">
        <v>25</v>
      </c>
      <c r="D641" s="15" t="s">
        <v>27</v>
      </c>
      <c r="E641" s="15" t="s">
        <v>618</v>
      </c>
      <c r="F641" s="15"/>
      <c r="G641" s="70">
        <f t="shared" ref="G641:I642" si="180">G642</f>
        <v>0</v>
      </c>
      <c r="H641" s="70">
        <f t="shared" si="180"/>
        <v>0</v>
      </c>
      <c r="I641" s="70">
        <f t="shared" si="180"/>
        <v>0</v>
      </c>
      <c r="J641" s="1"/>
    </row>
    <row r="642" spans="1:20" ht="26.4" hidden="1">
      <c r="A642" s="16" t="s">
        <v>29</v>
      </c>
      <c r="B642" s="15" t="s">
        <v>92</v>
      </c>
      <c r="C642" s="15" t="s">
        <v>25</v>
      </c>
      <c r="D642" s="15" t="s">
        <v>27</v>
      </c>
      <c r="E642" s="15" t="s">
        <v>618</v>
      </c>
      <c r="F642" s="15" t="s">
        <v>30</v>
      </c>
      <c r="G642" s="70">
        <f>G643</f>
        <v>0</v>
      </c>
      <c r="H642" s="70">
        <f t="shared" si="180"/>
        <v>0</v>
      </c>
      <c r="I642" s="70">
        <f t="shared" si="180"/>
        <v>0</v>
      </c>
      <c r="J642" s="1"/>
    </row>
    <row r="643" spans="1:20" hidden="1">
      <c r="A643" s="16" t="s">
        <v>31</v>
      </c>
      <c r="B643" s="15" t="s">
        <v>92</v>
      </c>
      <c r="C643" s="15" t="s">
        <v>25</v>
      </c>
      <c r="D643" s="15" t="s">
        <v>27</v>
      </c>
      <c r="E643" s="15" t="s">
        <v>618</v>
      </c>
      <c r="F643" s="15" t="s">
        <v>32</v>
      </c>
      <c r="G643" s="70">
        <f>прил4!G865</f>
        <v>0</v>
      </c>
      <c r="H643" s="70">
        <f>прил4!H865</f>
        <v>0</v>
      </c>
      <c r="I643" s="70">
        <f>прил4!I865</f>
        <v>0</v>
      </c>
      <c r="J643" s="1"/>
    </row>
    <row r="644" spans="1:20" ht="63" hidden="1" customHeight="1">
      <c r="A644" s="16" t="s">
        <v>401</v>
      </c>
      <c r="B644" s="15" t="s">
        <v>92</v>
      </c>
      <c r="C644" s="15" t="s">
        <v>25</v>
      </c>
      <c r="D644" s="15" t="s">
        <v>27</v>
      </c>
      <c r="E644" s="15" t="s">
        <v>740</v>
      </c>
      <c r="F644" s="15"/>
      <c r="G644" s="70">
        <f t="shared" ref="G644:I644" si="181">G645</f>
        <v>0</v>
      </c>
      <c r="H644" s="70">
        <f t="shared" si="181"/>
        <v>0</v>
      </c>
      <c r="I644" s="70">
        <f t="shared" si="181"/>
        <v>0</v>
      </c>
      <c r="J644" s="1"/>
    </row>
    <row r="645" spans="1:20" ht="26.4" hidden="1">
      <c r="A645" s="16" t="s">
        <v>29</v>
      </c>
      <c r="B645" s="15" t="s">
        <v>92</v>
      </c>
      <c r="C645" s="15" t="s">
        <v>25</v>
      </c>
      <c r="D645" s="15" t="s">
        <v>27</v>
      </c>
      <c r="E645" s="15" t="s">
        <v>740</v>
      </c>
      <c r="F645" s="15" t="s">
        <v>30</v>
      </c>
      <c r="G645" s="70">
        <f>G646</f>
        <v>0</v>
      </c>
      <c r="H645" s="70">
        <f>H646</f>
        <v>0</v>
      </c>
      <c r="I645" s="70">
        <f>I646</f>
        <v>0</v>
      </c>
      <c r="J645" s="1"/>
    </row>
    <row r="646" spans="1:20" hidden="1">
      <c r="A646" s="16" t="s">
        <v>31</v>
      </c>
      <c r="B646" s="15" t="s">
        <v>92</v>
      </c>
      <c r="C646" s="15" t="s">
        <v>25</v>
      </c>
      <c r="D646" s="15" t="s">
        <v>27</v>
      </c>
      <c r="E646" s="15" t="s">
        <v>740</v>
      </c>
      <c r="F646" s="15" t="s">
        <v>32</v>
      </c>
      <c r="G646" s="70"/>
      <c r="H646" s="70"/>
      <c r="I646" s="70"/>
      <c r="J646" s="1"/>
    </row>
    <row r="647" spans="1:20" ht="108.75" customHeight="1">
      <c r="A647" s="104" t="s">
        <v>1276</v>
      </c>
      <c r="B647" s="84" t="s">
        <v>92</v>
      </c>
      <c r="C647" s="84" t="s">
        <v>25</v>
      </c>
      <c r="D647" s="84" t="s">
        <v>27</v>
      </c>
      <c r="E647" s="15" t="s">
        <v>1275</v>
      </c>
      <c r="F647" s="15"/>
      <c r="G647" s="70">
        <f t="shared" ref="G647:I647" si="182">G648</f>
        <v>31721510</v>
      </c>
      <c r="H647" s="70">
        <f t="shared" si="182"/>
        <v>30783990</v>
      </c>
      <c r="I647" s="87">
        <f t="shared" si="182"/>
        <v>30783990</v>
      </c>
      <c r="J647" s="173"/>
      <c r="K647" s="181"/>
      <c r="L647" s="181"/>
      <c r="M647" s="181"/>
      <c r="N647" s="181"/>
      <c r="O647" s="181"/>
      <c r="P647" s="181"/>
      <c r="Q647" s="181"/>
      <c r="R647" s="181"/>
      <c r="S647" s="1"/>
      <c r="T647" s="1"/>
    </row>
    <row r="648" spans="1:20" ht="26.4">
      <c r="A648" s="82" t="s">
        <v>29</v>
      </c>
      <c r="B648" s="84" t="s">
        <v>92</v>
      </c>
      <c r="C648" s="84" t="s">
        <v>25</v>
      </c>
      <c r="D648" s="84" t="s">
        <v>27</v>
      </c>
      <c r="E648" s="15" t="s">
        <v>1275</v>
      </c>
      <c r="F648" s="84" t="s">
        <v>30</v>
      </c>
      <c r="G648" s="87">
        <f>G649</f>
        <v>31721510</v>
      </c>
      <c r="H648" s="87">
        <f>H649</f>
        <v>30783990</v>
      </c>
      <c r="I648" s="87">
        <f>I649</f>
        <v>30783990</v>
      </c>
      <c r="J648" s="173"/>
      <c r="K648" s="181"/>
      <c r="L648" s="181"/>
      <c r="M648" s="181"/>
      <c r="N648" s="181"/>
      <c r="O648" s="181"/>
      <c r="P648" s="181"/>
      <c r="Q648" s="181"/>
      <c r="R648" s="181"/>
      <c r="S648" s="1"/>
      <c r="T648" s="1"/>
    </row>
    <row r="649" spans="1:20">
      <c r="A649" s="82" t="s">
        <v>31</v>
      </c>
      <c r="B649" s="84" t="s">
        <v>92</v>
      </c>
      <c r="C649" s="84" t="s">
        <v>25</v>
      </c>
      <c r="D649" s="84" t="s">
        <v>27</v>
      </c>
      <c r="E649" s="15" t="s">
        <v>1275</v>
      </c>
      <c r="F649" s="84" t="s">
        <v>32</v>
      </c>
      <c r="G649" s="87">
        <f>прил4!G877</f>
        <v>31721510</v>
      </c>
      <c r="H649" s="87">
        <v>30783990</v>
      </c>
      <c r="I649" s="87">
        <v>30783990</v>
      </c>
      <c r="J649" s="173"/>
      <c r="K649" s="181"/>
      <c r="L649" s="181"/>
      <c r="M649" s="181"/>
      <c r="N649" s="181"/>
      <c r="O649" s="181"/>
      <c r="P649" s="181"/>
      <c r="Q649" s="181"/>
      <c r="R649" s="181"/>
      <c r="S649" s="1"/>
      <c r="T649" s="1"/>
    </row>
    <row r="650" spans="1:20" s="28" customFormat="1" ht="54.75" customHeight="1">
      <c r="A650" s="326" t="s">
        <v>150</v>
      </c>
      <c r="B650" s="15" t="s">
        <v>92</v>
      </c>
      <c r="C650" s="15" t="s">
        <v>68</v>
      </c>
      <c r="D650" s="15" t="s">
        <v>53</v>
      </c>
      <c r="E650" s="15" t="s">
        <v>423</v>
      </c>
      <c r="F650" s="39"/>
      <c r="G650" s="70">
        <f t="shared" ref="G650:I651" si="183">G651</f>
        <v>10952195.040000001</v>
      </c>
      <c r="H650" s="70">
        <f t="shared" si="183"/>
        <v>8653080</v>
      </c>
      <c r="I650" s="70">
        <f t="shared" si="183"/>
        <v>9990560</v>
      </c>
      <c r="J650" s="109">
        <v>9188400</v>
      </c>
      <c r="P650" s="109"/>
      <c r="Q650" s="109"/>
      <c r="R650" s="109"/>
      <c r="S650" s="109"/>
      <c r="T650" s="109"/>
    </row>
    <row r="651" spans="1:20" s="28" customFormat="1" ht="26.4">
      <c r="A651" s="16" t="s">
        <v>29</v>
      </c>
      <c r="B651" s="15" t="s">
        <v>92</v>
      </c>
      <c r="C651" s="15" t="s">
        <v>68</v>
      </c>
      <c r="D651" s="15" t="s">
        <v>53</v>
      </c>
      <c r="E651" s="15" t="s">
        <v>423</v>
      </c>
      <c r="F651" s="15" t="s">
        <v>30</v>
      </c>
      <c r="G651" s="70">
        <f t="shared" si="183"/>
        <v>10952195.040000001</v>
      </c>
      <c r="H651" s="70">
        <f t="shared" si="183"/>
        <v>8653080</v>
      </c>
      <c r="I651" s="70">
        <f t="shared" si="183"/>
        <v>9990560</v>
      </c>
      <c r="J651" s="109">
        <f>SUM(J529:J650)</f>
        <v>951066568</v>
      </c>
      <c r="P651" s="109"/>
      <c r="Q651" s="109"/>
      <c r="R651" s="109"/>
      <c r="S651" s="109"/>
      <c r="T651" s="109"/>
    </row>
    <row r="652" spans="1:20">
      <c r="A652" s="16" t="s">
        <v>31</v>
      </c>
      <c r="B652" s="15" t="s">
        <v>92</v>
      </c>
      <c r="C652" s="15" t="s">
        <v>68</v>
      </c>
      <c r="D652" s="15" t="s">
        <v>53</v>
      </c>
      <c r="E652" s="15" t="s">
        <v>423</v>
      </c>
      <c r="F652" s="15" t="s">
        <v>32</v>
      </c>
      <c r="G652" s="70">
        <f>прил4!G1369</f>
        <v>10952195.040000001</v>
      </c>
      <c r="H652" s="70">
        <f>прил4!H1369</f>
        <v>8653080</v>
      </c>
      <c r="I652" s="70">
        <f>прил4!I1369</f>
        <v>9990560</v>
      </c>
    </row>
    <row r="653" spans="1:20" s="28" customFormat="1" ht="54.75" hidden="1" customHeight="1">
      <c r="A653" s="13" t="s">
        <v>562</v>
      </c>
      <c r="B653" s="15" t="s">
        <v>92</v>
      </c>
      <c r="C653" s="15" t="s">
        <v>68</v>
      </c>
      <c r="D653" s="15" t="s">
        <v>53</v>
      </c>
      <c r="E653" s="15" t="s">
        <v>561</v>
      </c>
      <c r="F653" s="39"/>
      <c r="G653" s="70">
        <f t="shared" ref="G653:I654" si="184">G654</f>
        <v>0</v>
      </c>
      <c r="H653" s="70">
        <f t="shared" si="184"/>
        <v>0</v>
      </c>
      <c r="I653" s="70">
        <f t="shared" si="184"/>
        <v>0</v>
      </c>
      <c r="P653" s="109"/>
      <c r="Q653" s="109"/>
      <c r="R653" s="109"/>
      <c r="S653" s="109"/>
      <c r="T653" s="109"/>
    </row>
    <row r="654" spans="1:20" s="28" customFormat="1" ht="33" hidden="1" customHeight="1">
      <c r="A654" s="16" t="s">
        <v>29</v>
      </c>
      <c r="B654" s="15" t="s">
        <v>92</v>
      </c>
      <c r="C654" s="15" t="s">
        <v>68</v>
      </c>
      <c r="D654" s="15" t="s">
        <v>53</v>
      </c>
      <c r="E654" s="15" t="s">
        <v>561</v>
      </c>
      <c r="F654" s="15" t="s">
        <v>30</v>
      </c>
      <c r="G654" s="70">
        <f t="shared" si="184"/>
        <v>0</v>
      </c>
      <c r="H654" s="70">
        <f t="shared" si="184"/>
        <v>0</v>
      </c>
      <c r="I654" s="70">
        <f t="shared" si="184"/>
        <v>0</v>
      </c>
      <c r="P654" s="109"/>
      <c r="Q654" s="109"/>
      <c r="R654" s="109"/>
      <c r="S654" s="109"/>
      <c r="T654" s="109"/>
    </row>
    <row r="655" spans="1:20" hidden="1">
      <c r="A655" s="16" t="s">
        <v>31</v>
      </c>
      <c r="B655" s="15" t="s">
        <v>92</v>
      </c>
      <c r="C655" s="15" t="s">
        <v>68</v>
      </c>
      <c r="D655" s="15" t="s">
        <v>53</v>
      </c>
      <c r="E655" s="15" t="s">
        <v>561</v>
      </c>
      <c r="F655" s="15" t="s">
        <v>32</v>
      </c>
      <c r="G655" s="70"/>
      <c r="H655" s="70">
        <v>0</v>
      </c>
      <c r="I655" s="70">
        <v>0</v>
      </c>
      <c r="J655" s="1"/>
    </row>
    <row r="656" spans="1:20" s="3" customFormat="1" ht="45" hidden="1" customHeight="1">
      <c r="A656" s="16" t="s">
        <v>706</v>
      </c>
      <c r="B656" s="14">
        <v>774</v>
      </c>
      <c r="C656" s="15" t="s">
        <v>25</v>
      </c>
      <c r="D656" s="15" t="s">
        <v>18</v>
      </c>
      <c r="E656" s="15" t="s">
        <v>692</v>
      </c>
      <c r="F656" s="15"/>
      <c r="G656" s="70">
        <f>G657</f>
        <v>0</v>
      </c>
      <c r="H656" s="70">
        <f>H657</f>
        <v>0</v>
      </c>
      <c r="I656" s="70">
        <f>I657</f>
        <v>0</v>
      </c>
      <c r="P656" s="111"/>
      <c r="Q656" s="111"/>
      <c r="R656" s="111"/>
      <c r="S656" s="111"/>
      <c r="T656" s="111"/>
    </row>
    <row r="657" spans="1:20" s="3" customFormat="1" hidden="1">
      <c r="A657" s="16" t="s">
        <v>31</v>
      </c>
      <c r="B657" s="14">
        <v>774</v>
      </c>
      <c r="C657" s="15" t="s">
        <v>25</v>
      </c>
      <c r="D657" s="15" t="s">
        <v>18</v>
      </c>
      <c r="E657" s="15" t="s">
        <v>692</v>
      </c>
      <c r="F657" s="15" t="s">
        <v>32</v>
      </c>
      <c r="G657" s="70">
        <f>прил4!G697</f>
        <v>0</v>
      </c>
      <c r="H657" s="70">
        <f>прил4!H697</f>
        <v>0</v>
      </c>
      <c r="I657" s="70">
        <f>прил4!I697</f>
        <v>0</v>
      </c>
      <c r="P657" s="111"/>
      <c r="Q657" s="111"/>
      <c r="R657" s="111"/>
      <c r="S657" s="111"/>
      <c r="T657" s="111"/>
    </row>
    <row r="658" spans="1:20" s="18" customFormat="1" ht="45.75" hidden="1" customHeight="1">
      <c r="A658" s="42"/>
      <c r="B658" s="15"/>
      <c r="C658" s="15"/>
      <c r="D658" s="15"/>
      <c r="E658" s="15"/>
      <c r="F658" s="15"/>
      <c r="G658" s="70"/>
      <c r="H658" s="70"/>
      <c r="I658" s="70"/>
      <c r="P658" s="17"/>
      <c r="Q658" s="17"/>
      <c r="R658" s="17"/>
      <c r="S658" s="17"/>
      <c r="T658" s="17"/>
    </row>
    <row r="659" spans="1:20" s="18" customFormat="1" hidden="1">
      <c r="A659" s="16"/>
      <c r="B659" s="15"/>
      <c r="C659" s="15"/>
      <c r="D659" s="15"/>
      <c r="E659" s="15"/>
      <c r="F659" s="15"/>
      <c r="G659" s="70"/>
      <c r="H659" s="70"/>
      <c r="I659" s="70"/>
      <c r="P659" s="17"/>
      <c r="Q659" s="17"/>
      <c r="R659" s="17"/>
      <c r="S659" s="17"/>
      <c r="T659" s="17"/>
    </row>
    <row r="660" spans="1:20" hidden="1">
      <c r="A660" s="16"/>
      <c r="B660" s="15"/>
      <c r="C660" s="15"/>
      <c r="D660" s="15"/>
      <c r="E660" s="15"/>
      <c r="F660" s="15"/>
      <c r="G660" s="70"/>
      <c r="H660" s="70"/>
      <c r="I660" s="70"/>
      <c r="J660" s="1"/>
    </row>
    <row r="661" spans="1:20" s="18" customFormat="1" ht="42.75" hidden="1" customHeight="1">
      <c r="A661" s="42"/>
      <c r="B661" s="15"/>
      <c r="C661" s="15"/>
      <c r="D661" s="15"/>
      <c r="E661" s="15"/>
      <c r="F661" s="15"/>
      <c r="G661" s="70"/>
      <c r="H661" s="70"/>
      <c r="I661" s="70"/>
      <c r="P661" s="17"/>
      <c r="Q661" s="17"/>
      <c r="R661" s="17"/>
      <c r="S661" s="17"/>
      <c r="T661" s="17"/>
    </row>
    <row r="662" spans="1:20" s="18" customFormat="1" hidden="1">
      <c r="A662" s="16"/>
      <c r="B662" s="15"/>
      <c r="C662" s="15"/>
      <c r="D662" s="15"/>
      <c r="E662" s="15"/>
      <c r="F662" s="15"/>
      <c r="G662" s="70"/>
      <c r="H662" s="70"/>
      <c r="I662" s="70"/>
      <c r="P662" s="17"/>
      <c r="Q662" s="17"/>
      <c r="R662" s="17"/>
      <c r="S662" s="17"/>
      <c r="T662" s="17"/>
    </row>
    <row r="663" spans="1:20" hidden="1">
      <c r="A663" s="16"/>
      <c r="B663" s="15"/>
      <c r="C663" s="15"/>
      <c r="D663" s="15"/>
      <c r="E663" s="15"/>
      <c r="F663" s="15"/>
      <c r="G663" s="70"/>
      <c r="H663" s="70"/>
      <c r="I663" s="70"/>
      <c r="J663" s="1"/>
    </row>
    <row r="664" spans="1:20" s="3" customFormat="1" ht="42.75" hidden="1" customHeight="1">
      <c r="A664" s="16" t="s">
        <v>705</v>
      </c>
      <c r="B664" s="14">
        <v>774</v>
      </c>
      <c r="C664" s="15" t="s">
        <v>25</v>
      </c>
      <c r="D664" s="15" t="s">
        <v>18</v>
      </c>
      <c r="E664" s="15" t="s">
        <v>692</v>
      </c>
      <c r="F664" s="15"/>
      <c r="G664" s="70"/>
      <c r="H664" s="70">
        <f t="shared" ref="H664:I664" si="185">H665</f>
        <v>0</v>
      </c>
      <c r="I664" s="70">
        <f t="shared" si="185"/>
        <v>0</v>
      </c>
      <c r="P664" s="111"/>
      <c r="Q664" s="111"/>
      <c r="R664" s="111"/>
      <c r="S664" s="111"/>
      <c r="T664" s="111"/>
    </row>
    <row r="665" spans="1:20" s="18" customFormat="1" ht="92.4">
      <c r="A665" s="104" t="s">
        <v>1054</v>
      </c>
      <c r="B665" s="15" t="s">
        <v>92</v>
      </c>
      <c r="C665" s="15" t="s">
        <v>25</v>
      </c>
      <c r="D665" s="15" t="s">
        <v>27</v>
      </c>
      <c r="E665" s="15" t="s">
        <v>637</v>
      </c>
      <c r="F665" s="15"/>
      <c r="G665" s="70">
        <f t="shared" ref="G665:I666" si="186">G666</f>
        <v>66406.84</v>
      </c>
      <c r="H665" s="70">
        <f t="shared" si="186"/>
        <v>0</v>
      </c>
      <c r="I665" s="70">
        <f t="shared" si="186"/>
        <v>0</v>
      </c>
      <c r="P665" s="17"/>
      <c r="Q665" s="17"/>
      <c r="R665" s="17"/>
      <c r="S665" s="17"/>
      <c r="T665" s="17"/>
    </row>
    <row r="666" spans="1:20" s="18" customFormat="1" ht="26.4">
      <c r="A666" s="16" t="s">
        <v>29</v>
      </c>
      <c r="B666" s="15" t="s">
        <v>92</v>
      </c>
      <c r="C666" s="15" t="s">
        <v>25</v>
      </c>
      <c r="D666" s="15" t="s">
        <v>27</v>
      </c>
      <c r="E666" s="15" t="s">
        <v>637</v>
      </c>
      <c r="F666" s="15" t="s">
        <v>30</v>
      </c>
      <c r="G666" s="70">
        <f t="shared" si="186"/>
        <v>66406.84</v>
      </c>
      <c r="H666" s="70">
        <f t="shared" si="186"/>
        <v>0</v>
      </c>
      <c r="I666" s="70">
        <f t="shared" si="186"/>
        <v>0</v>
      </c>
      <c r="P666" s="17"/>
      <c r="Q666" s="17"/>
      <c r="R666" s="17"/>
      <c r="S666" s="17"/>
      <c r="T666" s="17"/>
    </row>
    <row r="667" spans="1:20" s="18" customFormat="1">
      <c r="A667" s="16" t="s">
        <v>31</v>
      </c>
      <c r="B667" s="15" t="s">
        <v>92</v>
      </c>
      <c r="C667" s="15" t="s">
        <v>25</v>
      </c>
      <c r="D667" s="15" t="s">
        <v>27</v>
      </c>
      <c r="E667" s="15" t="s">
        <v>637</v>
      </c>
      <c r="F667" s="15" t="s">
        <v>32</v>
      </c>
      <c r="G667" s="70">
        <f>прил4!G850</f>
        <v>66406.84</v>
      </c>
      <c r="H667" s="70">
        <f>прил4!H850</f>
        <v>0</v>
      </c>
      <c r="I667" s="70">
        <f>прил4!I850</f>
        <v>0</v>
      </c>
      <c r="P667" s="17"/>
      <c r="Q667" s="17"/>
      <c r="R667" s="17"/>
      <c r="S667" s="17"/>
      <c r="T667" s="17"/>
    </row>
    <row r="668" spans="1:20" s="3" customFormat="1" ht="66" hidden="1">
      <c r="A668" s="16" t="s">
        <v>850</v>
      </c>
      <c r="B668" s="14">
        <v>774</v>
      </c>
      <c r="C668" s="15" t="s">
        <v>25</v>
      </c>
      <c r="D668" s="15" t="s">
        <v>27</v>
      </c>
      <c r="E668" s="15" t="s">
        <v>741</v>
      </c>
      <c r="F668" s="15"/>
      <c r="G668" s="70">
        <f>G670</f>
        <v>0</v>
      </c>
      <c r="H668" s="70">
        <f t="shared" ref="H668:I668" si="187">H670</f>
        <v>0</v>
      </c>
      <c r="I668" s="70">
        <f t="shared" si="187"/>
        <v>0</v>
      </c>
      <c r="P668" s="111"/>
      <c r="Q668" s="111"/>
      <c r="R668" s="111"/>
      <c r="S668" s="111"/>
      <c r="T668" s="111"/>
    </row>
    <row r="669" spans="1:20" ht="26.4" hidden="1">
      <c r="A669" s="16" t="s">
        <v>29</v>
      </c>
      <c r="B669" s="15" t="s">
        <v>92</v>
      </c>
      <c r="C669" s="15" t="s">
        <v>25</v>
      </c>
      <c r="D669" s="15" t="s">
        <v>27</v>
      </c>
      <c r="E669" s="15" t="s">
        <v>741</v>
      </c>
      <c r="F669" s="15" t="s">
        <v>30</v>
      </c>
      <c r="G669" s="70">
        <f>G670</f>
        <v>0</v>
      </c>
      <c r="H669" s="70">
        <f t="shared" ref="H669:I669" si="188">H670</f>
        <v>0</v>
      </c>
      <c r="I669" s="70">
        <f t="shared" si="188"/>
        <v>0</v>
      </c>
      <c r="J669" s="1"/>
    </row>
    <row r="670" spans="1:20" s="3" customFormat="1" hidden="1">
      <c r="A670" s="16" t="s">
        <v>31</v>
      </c>
      <c r="B670" s="14">
        <v>774</v>
      </c>
      <c r="C670" s="15" t="s">
        <v>25</v>
      </c>
      <c r="D670" s="15" t="s">
        <v>27</v>
      </c>
      <c r="E670" s="15" t="s">
        <v>741</v>
      </c>
      <c r="F670" s="15" t="s">
        <v>32</v>
      </c>
      <c r="G670" s="160"/>
      <c r="H670" s="70"/>
      <c r="I670" s="70"/>
      <c r="P670" s="111"/>
      <c r="Q670" s="111"/>
      <c r="R670" s="111"/>
      <c r="S670" s="111"/>
      <c r="T670" s="111"/>
    </row>
    <row r="671" spans="1:20" s="3" customFormat="1" ht="26.4" hidden="1">
      <c r="A671" s="16" t="s">
        <v>646</v>
      </c>
      <c r="B671" s="14">
        <v>774</v>
      </c>
      <c r="C671" s="15" t="s">
        <v>25</v>
      </c>
      <c r="D671" s="15" t="s">
        <v>69</v>
      </c>
      <c r="E671" s="84" t="s">
        <v>685</v>
      </c>
      <c r="F671" s="15"/>
      <c r="G671" s="70">
        <f t="shared" ref="G671:I672" si="189">G672</f>
        <v>0</v>
      </c>
      <c r="H671" s="70">
        <f t="shared" si="189"/>
        <v>0</v>
      </c>
      <c r="I671" s="70">
        <f t="shared" si="189"/>
        <v>0</v>
      </c>
      <c r="P671" s="111"/>
      <c r="Q671" s="111"/>
      <c r="R671" s="111"/>
      <c r="S671" s="111"/>
      <c r="T671" s="111"/>
    </row>
    <row r="672" spans="1:20" s="3" customFormat="1" ht="26.4" hidden="1">
      <c r="A672" s="16" t="s">
        <v>29</v>
      </c>
      <c r="B672" s="14">
        <v>774</v>
      </c>
      <c r="C672" s="15" t="s">
        <v>25</v>
      </c>
      <c r="D672" s="15" t="s">
        <v>69</v>
      </c>
      <c r="E672" s="84" t="s">
        <v>685</v>
      </c>
      <c r="F672" s="15" t="s">
        <v>30</v>
      </c>
      <c r="G672" s="70">
        <f t="shared" si="189"/>
        <v>0</v>
      </c>
      <c r="H672" s="70">
        <f t="shared" si="189"/>
        <v>0</v>
      </c>
      <c r="I672" s="70">
        <f t="shared" si="189"/>
        <v>0</v>
      </c>
      <c r="P672" s="111"/>
      <c r="Q672" s="111"/>
      <c r="R672" s="111"/>
      <c r="S672" s="111"/>
      <c r="T672" s="111"/>
    </row>
    <row r="673" spans="1:20" s="3" customFormat="1" hidden="1">
      <c r="A673" s="16" t="s">
        <v>31</v>
      </c>
      <c r="B673" s="14">
        <v>774</v>
      </c>
      <c r="C673" s="15" t="s">
        <v>25</v>
      </c>
      <c r="D673" s="15" t="s">
        <v>69</v>
      </c>
      <c r="E673" s="84" t="s">
        <v>685</v>
      </c>
      <c r="F673" s="15" t="s">
        <v>32</v>
      </c>
      <c r="G673" s="70">
        <f>прил4!G1153</f>
        <v>0</v>
      </c>
      <c r="H673" s="70">
        <v>0</v>
      </c>
      <c r="I673" s="70">
        <v>0</v>
      </c>
      <c r="P673" s="111"/>
      <c r="Q673" s="111"/>
      <c r="R673" s="111"/>
      <c r="S673" s="111"/>
      <c r="T673" s="111"/>
    </row>
    <row r="674" spans="1:20" ht="39.75" customHeight="1">
      <c r="A674" s="16" t="s">
        <v>607</v>
      </c>
      <c r="B674" s="14">
        <v>774</v>
      </c>
      <c r="C674" s="15" t="s">
        <v>25</v>
      </c>
      <c r="D674" s="15" t="s">
        <v>69</v>
      </c>
      <c r="E674" s="15" t="s">
        <v>620</v>
      </c>
      <c r="F674" s="15"/>
      <c r="G674" s="70">
        <f>G675+G679</f>
        <v>3823460.43</v>
      </c>
      <c r="H674" s="70">
        <f t="shared" ref="H674:O674" si="190">H675+H679</f>
        <v>3826992.43</v>
      </c>
      <c r="I674" s="70">
        <f t="shared" si="190"/>
        <v>3830912.43</v>
      </c>
      <c r="J674" s="70">
        <f t="shared" si="190"/>
        <v>0</v>
      </c>
      <c r="K674" s="70">
        <f t="shared" si="190"/>
        <v>0</v>
      </c>
      <c r="L674" s="70">
        <f t="shared" si="190"/>
        <v>0</v>
      </c>
      <c r="M674" s="70">
        <f t="shared" si="190"/>
        <v>0</v>
      </c>
      <c r="N674" s="70">
        <f t="shared" si="190"/>
        <v>0</v>
      </c>
      <c r="O674" s="70">
        <f t="shared" si="190"/>
        <v>0</v>
      </c>
    </row>
    <row r="675" spans="1:20" ht="34.5" customHeight="1">
      <c r="A675" s="16" t="s">
        <v>29</v>
      </c>
      <c r="B675" s="14">
        <v>774</v>
      </c>
      <c r="C675" s="15" t="s">
        <v>25</v>
      </c>
      <c r="D675" s="15" t="s">
        <v>69</v>
      </c>
      <c r="E675" s="15" t="s">
        <v>620</v>
      </c>
      <c r="F675" s="15" t="s">
        <v>30</v>
      </c>
      <c r="G675" s="70">
        <f>G676+G677+G678</f>
        <v>3687609.68</v>
      </c>
      <c r="H675" s="70">
        <f t="shared" ref="H675:I675" si="191">H676+H677+H678</f>
        <v>3690258.68</v>
      </c>
      <c r="I675" s="70">
        <f t="shared" si="191"/>
        <v>3693198.68</v>
      </c>
      <c r="J675" s="1"/>
    </row>
    <row r="676" spans="1:20" ht="15" customHeight="1">
      <c r="A676" s="16" t="s">
        <v>31</v>
      </c>
      <c r="B676" s="14">
        <v>774</v>
      </c>
      <c r="C676" s="15" t="s">
        <v>25</v>
      </c>
      <c r="D676" s="15" t="s">
        <v>69</v>
      </c>
      <c r="E676" s="15" t="s">
        <v>620</v>
      </c>
      <c r="F676" s="15" t="s">
        <v>32</v>
      </c>
      <c r="G676" s="70">
        <f>прил4!G1165</f>
        <v>3415908.18</v>
      </c>
      <c r="H676" s="70">
        <f>прил4!H1165</f>
        <v>3416791.18</v>
      </c>
      <c r="I676" s="70">
        <f>прил4!I1165</f>
        <v>3417771.18</v>
      </c>
      <c r="J676" s="1"/>
    </row>
    <row r="677" spans="1:20" ht="15" customHeight="1">
      <c r="A677" s="16" t="s">
        <v>606</v>
      </c>
      <c r="B677" s="14">
        <v>774</v>
      </c>
      <c r="C677" s="15" t="s">
        <v>25</v>
      </c>
      <c r="D677" s="15" t="s">
        <v>69</v>
      </c>
      <c r="E677" s="15" t="s">
        <v>620</v>
      </c>
      <c r="F677" s="15" t="s">
        <v>605</v>
      </c>
      <c r="G677" s="70">
        <f>прил4!G1166</f>
        <v>135850.75</v>
      </c>
      <c r="H677" s="70">
        <f>прил4!H1166</f>
        <v>136733.75</v>
      </c>
      <c r="I677" s="70">
        <f>прил4!I1166</f>
        <v>137713.75</v>
      </c>
      <c r="J677" s="1"/>
    </row>
    <row r="678" spans="1:20" ht="36" customHeight="1">
      <c r="A678" s="16" t="s">
        <v>8</v>
      </c>
      <c r="B678" s="14">
        <v>774</v>
      </c>
      <c r="C678" s="15" t="s">
        <v>25</v>
      </c>
      <c r="D678" s="15" t="s">
        <v>69</v>
      </c>
      <c r="E678" s="15" t="s">
        <v>620</v>
      </c>
      <c r="F678" s="15" t="s">
        <v>7</v>
      </c>
      <c r="G678" s="70">
        <f>прил4!G1167</f>
        <v>135850.75</v>
      </c>
      <c r="H678" s="70">
        <f>прил4!H1167</f>
        <v>136733.75</v>
      </c>
      <c r="I678" s="70">
        <f>прил4!I1167</f>
        <v>137713.75</v>
      </c>
      <c r="J678" s="1"/>
    </row>
    <row r="679" spans="1:20" ht="15" customHeight="1">
      <c r="A679" s="16" t="s">
        <v>62</v>
      </c>
      <c r="B679" s="14">
        <v>774</v>
      </c>
      <c r="C679" s="15" t="s">
        <v>25</v>
      </c>
      <c r="D679" s="15" t="s">
        <v>69</v>
      </c>
      <c r="E679" s="15" t="s">
        <v>620</v>
      </c>
      <c r="F679" s="15" t="s">
        <v>63</v>
      </c>
      <c r="G679" s="70">
        <f>G680</f>
        <v>135850.75</v>
      </c>
      <c r="H679" s="70">
        <f t="shared" ref="H679:I679" si="192">H680</f>
        <v>136733.75</v>
      </c>
      <c r="I679" s="70">
        <f t="shared" si="192"/>
        <v>137713.75</v>
      </c>
      <c r="J679" s="1"/>
    </row>
    <row r="680" spans="1:20" ht="51.75" customHeight="1">
      <c r="A680" s="16" t="s">
        <v>419</v>
      </c>
      <c r="B680" s="14">
        <v>774</v>
      </c>
      <c r="C680" s="15" t="s">
        <v>25</v>
      </c>
      <c r="D680" s="15" t="s">
        <v>69</v>
      </c>
      <c r="E680" s="15" t="s">
        <v>620</v>
      </c>
      <c r="F680" s="15" t="s">
        <v>333</v>
      </c>
      <c r="G680" s="70">
        <f>прил4!G1169</f>
        <v>135850.75</v>
      </c>
      <c r="H680" s="70">
        <f>прил4!H1169</f>
        <v>136733.75</v>
      </c>
      <c r="I680" s="70">
        <f>прил4!I1169</f>
        <v>137713.75</v>
      </c>
      <c r="J680" s="1"/>
    </row>
    <row r="681" spans="1:20" s="3" customFormat="1" ht="78.75" hidden="1" customHeight="1">
      <c r="A681" s="16" t="s">
        <v>703</v>
      </c>
      <c r="B681" s="14">
        <v>774</v>
      </c>
      <c r="C681" s="15" t="s">
        <v>25</v>
      </c>
      <c r="D681" s="15" t="s">
        <v>27</v>
      </c>
      <c r="E681" s="15" t="s">
        <v>674</v>
      </c>
      <c r="F681" s="15"/>
      <c r="G681" s="70">
        <f>G683</f>
        <v>0</v>
      </c>
      <c r="H681" s="70">
        <f>H683</f>
        <v>0</v>
      </c>
      <c r="I681" s="70">
        <f>I683</f>
        <v>0</v>
      </c>
      <c r="P681" s="111"/>
      <c r="Q681" s="111"/>
      <c r="R681" s="111"/>
      <c r="S681" s="111"/>
      <c r="T681" s="111"/>
    </row>
    <row r="682" spans="1:20" ht="26.4" hidden="1">
      <c r="A682" s="16" t="s">
        <v>94</v>
      </c>
      <c r="B682" s="15" t="s">
        <v>92</v>
      </c>
      <c r="C682" s="15" t="s">
        <v>25</v>
      </c>
      <c r="D682" s="15" t="s">
        <v>27</v>
      </c>
      <c r="E682" s="15" t="s">
        <v>674</v>
      </c>
      <c r="F682" s="15" t="s">
        <v>338</v>
      </c>
      <c r="G682" s="70">
        <f>G683</f>
        <v>0</v>
      </c>
      <c r="H682" s="70">
        <f>H683</f>
        <v>0</v>
      </c>
      <c r="I682" s="70">
        <f>I683</f>
        <v>0</v>
      </c>
      <c r="J682" s="1"/>
    </row>
    <row r="683" spans="1:20" s="3" customFormat="1" ht="92.4" hidden="1">
      <c r="A683" s="16" t="s">
        <v>407</v>
      </c>
      <c r="B683" s="14">
        <v>774</v>
      </c>
      <c r="C683" s="15" t="s">
        <v>25</v>
      </c>
      <c r="D683" s="15" t="s">
        <v>27</v>
      </c>
      <c r="E683" s="15" t="s">
        <v>674</v>
      </c>
      <c r="F683" s="15" t="s">
        <v>406</v>
      </c>
      <c r="G683" s="70"/>
      <c r="H683" s="70"/>
      <c r="I683" s="70"/>
      <c r="P683" s="111"/>
      <c r="Q683" s="111"/>
      <c r="R683" s="111"/>
      <c r="S683" s="111"/>
      <c r="T683" s="111"/>
    </row>
    <row r="684" spans="1:20" s="3" customFormat="1" ht="26.4" hidden="1">
      <c r="A684" s="16" t="s">
        <v>676</v>
      </c>
      <c r="B684" s="14">
        <v>774</v>
      </c>
      <c r="C684" s="15" t="s">
        <v>25</v>
      </c>
      <c r="D684" s="15" t="s">
        <v>27</v>
      </c>
      <c r="E684" s="15" t="s">
        <v>675</v>
      </c>
      <c r="F684" s="15"/>
      <c r="G684" s="70">
        <f>G686</f>
        <v>0</v>
      </c>
      <c r="H684" s="70">
        <f>H686</f>
        <v>0</v>
      </c>
      <c r="I684" s="70">
        <f>I686</f>
        <v>0</v>
      </c>
      <c r="P684" s="111"/>
      <c r="Q684" s="111"/>
      <c r="R684" s="111"/>
      <c r="S684" s="111"/>
      <c r="T684" s="111"/>
    </row>
    <row r="685" spans="1:20" ht="26.4" hidden="1">
      <c r="A685" s="16" t="s">
        <v>94</v>
      </c>
      <c r="B685" s="15" t="s">
        <v>92</v>
      </c>
      <c r="C685" s="15" t="s">
        <v>25</v>
      </c>
      <c r="D685" s="15" t="s">
        <v>27</v>
      </c>
      <c r="E685" s="15" t="s">
        <v>675</v>
      </c>
      <c r="F685" s="15" t="s">
        <v>338</v>
      </c>
      <c r="G685" s="70">
        <f>G686</f>
        <v>0</v>
      </c>
      <c r="H685" s="70">
        <f>H686</f>
        <v>0</v>
      </c>
      <c r="I685" s="70">
        <f>I686</f>
        <v>0</v>
      </c>
      <c r="J685" s="1"/>
    </row>
    <row r="686" spans="1:20" s="3" customFormat="1" ht="92.4" hidden="1">
      <c r="A686" s="16" t="s">
        <v>407</v>
      </c>
      <c r="B686" s="14">
        <v>774</v>
      </c>
      <c r="C686" s="15" t="s">
        <v>25</v>
      </c>
      <c r="D686" s="15" t="s">
        <v>27</v>
      </c>
      <c r="E686" s="15" t="s">
        <v>675</v>
      </c>
      <c r="F686" s="15" t="s">
        <v>406</v>
      </c>
      <c r="G686" s="70"/>
      <c r="H686" s="70"/>
      <c r="I686" s="70"/>
      <c r="P686" s="111"/>
      <c r="Q686" s="111"/>
      <c r="R686" s="111"/>
      <c r="S686" s="111"/>
      <c r="T686" s="111"/>
    </row>
    <row r="687" spans="1:20" s="18" customFormat="1" ht="53.25" hidden="1" customHeight="1">
      <c r="A687" s="16" t="s">
        <v>622</v>
      </c>
      <c r="B687" s="15" t="s">
        <v>92</v>
      </c>
      <c r="C687" s="15" t="s">
        <v>25</v>
      </c>
      <c r="D687" s="15" t="s">
        <v>69</v>
      </c>
      <c r="E687" s="15" t="s">
        <v>621</v>
      </c>
      <c r="F687" s="15"/>
      <c r="G687" s="70">
        <f t="shared" ref="G687:I688" si="193">G688</f>
        <v>0</v>
      </c>
      <c r="H687" s="70">
        <f t="shared" si="193"/>
        <v>0</v>
      </c>
      <c r="I687" s="70">
        <f t="shared" si="193"/>
        <v>0</v>
      </c>
      <c r="P687" s="17"/>
      <c r="Q687" s="17"/>
      <c r="R687" s="17"/>
      <c r="S687" s="17"/>
      <c r="T687" s="17"/>
    </row>
    <row r="688" spans="1:20" s="18" customFormat="1" ht="26.4" hidden="1">
      <c r="A688" s="16" t="s">
        <v>29</v>
      </c>
      <c r="B688" s="15" t="s">
        <v>92</v>
      </c>
      <c r="C688" s="15" t="s">
        <v>25</v>
      </c>
      <c r="D688" s="15" t="s">
        <v>69</v>
      </c>
      <c r="E688" s="15" t="s">
        <v>621</v>
      </c>
      <c r="F688" s="15" t="s">
        <v>30</v>
      </c>
      <c r="G688" s="70">
        <f t="shared" si="193"/>
        <v>0</v>
      </c>
      <c r="H688" s="70">
        <f t="shared" si="193"/>
        <v>0</v>
      </c>
      <c r="I688" s="70">
        <f t="shared" si="193"/>
        <v>0</v>
      </c>
      <c r="P688" s="17"/>
      <c r="Q688" s="17"/>
      <c r="R688" s="17"/>
      <c r="S688" s="17"/>
      <c r="T688" s="17"/>
    </row>
    <row r="689" spans="1:20" s="18" customFormat="1" hidden="1">
      <c r="A689" s="16" t="s">
        <v>31</v>
      </c>
      <c r="B689" s="15" t="s">
        <v>92</v>
      </c>
      <c r="C689" s="15" t="s">
        <v>25</v>
      </c>
      <c r="D689" s="15" t="s">
        <v>69</v>
      </c>
      <c r="E689" s="15" t="s">
        <v>621</v>
      </c>
      <c r="F689" s="15" t="s">
        <v>32</v>
      </c>
      <c r="G689" s="70">
        <f>прил4!G1162</f>
        <v>0</v>
      </c>
      <c r="H689" s="70"/>
      <c r="I689" s="70"/>
      <c r="P689" s="17"/>
      <c r="Q689" s="17"/>
      <c r="R689" s="17"/>
      <c r="S689" s="17"/>
      <c r="T689" s="17"/>
    </row>
    <row r="690" spans="1:20" s="3" customFormat="1" ht="52.5" hidden="1" customHeight="1">
      <c r="A690" s="16" t="s">
        <v>401</v>
      </c>
      <c r="B690" s="14">
        <v>774</v>
      </c>
      <c r="C690" s="15" t="s">
        <v>25</v>
      </c>
      <c r="D690" s="15" t="s">
        <v>27</v>
      </c>
      <c r="E690" s="15" t="s">
        <v>585</v>
      </c>
      <c r="F690" s="15"/>
      <c r="G690" s="70">
        <f t="shared" ref="G690:I691" si="194">G691</f>
        <v>0</v>
      </c>
      <c r="H690" s="70">
        <f t="shared" si="194"/>
        <v>0</v>
      </c>
      <c r="I690" s="70">
        <f t="shared" si="194"/>
        <v>0</v>
      </c>
      <c r="P690" s="111"/>
      <c r="Q690" s="111"/>
      <c r="R690" s="111"/>
      <c r="S690" s="111"/>
      <c r="T690" s="111"/>
    </row>
    <row r="691" spans="1:20" s="3" customFormat="1" ht="26.4" hidden="1">
      <c r="A691" s="16" t="s">
        <v>29</v>
      </c>
      <c r="B691" s="14">
        <v>774</v>
      </c>
      <c r="C691" s="15" t="s">
        <v>25</v>
      </c>
      <c r="D691" s="15" t="s">
        <v>27</v>
      </c>
      <c r="E691" s="15" t="s">
        <v>585</v>
      </c>
      <c r="F691" s="15" t="s">
        <v>30</v>
      </c>
      <c r="G691" s="70">
        <f t="shared" si="194"/>
        <v>0</v>
      </c>
      <c r="H691" s="70">
        <f t="shared" si="194"/>
        <v>0</v>
      </c>
      <c r="I691" s="70">
        <f t="shared" si="194"/>
        <v>0</v>
      </c>
      <c r="P691" s="111"/>
      <c r="Q691" s="111"/>
      <c r="R691" s="111"/>
      <c r="S691" s="111"/>
      <c r="T691" s="111"/>
    </row>
    <row r="692" spans="1:20" s="3" customFormat="1" hidden="1">
      <c r="A692" s="16" t="s">
        <v>31</v>
      </c>
      <c r="B692" s="14">
        <v>774</v>
      </c>
      <c r="C692" s="15" t="s">
        <v>25</v>
      </c>
      <c r="D692" s="15" t="s">
        <v>27</v>
      </c>
      <c r="E692" s="15" t="s">
        <v>585</v>
      </c>
      <c r="F692" s="15" t="s">
        <v>32</v>
      </c>
      <c r="G692" s="70">
        <f>прил4!G856</f>
        <v>0</v>
      </c>
      <c r="H692" s="70">
        <v>0</v>
      </c>
      <c r="I692" s="70">
        <v>0</v>
      </c>
      <c r="P692" s="111"/>
      <c r="Q692" s="111"/>
      <c r="R692" s="111"/>
      <c r="S692" s="111"/>
      <c r="T692" s="111"/>
    </row>
    <row r="693" spans="1:20" s="28" customFormat="1" ht="61.5" hidden="1" customHeight="1">
      <c r="A693" s="13" t="s">
        <v>626</v>
      </c>
      <c r="B693" s="15" t="s">
        <v>92</v>
      </c>
      <c r="C693" s="15" t="s">
        <v>68</v>
      </c>
      <c r="D693" s="15" t="s">
        <v>53</v>
      </c>
      <c r="E693" s="15" t="s">
        <v>625</v>
      </c>
      <c r="F693" s="39"/>
      <c r="G693" s="70">
        <f t="shared" ref="G693:I694" si="195">G694</f>
        <v>0</v>
      </c>
      <c r="H693" s="70">
        <f t="shared" si="195"/>
        <v>0</v>
      </c>
      <c r="I693" s="70">
        <f t="shared" si="195"/>
        <v>0</v>
      </c>
      <c r="P693" s="109"/>
      <c r="Q693" s="109"/>
      <c r="R693" s="109"/>
      <c r="S693" s="109"/>
      <c r="T693" s="109"/>
    </row>
    <row r="694" spans="1:20" s="28" customFormat="1" ht="26.4" hidden="1">
      <c r="A694" s="16" t="s">
        <v>29</v>
      </c>
      <c r="B694" s="15" t="s">
        <v>92</v>
      </c>
      <c r="C694" s="15" t="s">
        <v>68</v>
      </c>
      <c r="D694" s="15" t="s">
        <v>53</v>
      </c>
      <c r="E694" s="15" t="s">
        <v>625</v>
      </c>
      <c r="F694" s="15" t="s">
        <v>30</v>
      </c>
      <c r="G694" s="70">
        <f t="shared" si="195"/>
        <v>0</v>
      </c>
      <c r="H694" s="70">
        <f t="shared" si="195"/>
        <v>0</v>
      </c>
      <c r="I694" s="70">
        <f t="shared" si="195"/>
        <v>0</v>
      </c>
      <c r="P694" s="109"/>
      <c r="Q694" s="109"/>
      <c r="R694" s="109"/>
      <c r="S694" s="109"/>
      <c r="T694" s="109"/>
    </row>
    <row r="695" spans="1:20" hidden="1">
      <c r="A695" s="16" t="s">
        <v>31</v>
      </c>
      <c r="B695" s="15" t="s">
        <v>92</v>
      </c>
      <c r="C695" s="15" t="s">
        <v>68</v>
      </c>
      <c r="D695" s="15" t="s">
        <v>53</v>
      </c>
      <c r="E695" s="15" t="s">
        <v>625</v>
      </c>
      <c r="F695" s="15" t="s">
        <v>32</v>
      </c>
      <c r="G695" s="70">
        <f>прил4!G1373</f>
        <v>0</v>
      </c>
      <c r="H695" s="70">
        <f>прил4!H1373</f>
        <v>0</v>
      </c>
      <c r="I695" s="70">
        <f>прил4!I1373</f>
        <v>0</v>
      </c>
      <c r="J695" s="1"/>
    </row>
    <row r="696" spans="1:20" s="28" customFormat="1" ht="61.5" customHeight="1">
      <c r="A696" s="104" t="s">
        <v>661</v>
      </c>
      <c r="B696" s="15" t="s">
        <v>92</v>
      </c>
      <c r="C696" s="15" t="s">
        <v>68</v>
      </c>
      <c r="D696" s="15" t="s">
        <v>53</v>
      </c>
      <c r="E696" s="15" t="s">
        <v>660</v>
      </c>
      <c r="F696" s="39"/>
      <c r="G696" s="70">
        <f t="shared" ref="G696:I697" si="196">G697</f>
        <v>18481532.109999999</v>
      </c>
      <c r="H696" s="70">
        <f t="shared" si="196"/>
        <v>18511916.43</v>
      </c>
      <c r="I696" s="70">
        <f t="shared" si="196"/>
        <v>17848286.170000002</v>
      </c>
      <c r="P696" s="109"/>
      <c r="Q696" s="109"/>
      <c r="R696" s="109"/>
      <c r="S696" s="109"/>
      <c r="T696" s="109"/>
    </row>
    <row r="697" spans="1:20" s="28" customFormat="1" ht="26.4">
      <c r="A697" s="16" t="s">
        <v>29</v>
      </c>
      <c r="B697" s="15" t="s">
        <v>92</v>
      </c>
      <c r="C697" s="15" t="s">
        <v>68</v>
      </c>
      <c r="D697" s="15" t="s">
        <v>53</v>
      </c>
      <c r="E697" s="15" t="s">
        <v>660</v>
      </c>
      <c r="F697" s="15" t="s">
        <v>30</v>
      </c>
      <c r="G697" s="70">
        <f t="shared" si="196"/>
        <v>18481532.109999999</v>
      </c>
      <c r="H697" s="70">
        <f t="shared" si="196"/>
        <v>18511916.43</v>
      </c>
      <c r="I697" s="70">
        <f t="shared" si="196"/>
        <v>17848286.170000002</v>
      </c>
      <c r="P697" s="109"/>
      <c r="Q697" s="109"/>
      <c r="R697" s="109"/>
      <c r="S697" s="109"/>
      <c r="T697" s="109"/>
    </row>
    <row r="698" spans="1:20">
      <c r="A698" s="16" t="s">
        <v>31</v>
      </c>
      <c r="B698" s="15" t="s">
        <v>92</v>
      </c>
      <c r="C698" s="15" t="s">
        <v>68</v>
      </c>
      <c r="D698" s="15" t="s">
        <v>53</v>
      </c>
      <c r="E698" s="15" t="s">
        <v>660</v>
      </c>
      <c r="F698" s="15" t="s">
        <v>32</v>
      </c>
      <c r="G698" s="70">
        <f>прил4!G1409</f>
        <v>18481532.109999999</v>
      </c>
      <c r="H698" s="70">
        <f>прил4!H1409</f>
        <v>18511916.43</v>
      </c>
      <c r="I698" s="70">
        <f>прил4!I1409</f>
        <v>17848286.170000002</v>
      </c>
      <c r="J698" s="1"/>
    </row>
    <row r="699" spans="1:20" s="3" customFormat="1" hidden="1">
      <c r="A699" s="16" t="s">
        <v>846</v>
      </c>
      <c r="B699" s="14">
        <v>774</v>
      </c>
      <c r="C699" s="15" t="s">
        <v>25</v>
      </c>
      <c r="D699" s="15" t="s">
        <v>27</v>
      </c>
      <c r="E699" s="84" t="s">
        <v>889</v>
      </c>
      <c r="F699" s="15"/>
      <c r="G699" s="70">
        <f t="shared" ref="G699:I700" si="197">G700</f>
        <v>0</v>
      </c>
      <c r="H699" s="70">
        <f t="shared" si="197"/>
        <v>0</v>
      </c>
      <c r="I699" s="70">
        <f t="shared" si="197"/>
        <v>0</v>
      </c>
      <c r="P699" s="111"/>
      <c r="Q699" s="111"/>
      <c r="R699" s="111"/>
      <c r="S699" s="111"/>
      <c r="T699" s="111"/>
    </row>
    <row r="700" spans="1:20" s="3" customFormat="1" ht="26.4" hidden="1">
      <c r="A700" s="16" t="s">
        <v>29</v>
      </c>
      <c r="B700" s="14">
        <v>774</v>
      </c>
      <c r="C700" s="15" t="s">
        <v>25</v>
      </c>
      <c r="D700" s="15" t="s">
        <v>27</v>
      </c>
      <c r="E700" s="84" t="s">
        <v>889</v>
      </c>
      <c r="F700" s="15" t="s">
        <v>30</v>
      </c>
      <c r="G700" s="70">
        <f t="shared" si="197"/>
        <v>0</v>
      </c>
      <c r="H700" s="70">
        <f t="shared" si="197"/>
        <v>0</v>
      </c>
      <c r="I700" s="70">
        <f t="shared" si="197"/>
        <v>0</v>
      </c>
      <c r="P700" s="111"/>
      <c r="Q700" s="111"/>
      <c r="R700" s="111"/>
      <c r="S700" s="111"/>
      <c r="T700" s="111"/>
    </row>
    <row r="701" spans="1:20" s="3" customFormat="1" hidden="1">
      <c r="A701" s="82" t="s">
        <v>31</v>
      </c>
      <c r="B701" s="14">
        <v>774</v>
      </c>
      <c r="C701" s="15" t="s">
        <v>25</v>
      </c>
      <c r="D701" s="15" t="s">
        <v>27</v>
      </c>
      <c r="E701" s="84" t="s">
        <v>889</v>
      </c>
      <c r="F701" s="15" t="s">
        <v>32</v>
      </c>
      <c r="G701" s="70">
        <f>прил4!G868</f>
        <v>0</v>
      </c>
      <c r="H701" s="70">
        <f>прил4!H868</f>
        <v>0</v>
      </c>
      <c r="I701" s="70">
        <f>прил4!I868</f>
        <v>0</v>
      </c>
      <c r="P701" s="111"/>
      <c r="Q701" s="111"/>
      <c r="R701" s="111"/>
      <c r="S701" s="111"/>
      <c r="T701" s="111"/>
    </row>
    <row r="702" spans="1:20" ht="46.5" hidden="1" customHeight="1">
      <c r="A702" s="16" t="s">
        <v>684</v>
      </c>
      <c r="B702" s="15" t="s">
        <v>92</v>
      </c>
      <c r="C702" s="15" t="s">
        <v>25</v>
      </c>
      <c r="D702" s="15" t="s">
        <v>27</v>
      </c>
      <c r="E702" s="15" t="s">
        <v>683</v>
      </c>
      <c r="F702" s="15"/>
      <c r="G702" s="70">
        <f t="shared" ref="G702:I702" si="198">G703</f>
        <v>0</v>
      </c>
      <c r="H702" s="70">
        <f t="shared" si="198"/>
        <v>0</v>
      </c>
      <c r="I702" s="70">
        <f t="shared" si="198"/>
        <v>0</v>
      </c>
      <c r="J702" s="1"/>
    </row>
    <row r="703" spans="1:20" ht="39.75" hidden="1" customHeight="1">
      <c r="A703" s="16" t="s">
        <v>94</v>
      </c>
      <c r="B703" s="15" t="s">
        <v>92</v>
      </c>
      <c r="C703" s="15" t="s">
        <v>25</v>
      </c>
      <c r="D703" s="15" t="s">
        <v>27</v>
      </c>
      <c r="E703" s="15" t="s">
        <v>683</v>
      </c>
      <c r="F703" s="15" t="s">
        <v>30</v>
      </c>
      <c r="G703" s="70">
        <f>G704</f>
        <v>0</v>
      </c>
      <c r="H703" s="70">
        <f>H704</f>
        <v>0</v>
      </c>
      <c r="I703" s="70">
        <f>I704</f>
        <v>0</v>
      </c>
      <c r="J703" s="1"/>
    </row>
    <row r="704" spans="1:20" ht="46.5" hidden="1" customHeight="1">
      <c r="A704" s="16" t="s">
        <v>407</v>
      </c>
      <c r="B704" s="15" t="s">
        <v>92</v>
      </c>
      <c r="C704" s="15" t="s">
        <v>25</v>
      </c>
      <c r="D704" s="15" t="s">
        <v>27</v>
      </c>
      <c r="E704" s="15" t="s">
        <v>683</v>
      </c>
      <c r="F704" s="15" t="s">
        <v>32</v>
      </c>
      <c r="G704" s="70">
        <f>прил4!G871</f>
        <v>0</v>
      </c>
      <c r="H704" s="70">
        <v>0</v>
      </c>
      <c r="I704" s="70">
        <v>0</v>
      </c>
      <c r="J704" s="1"/>
    </row>
    <row r="705" spans="1:22" ht="57" hidden="1" customHeight="1">
      <c r="A705" s="16" t="s">
        <v>659</v>
      </c>
      <c r="B705" s="15" t="s">
        <v>92</v>
      </c>
      <c r="C705" s="15" t="s">
        <v>25</v>
      </c>
      <c r="D705" s="15" t="s">
        <v>27</v>
      </c>
      <c r="E705" s="15" t="s">
        <v>658</v>
      </c>
      <c r="F705" s="15"/>
      <c r="G705" s="70">
        <f t="shared" ref="G705:I705" si="199">G706</f>
        <v>0</v>
      </c>
      <c r="H705" s="70">
        <f t="shared" si="199"/>
        <v>0</v>
      </c>
      <c r="I705" s="70">
        <f t="shared" si="199"/>
        <v>0</v>
      </c>
      <c r="J705" s="1"/>
    </row>
    <row r="706" spans="1:22" ht="26.4" hidden="1">
      <c r="A706" s="16" t="s">
        <v>94</v>
      </c>
      <c r="B706" s="15" t="s">
        <v>92</v>
      </c>
      <c r="C706" s="15" t="s">
        <v>25</v>
      </c>
      <c r="D706" s="15" t="s">
        <v>27</v>
      </c>
      <c r="E706" s="15" t="s">
        <v>658</v>
      </c>
      <c r="F706" s="15" t="s">
        <v>338</v>
      </c>
      <c r="G706" s="70">
        <f>G707</f>
        <v>0</v>
      </c>
      <c r="H706" s="70">
        <f>H707</f>
        <v>0</v>
      </c>
      <c r="I706" s="70">
        <f>I707</f>
        <v>0</v>
      </c>
      <c r="J706" s="1"/>
    </row>
    <row r="707" spans="1:22" ht="92.4" hidden="1">
      <c r="A707" s="16" t="s">
        <v>407</v>
      </c>
      <c r="B707" s="15" t="s">
        <v>92</v>
      </c>
      <c r="C707" s="15" t="s">
        <v>25</v>
      </c>
      <c r="D707" s="15" t="s">
        <v>27</v>
      </c>
      <c r="E707" s="15" t="s">
        <v>658</v>
      </c>
      <c r="F707" s="15" t="s">
        <v>406</v>
      </c>
      <c r="G707" s="70"/>
      <c r="H707" s="70"/>
      <c r="I707" s="70"/>
      <c r="J707" s="1"/>
    </row>
    <row r="708" spans="1:22" s="18" customFormat="1" ht="39.6" hidden="1">
      <c r="A708" s="80" t="s">
        <v>839</v>
      </c>
      <c r="B708" s="15" t="s">
        <v>92</v>
      </c>
      <c r="C708" s="15" t="s">
        <v>25</v>
      </c>
      <c r="D708" s="15" t="s">
        <v>27</v>
      </c>
      <c r="E708" s="15" t="s">
        <v>838</v>
      </c>
      <c r="F708" s="15"/>
      <c r="G708" s="70">
        <f t="shared" ref="G708:I709" si="200">G709</f>
        <v>0</v>
      </c>
      <c r="H708" s="70">
        <f t="shared" si="200"/>
        <v>0</v>
      </c>
      <c r="I708" s="70">
        <f t="shared" si="200"/>
        <v>0</v>
      </c>
      <c r="P708" s="17"/>
      <c r="Q708" s="17"/>
      <c r="R708" s="17"/>
      <c r="S708" s="17"/>
      <c r="T708" s="17"/>
    </row>
    <row r="709" spans="1:22" s="18" customFormat="1" ht="26.4" hidden="1">
      <c r="A709" s="16" t="s">
        <v>35</v>
      </c>
      <c r="B709" s="15" t="s">
        <v>92</v>
      </c>
      <c r="C709" s="15" t="s">
        <v>25</v>
      </c>
      <c r="D709" s="15" t="s">
        <v>27</v>
      </c>
      <c r="E709" s="15" t="s">
        <v>838</v>
      </c>
      <c r="F709" s="15" t="s">
        <v>36</v>
      </c>
      <c r="G709" s="70">
        <f t="shared" si="200"/>
        <v>0</v>
      </c>
      <c r="H709" s="70">
        <f t="shared" si="200"/>
        <v>0</v>
      </c>
      <c r="I709" s="70">
        <f t="shared" si="200"/>
        <v>0</v>
      </c>
      <c r="P709" s="17"/>
      <c r="Q709" s="17"/>
      <c r="R709" s="17"/>
      <c r="S709" s="17"/>
      <c r="T709" s="17"/>
    </row>
    <row r="710" spans="1:22" s="18" customFormat="1" ht="26.4" hidden="1">
      <c r="A710" s="16" t="s">
        <v>37</v>
      </c>
      <c r="B710" s="15" t="s">
        <v>92</v>
      </c>
      <c r="C710" s="15" t="s">
        <v>25</v>
      </c>
      <c r="D710" s="15" t="s">
        <v>27</v>
      </c>
      <c r="E710" s="15" t="s">
        <v>838</v>
      </c>
      <c r="F710" s="15" t="s">
        <v>38</v>
      </c>
      <c r="G710" s="70"/>
      <c r="H710" s="70">
        <f>прил4!H1319</f>
        <v>0</v>
      </c>
      <c r="I710" s="70">
        <f>прил4!I1319</f>
        <v>0</v>
      </c>
      <c r="P710" s="17"/>
      <c r="Q710" s="17"/>
      <c r="R710" s="17"/>
      <c r="S710" s="17"/>
      <c r="T710" s="17"/>
    </row>
    <row r="711" spans="1:22" ht="32.25" customHeight="1">
      <c r="A711" s="82" t="s">
        <v>416</v>
      </c>
      <c r="B711" s="84" t="s">
        <v>92</v>
      </c>
      <c r="C711" s="84" t="s">
        <v>25</v>
      </c>
      <c r="D711" s="84" t="s">
        <v>27</v>
      </c>
      <c r="E711" s="84" t="s">
        <v>522</v>
      </c>
      <c r="F711" s="84"/>
      <c r="G711" s="87">
        <f t="shared" ref="G711:I711" si="201">G712</f>
        <v>206212</v>
      </c>
      <c r="H711" s="87">
        <f t="shared" si="201"/>
        <v>0</v>
      </c>
      <c r="I711" s="87">
        <f t="shared" si="201"/>
        <v>0</v>
      </c>
      <c r="J711" s="173"/>
      <c r="K711" s="181"/>
      <c r="L711" s="181"/>
      <c r="M711" s="181"/>
      <c r="N711" s="181"/>
      <c r="O711" s="181"/>
      <c r="P711" s="181"/>
      <c r="Q711" s="181"/>
      <c r="R711" s="181"/>
      <c r="S711" s="1"/>
      <c r="T711" s="1"/>
    </row>
    <row r="712" spans="1:22" ht="26.4">
      <c r="A712" s="82" t="s">
        <v>29</v>
      </c>
      <c r="B712" s="84" t="s">
        <v>92</v>
      </c>
      <c r="C712" s="84" t="s">
        <v>25</v>
      </c>
      <c r="D712" s="84" t="s">
        <v>27</v>
      </c>
      <c r="E712" s="84" t="s">
        <v>522</v>
      </c>
      <c r="F712" s="84" t="s">
        <v>30</v>
      </c>
      <c r="G712" s="87">
        <f>G713</f>
        <v>206212</v>
      </c>
      <c r="H712" s="87">
        <f>H713</f>
        <v>0</v>
      </c>
      <c r="I712" s="87">
        <f>I713</f>
        <v>0</v>
      </c>
      <c r="J712" s="173"/>
      <c r="K712" s="181"/>
      <c r="L712" s="181"/>
      <c r="M712" s="181"/>
      <c r="N712" s="181"/>
      <c r="O712" s="181"/>
      <c r="P712" s="181"/>
      <c r="Q712" s="181"/>
      <c r="R712" s="181"/>
      <c r="S712" s="1"/>
      <c r="T712" s="1"/>
    </row>
    <row r="713" spans="1:22">
      <c r="A713" s="82" t="s">
        <v>31</v>
      </c>
      <c r="B713" s="84" t="s">
        <v>92</v>
      </c>
      <c r="C713" s="84" t="s">
        <v>25</v>
      </c>
      <c r="D713" s="84" t="s">
        <v>27</v>
      </c>
      <c r="E713" s="84" t="s">
        <v>522</v>
      </c>
      <c r="F713" s="84" t="s">
        <v>32</v>
      </c>
      <c r="G713" s="70">
        <f>прил4!G832</f>
        <v>206212</v>
      </c>
      <c r="H713" s="70">
        <f>прил4!H832</f>
        <v>0</v>
      </c>
      <c r="I713" s="70">
        <f>прил4!I832</f>
        <v>0</v>
      </c>
      <c r="J713" s="173"/>
      <c r="K713" s="181"/>
      <c r="L713" s="181"/>
      <c r="M713" s="181"/>
      <c r="N713" s="181"/>
      <c r="O713" s="181"/>
      <c r="P713" s="181"/>
      <c r="Q713" s="181"/>
      <c r="R713" s="181"/>
      <c r="S713" s="1"/>
      <c r="T713" s="1"/>
    </row>
    <row r="714" spans="1:22" s="28" customFormat="1" ht="27" customHeight="1">
      <c r="A714" s="398" t="s">
        <v>893</v>
      </c>
      <c r="B714" s="84" t="s">
        <v>92</v>
      </c>
      <c r="C714" s="84" t="s">
        <v>68</v>
      </c>
      <c r="D714" s="84" t="s">
        <v>53</v>
      </c>
      <c r="E714" s="15" t="s">
        <v>892</v>
      </c>
      <c r="F714" s="39"/>
      <c r="G714" s="70">
        <f t="shared" ref="G714:I715" si="202">G715</f>
        <v>78467.490000000005</v>
      </c>
      <c r="H714" s="87">
        <f t="shared" si="202"/>
        <v>0</v>
      </c>
      <c r="I714" s="87">
        <f t="shared" si="202"/>
        <v>0</v>
      </c>
      <c r="J714" s="173"/>
      <c r="K714" s="199"/>
      <c r="L714" s="199"/>
      <c r="M714" s="199"/>
      <c r="N714" s="199"/>
      <c r="O714" s="199"/>
      <c r="P714" s="199"/>
      <c r="Q714" s="199"/>
      <c r="R714" s="199"/>
    </row>
    <row r="715" spans="1:22" s="28" customFormat="1" ht="27" customHeight="1">
      <c r="A715" s="82" t="s">
        <v>29</v>
      </c>
      <c r="B715" s="84" t="s">
        <v>92</v>
      </c>
      <c r="C715" s="84" t="s">
        <v>68</v>
      </c>
      <c r="D715" s="84" t="s">
        <v>53</v>
      </c>
      <c r="E715" s="15" t="s">
        <v>892</v>
      </c>
      <c r="F715" s="15" t="s">
        <v>30</v>
      </c>
      <c r="G715" s="70">
        <f t="shared" si="202"/>
        <v>78467.490000000005</v>
      </c>
      <c r="H715" s="87">
        <f t="shared" si="202"/>
        <v>0</v>
      </c>
      <c r="I715" s="87">
        <f t="shared" si="202"/>
        <v>0</v>
      </c>
      <c r="J715" s="173"/>
      <c r="K715" s="199"/>
      <c r="L715" s="199"/>
      <c r="M715" s="199"/>
      <c r="N715" s="199"/>
      <c r="O715" s="199"/>
      <c r="P715" s="199"/>
      <c r="Q715" s="199"/>
      <c r="R715" s="199"/>
    </row>
    <row r="716" spans="1:22">
      <c r="A716" s="82" t="s">
        <v>31</v>
      </c>
      <c r="B716" s="84" t="s">
        <v>92</v>
      </c>
      <c r="C716" s="84" t="s">
        <v>68</v>
      </c>
      <c r="D716" s="84" t="s">
        <v>53</v>
      </c>
      <c r="E716" s="15" t="s">
        <v>892</v>
      </c>
      <c r="F716" s="15" t="s">
        <v>32</v>
      </c>
      <c r="G716" s="70">
        <f>прил4!G1412</f>
        <v>78467.490000000005</v>
      </c>
      <c r="H716" s="87"/>
      <c r="I716" s="87"/>
      <c r="J716" s="173"/>
      <c r="K716" s="181"/>
      <c r="L716" s="181"/>
      <c r="M716" s="181"/>
      <c r="N716" s="181"/>
      <c r="O716" s="181"/>
      <c r="P716" s="181"/>
      <c r="Q716" s="181"/>
      <c r="R716" s="181"/>
      <c r="S716" s="1"/>
      <c r="T716" s="1"/>
    </row>
    <row r="717" spans="1:22" ht="42" customHeight="1">
      <c r="A717" s="82" t="s">
        <v>1185</v>
      </c>
      <c r="B717" s="14">
        <v>774</v>
      </c>
      <c r="C717" s="15" t="s">
        <v>25</v>
      </c>
      <c r="D717" s="15" t="s">
        <v>27</v>
      </c>
      <c r="E717" s="15" t="s">
        <v>212</v>
      </c>
      <c r="F717" s="15"/>
      <c r="G717" s="8">
        <f>G740+G761+G771+G819+G830+G833+G772+G777+G780+G822+G718+G763+G747+G825+G750+G753+G781+G790+G741+G744+G766+G721+G784+G793+G796+G724+G799+G802+G805+G808+G811+G816+G855+G756+G858+G861+G864+G867+G870+G873+G876+G879+G882+G885+G888+G891+G894+G897+G900+G839+G849+G850+G840+G844+G907+G903+G906+G727+G787+G730+G736+G733+G834</f>
        <v>86245719.63000001</v>
      </c>
      <c r="H717" s="8">
        <f t="shared" ref="H717:I717" si="203">H740+H761+H771+H819+H830+H833+H772+H777+H780+H822+H718+H763+H747+H825+H750+H753+H781+H790+H741+H744+H766+H721+H784+H793+H796+H724+H799+H802+H805+H808+H811+H816+H855</f>
        <v>5032773.8600000003</v>
      </c>
      <c r="I717" s="8">
        <f t="shared" si="203"/>
        <v>5137323.6100000003</v>
      </c>
      <c r="J717" s="1"/>
      <c r="V717" s="2"/>
    </row>
    <row r="718" spans="1:22" ht="31.5" hidden="1" customHeight="1">
      <c r="A718" s="16" t="s">
        <v>903</v>
      </c>
      <c r="B718" s="15" t="s">
        <v>92</v>
      </c>
      <c r="C718" s="15" t="s">
        <v>25</v>
      </c>
      <c r="D718" s="15" t="s">
        <v>27</v>
      </c>
      <c r="E718" s="15" t="s">
        <v>902</v>
      </c>
      <c r="F718" s="15"/>
      <c r="G718" s="70">
        <f t="shared" ref="G718:I719" si="204">G719</f>
        <v>0</v>
      </c>
      <c r="H718" s="70">
        <f t="shared" si="204"/>
        <v>0</v>
      </c>
      <c r="I718" s="70">
        <f t="shared" si="204"/>
        <v>0</v>
      </c>
      <c r="J718" s="1"/>
    </row>
    <row r="719" spans="1:22" ht="26.4" hidden="1">
      <c r="A719" s="16" t="s">
        <v>29</v>
      </c>
      <c r="B719" s="15" t="s">
        <v>92</v>
      </c>
      <c r="C719" s="15" t="s">
        <v>25</v>
      </c>
      <c r="D719" s="15" t="s">
        <v>27</v>
      </c>
      <c r="E719" s="15" t="s">
        <v>902</v>
      </c>
      <c r="F719" s="15" t="s">
        <v>30</v>
      </c>
      <c r="G719" s="70">
        <f t="shared" si="204"/>
        <v>0</v>
      </c>
      <c r="H719" s="70">
        <f t="shared" si="204"/>
        <v>0</v>
      </c>
      <c r="I719" s="70">
        <f t="shared" si="204"/>
        <v>0</v>
      </c>
      <c r="J719" s="1"/>
    </row>
    <row r="720" spans="1:22" hidden="1">
      <c r="A720" s="16" t="s">
        <v>31</v>
      </c>
      <c r="B720" s="15" t="s">
        <v>92</v>
      </c>
      <c r="C720" s="15" t="s">
        <v>25</v>
      </c>
      <c r="D720" s="15" t="s">
        <v>27</v>
      </c>
      <c r="E720" s="15" t="s">
        <v>902</v>
      </c>
      <c r="F720" s="15" t="s">
        <v>32</v>
      </c>
      <c r="G720" s="70">
        <f>прил4!G884</f>
        <v>0</v>
      </c>
      <c r="H720" s="70">
        <f>прил4!H884</f>
        <v>0</v>
      </c>
      <c r="I720" s="70">
        <f>прил4!I884</f>
        <v>0</v>
      </c>
      <c r="J720" s="1"/>
    </row>
    <row r="721" spans="1:20" ht="59.25" hidden="1" customHeight="1">
      <c r="A721" s="104" t="s">
        <v>995</v>
      </c>
      <c r="B721" s="15" t="s">
        <v>92</v>
      </c>
      <c r="C721" s="15" t="s">
        <v>25</v>
      </c>
      <c r="D721" s="15" t="s">
        <v>27</v>
      </c>
      <c r="E721" s="15" t="s">
        <v>994</v>
      </c>
      <c r="F721" s="15"/>
      <c r="G721" s="70">
        <f t="shared" ref="G721:I722" si="205">G722</f>
        <v>0</v>
      </c>
      <c r="H721" s="70">
        <f t="shared" si="205"/>
        <v>0</v>
      </c>
      <c r="I721" s="70">
        <f t="shared" si="205"/>
        <v>0</v>
      </c>
      <c r="J721" s="173"/>
      <c r="K721" s="181"/>
      <c r="L721" s="181"/>
      <c r="M721" s="181"/>
      <c r="N721" s="181"/>
      <c r="O721" s="181"/>
      <c r="P721" s="181"/>
      <c r="Q721" s="181"/>
      <c r="R721" s="181"/>
      <c r="S721" s="1"/>
      <c r="T721" s="1"/>
    </row>
    <row r="722" spans="1:20" ht="26.4" hidden="1">
      <c r="A722" s="16" t="s">
        <v>29</v>
      </c>
      <c r="B722" s="15" t="s">
        <v>92</v>
      </c>
      <c r="C722" s="15" t="s">
        <v>25</v>
      </c>
      <c r="D722" s="15" t="s">
        <v>27</v>
      </c>
      <c r="E722" s="15" t="s">
        <v>994</v>
      </c>
      <c r="F722" s="15" t="s">
        <v>30</v>
      </c>
      <c r="G722" s="70">
        <f t="shared" si="205"/>
        <v>0</v>
      </c>
      <c r="H722" s="70">
        <f t="shared" si="205"/>
        <v>0</v>
      </c>
      <c r="I722" s="70">
        <f t="shared" si="205"/>
        <v>0</v>
      </c>
      <c r="J722" s="173"/>
      <c r="K722" s="181"/>
      <c r="L722" s="181"/>
      <c r="M722" s="181"/>
      <c r="N722" s="181"/>
      <c r="O722" s="181"/>
      <c r="P722" s="181"/>
      <c r="Q722" s="181"/>
      <c r="R722" s="181"/>
      <c r="S722" s="1"/>
      <c r="T722" s="1"/>
    </row>
    <row r="723" spans="1:20" hidden="1">
      <c r="A723" s="16" t="s">
        <v>31</v>
      </c>
      <c r="B723" s="15" t="s">
        <v>92</v>
      </c>
      <c r="C723" s="15" t="s">
        <v>25</v>
      </c>
      <c r="D723" s="15" t="s">
        <v>27</v>
      </c>
      <c r="E723" s="15" t="s">
        <v>994</v>
      </c>
      <c r="F723" s="15" t="s">
        <v>32</v>
      </c>
      <c r="G723" s="70">
        <f>прил4!G887</f>
        <v>0</v>
      </c>
      <c r="H723" s="70">
        <f>прил4!H887</f>
        <v>0</v>
      </c>
      <c r="I723" s="70">
        <f>прил4!I887</f>
        <v>0</v>
      </c>
      <c r="J723" s="173"/>
      <c r="K723" s="181"/>
      <c r="L723" s="181"/>
      <c r="M723" s="181"/>
      <c r="N723" s="181"/>
      <c r="O723" s="181"/>
      <c r="P723" s="181"/>
      <c r="Q723" s="181"/>
      <c r="R723" s="181"/>
      <c r="S723" s="1"/>
      <c r="T723" s="1"/>
    </row>
    <row r="724" spans="1:20" ht="59.25" hidden="1" customHeight="1">
      <c r="A724" s="82" t="s">
        <v>1016</v>
      </c>
      <c r="B724" s="84" t="s">
        <v>92</v>
      </c>
      <c r="C724" s="84" t="s">
        <v>25</v>
      </c>
      <c r="D724" s="84" t="s">
        <v>27</v>
      </c>
      <c r="E724" s="84" t="s">
        <v>1015</v>
      </c>
      <c r="F724" s="84"/>
      <c r="G724" s="87">
        <f t="shared" ref="G724:I725" si="206">G725</f>
        <v>0</v>
      </c>
      <c r="H724" s="87">
        <f t="shared" si="206"/>
        <v>0</v>
      </c>
      <c r="I724" s="87">
        <f t="shared" si="206"/>
        <v>0</v>
      </c>
      <c r="J724" s="173"/>
      <c r="K724" s="181"/>
      <c r="L724" s="181"/>
      <c r="M724" s="181"/>
      <c r="N724" s="181"/>
      <c r="O724" s="181"/>
      <c r="P724" s="181"/>
      <c r="Q724" s="181"/>
      <c r="R724" s="181"/>
      <c r="S724" s="1"/>
      <c r="T724" s="1"/>
    </row>
    <row r="725" spans="1:20" ht="26.4" hidden="1">
      <c r="A725" s="82" t="s">
        <v>29</v>
      </c>
      <c r="B725" s="84" t="s">
        <v>92</v>
      </c>
      <c r="C725" s="84" t="s">
        <v>25</v>
      </c>
      <c r="D725" s="84" t="s">
        <v>27</v>
      </c>
      <c r="E725" s="84" t="s">
        <v>1015</v>
      </c>
      <c r="F725" s="84" t="s">
        <v>30</v>
      </c>
      <c r="G725" s="87">
        <f t="shared" si="206"/>
        <v>0</v>
      </c>
      <c r="H725" s="87">
        <f t="shared" si="206"/>
        <v>0</v>
      </c>
      <c r="I725" s="87">
        <f t="shared" si="206"/>
        <v>0</v>
      </c>
      <c r="J725" s="173"/>
      <c r="K725" s="181"/>
      <c r="L725" s="181"/>
      <c r="M725" s="181"/>
      <c r="N725" s="181"/>
      <c r="O725" s="181"/>
      <c r="P725" s="181"/>
      <c r="Q725" s="181"/>
      <c r="R725" s="181"/>
      <c r="S725" s="1"/>
      <c r="T725" s="1"/>
    </row>
    <row r="726" spans="1:20" hidden="1">
      <c r="A726" s="82" t="s">
        <v>31</v>
      </c>
      <c r="B726" s="84" t="s">
        <v>92</v>
      </c>
      <c r="C726" s="84" t="s">
        <v>25</v>
      </c>
      <c r="D726" s="84" t="s">
        <v>27</v>
      </c>
      <c r="E726" s="84" t="s">
        <v>1015</v>
      </c>
      <c r="F726" s="84" t="s">
        <v>32</v>
      </c>
      <c r="G726" s="87">
        <f>прил4!G890</f>
        <v>0</v>
      </c>
      <c r="H726" s="87">
        <v>0</v>
      </c>
      <c r="I726" s="87">
        <v>0</v>
      </c>
      <c r="J726" s="173"/>
      <c r="K726" s="181"/>
      <c r="L726" s="181"/>
      <c r="M726" s="181"/>
      <c r="N726" s="181"/>
      <c r="O726" s="181"/>
      <c r="P726" s="181"/>
      <c r="Q726" s="181"/>
      <c r="R726" s="181"/>
      <c r="S726" s="1"/>
      <c r="T726" s="1"/>
    </row>
    <row r="727" spans="1:20" ht="93" customHeight="1">
      <c r="A727" s="104" t="s">
        <v>1429</v>
      </c>
      <c r="B727" s="145">
        <v>774</v>
      </c>
      <c r="C727" s="84" t="s">
        <v>25</v>
      </c>
      <c r="D727" s="84" t="s">
        <v>27</v>
      </c>
      <c r="E727" s="84" t="s">
        <v>1428</v>
      </c>
      <c r="F727" s="15"/>
      <c r="G727" s="8">
        <f>G728</f>
        <v>63010</v>
      </c>
      <c r="H727" s="85">
        <f t="shared" ref="H727:I728" si="207">H728</f>
        <v>0</v>
      </c>
      <c r="I727" s="85">
        <f t="shared" si="207"/>
        <v>0</v>
      </c>
      <c r="J727" s="173"/>
      <c r="K727" s="181"/>
      <c r="L727" s="181"/>
      <c r="M727" s="181"/>
      <c r="N727" s="181"/>
      <c r="O727" s="181"/>
      <c r="P727" s="181"/>
      <c r="Q727" s="181"/>
      <c r="R727" s="181"/>
      <c r="S727" s="1"/>
      <c r="T727" s="1"/>
    </row>
    <row r="728" spans="1:20" ht="39.75" customHeight="1">
      <c r="A728" s="82" t="s">
        <v>29</v>
      </c>
      <c r="B728" s="145">
        <v>774</v>
      </c>
      <c r="C728" s="84" t="s">
        <v>25</v>
      </c>
      <c r="D728" s="84" t="s">
        <v>27</v>
      </c>
      <c r="E728" s="84" t="s">
        <v>1428</v>
      </c>
      <c r="F728" s="15" t="s">
        <v>30</v>
      </c>
      <c r="G728" s="8">
        <f>G729</f>
        <v>63010</v>
      </c>
      <c r="H728" s="85">
        <f t="shared" si="207"/>
        <v>0</v>
      </c>
      <c r="I728" s="85">
        <f t="shared" si="207"/>
        <v>0</v>
      </c>
      <c r="J728" s="173"/>
      <c r="K728" s="181"/>
      <c r="L728" s="181"/>
      <c r="M728" s="181"/>
      <c r="N728" s="181"/>
      <c r="O728" s="181"/>
      <c r="P728" s="181"/>
      <c r="Q728" s="181"/>
      <c r="R728" s="181"/>
      <c r="S728" s="1"/>
      <c r="T728" s="1"/>
    </row>
    <row r="729" spans="1:20" ht="19.5" customHeight="1">
      <c r="A729" s="130" t="s">
        <v>31</v>
      </c>
      <c r="B729" s="145">
        <v>774</v>
      </c>
      <c r="C729" s="84" t="s">
        <v>25</v>
      </c>
      <c r="D729" s="84" t="s">
        <v>27</v>
      </c>
      <c r="E729" s="84" t="s">
        <v>1428</v>
      </c>
      <c r="F729" s="15" t="s">
        <v>32</v>
      </c>
      <c r="G729" s="8">
        <f>прил4!G986</f>
        <v>63010</v>
      </c>
      <c r="H729" s="87"/>
      <c r="I729" s="87"/>
      <c r="J729" s="173"/>
      <c r="K729" s="181"/>
      <c r="L729" s="181"/>
      <c r="M729" s="181"/>
      <c r="N729" s="181"/>
      <c r="O729" s="181"/>
      <c r="P729" s="181"/>
      <c r="Q729" s="181"/>
      <c r="R729" s="181"/>
      <c r="S729" s="1"/>
      <c r="T729" s="1"/>
    </row>
    <row r="730" spans="1:20" ht="93" customHeight="1">
      <c r="A730" s="104" t="s">
        <v>1486</v>
      </c>
      <c r="B730" s="145">
        <v>774</v>
      </c>
      <c r="C730" s="84" t="s">
        <v>25</v>
      </c>
      <c r="D730" s="84" t="s">
        <v>27</v>
      </c>
      <c r="E730" s="84" t="s">
        <v>1485</v>
      </c>
      <c r="F730" s="15"/>
      <c r="G730" s="8">
        <f>G731</f>
        <v>189384</v>
      </c>
      <c r="H730" s="85">
        <f t="shared" ref="H730:I731" si="208">H731</f>
        <v>0</v>
      </c>
      <c r="I730" s="85">
        <f t="shared" si="208"/>
        <v>0</v>
      </c>
      <c r="J730" s="173"/>
      <c r="K730" s="181"/>
      <c r="L730" s="181"/>
      <c r="M730" s="181"/>
      <c r="N730" s="181"/>
      <c r="O730" s="181"/>
      <c r="P730" s="181"/>
      <c r="Q730" s="181"/>
      <c r="R730" s="181"/>
      <c r="S730" s="1"/>
      <c r="T730" s="1"/>
    </row>
    <row r="731" spans="1:20" ht="39.75" customHeight="1">
      <c r="A731" s="82" t="s">
        <v>29</v>
      </c>
      <c r="B731" s="145">
        <v>774</v>
      </c>
      <c r="C731" s="84" t="s">
        <v>25</v>
      </c>
      <c r="D731" s="84" t="s">
        <v>27</v>
      </c>
      <c r="E731" s="84" t="s">
        <v>1485</v>
      </c>
      <c r="F731" s="15" t="s">
        <v>30</v>
      </c>
      <c r="G731" s="8">
        <f>G732</f>
        <v>189384</v>
      </c>
      <c r="H731" s="85">
        <f t="shared" si="208"/>
        <v>0</v>
      </c>
      <c r="I731" s="85">
        <f t="shared" si="208"/>
        <v>0</v>
      </c>
      <c r="J731" s="173"/>
      <c r="K731" s="181"/>
      <c r="L731" s="181"/>
      <c r="M731" s="181"/>
      <c r="N731" s="181"/>
      <c r="O731" s="181"/>
      <c r="P731" s="181"/>
      <c r="Q731" s="181"/>
      <c r="R731" s="181"/>
      <c r="S731" s="1"/>
      <c r="T731" s="1"/>
    </row>
    <row r="732" spans="1:20" ht="19.5" customHeight="1">
      <c r="A732" s="130" t="s">
        <v>31</v>
      </c>
      <c r="B732" s="145">
        <v>774</v>
      </c>
      <c r="C732" s="84" t="s">
        <v>25</v>
      </c>
      <c r="D732" s="84" t="s">
        <v>27</v>
      </c>
      <c r="E732" s="84" t="s">
        <v>1485</v>
      </c>
      <c r="F732" s="15" t="s">
        <v>32</v>
      </c>
      <c r="G732" s="8">
        <f>прил4!G989+прил4!G783</f>
        <v>189384</v>
      </c>
      <c r="H732" s="87"/>
      <c r="I732" s="87"/>
      <c r="J732" s="173"/>
      <c r="K732" s="181"/>
      <c r="L732" s="181"/>
      <c r="M732" s="181"/>
      <c r="N732" s="181"/>
      <c r="O732" s="181"/>
      <c r="P732" s="181"/>
      <c r="Q732" s="181"/>
      <c r="R732" s="181"/>
      <c r="S732" s="1"/>
      <c r="T732" s="1"/>
    </row>
    <row r="733" spans="1:20" ht="85.5" customHeight="1">
      <c r="A733" s="104" t="s">
        <v>1490</v>
      </c>
      <c r="B733" s="145">
        <v>774</v>
      </c>
      <c r="C733" s="84" t="s">
        <v>25</v>
      </c>
      <c r="D733" s="84" t="s">
        <v>27</v>
      </c>
      <c r="E733" s="84" t="s">
        <v>1489</v>
      </c>
      <c r="F733" s="15"/>
      <c r="G733" s="8">
        <f>G734</f>
        <v>70327</v>
      </c>
      <c r="H733" s="85">
        <f t="shared" ref="H733:I734" si="209">H734</f>
        <v>0</v>
      </c>
      <c r="I733" s="85">
        <f t="shared" si="209"/>
        <v>0</v>
      </c>
      <c r="J733" s="173"/>
      <c r="K733" s="181"/>
      <c r="L733" s="181"/>
      <c r="M733" s="181"/>
      <c r="N733" s="181"/>
      <c r="O733" s="181"/>
      <c r="P733" s="181"/>
      <c r="Q733" s="181"/>
      <c r="R733" s="181"/>
      <c r="S733" s="1"/>
      <c r="T733" s="1"/>
    </row>
    <row r="734" spans="1:20" ht="39.75" customHeight="1">
      <c r="A734" s="82" t="s">
        <v>29</v>
      </c>
      <c r="B734" s="145">
        <v>774</v>
      </c>
      <c r="C734" s="84" t="s">
        <v>25</v>
      </c>
      <c r="D734" s="84" t="s">
        <v>27</v>
      </c>
      <c r="E734" s="84" t="s">
        <v>1489</v>
      </c>
      <c r="F734" s="15" t="s">
        <v>30</v>
      </c>
      <c r="G734" s="8">
        <f>G735</f>
        <v>70327</v>
      </c>
      <c r="H734" s="85">
        <f t="shared" si="209"/>
        <v>0</v>
      </c>
      <c r="I734" s="85">
        <f t="shared" si="209"/>
        <v>0</v>
      </c>
      <c r="J734" s="173"/>
      <c r="K734" s="181"/>
      <c r="L734" s="181"/>
      <c r="M734" s="181"/>
      <c r="N734" s="181"/>
      <c r="O734" s="181"/>
      <c r="P734" s="181"/>
      <c r="Q734" s="181"/>
      <c r="R734" s="181"/>
      <c r="S734" s="1"/>
      <c r="T734" s="1"/>
    </row>
    <row r="735" spans="1:20" ht="19.5" customHeight="1">
      <c r="A735" s="130" t="s">
        <v>31</v>
      </c>
      <c r="B735" s="145">
        <v>774</v>
      </c>
      <c r="C735" s="84" t="s">
        <v>25</v>
      </c>
      <c r="D735" s="84" t="s">
        <v>27</v>
      </c>
      <c r="E735" s="84" t="s">
        <v>1489</v>
      </c>
      <c r="F735" s="15" t="s">
        <v>32</v>
      </c>
      <c r="G735" s="8">
        <f>прил4!G768</f>
        <v>70327</v>
      </c>
      <c r="H735" s="87"/>
      <c r="I735" s="87"/>
      <c r="J735" s="173"/>
      <c r="K735" s="181"/>
      <c r="L735" s="181"/>
      <c r="M735" s="181"/>
      <c r="N735" s="181"/>
      <c r="O735" s="181"/>
      <c r="P735" s="181"/>
      <c r="Q735" s="181"/>
      <c r="R735" s="181"/>
      <c r="S735" s="1"/>
      <c r="T735" s="1"/>
    </row>
    <row r="736" spans="1:20" ht="85.5" customHeight="1">
      <c r="A736" s="104" t="s">
        <v>1488</v>
      </c>
      <c r="B736" s="145">
        <v>774</v>
      </c>
      <c r="C736" s="84" t="s">
        <v>25</v>
      </c>
      <c r="D736" s="84" t="s">
        <v>27</v>
      </c>
      <c r="E736" s="84" t="s">
        <v>1487</v>
      </c>
      <c r="F736" s="15"/>
      <c r="G736" s="8">
        <f>G737</f>
        <v>69892.39</v>
      </c>
      <c r="H736" s="85">
        <f t="shared" ref="H736:I737" si="210">H737</f>
        <v>0</v>
      </c>
      <c r="I736" s="85">
        <f t="shared" si="210"/>
        <v>0</v>
      </c>
      <c r="J736" s="173"/>
      <c r="K736" s="181"/>
      <c r="L736" s="181"/>
      <c r="M736" s="181"/>
      <c r="N736" s="181"/>
      <c r="O736" s="181"/>
      <c r="P736" s="181"/>
      <c r="Q736" s="181"/>
      <c r="R736" s="181"/>
      <c r="S736" s="1"/>
      <c r="T736" s="1"/>
    </row>
    <row r="737" spans="1:22" ht="39.75" customHeight="1">
      <c r="A737" s="82" t="s">
        <v>29</v>
      </c>
      <c r="B737" s="145">
        <v>774</v>
      </c>
      <c r="C737" s="84" t="s">
        <v>25</v>
      </c>
      <c r="D737" s="84" t="s">
        <v>27</v>
      </c>
      <c r="E737" s="84" t="s">
        <v>1487</v>
      </c>
      <c r="F737" s="15" t="s">
        <v>30</v>
      </c>
      <c r="G737" s="8">
        <f>G738</f>
        <v>69892.39</v>
      </c>
      <c r="H737" s="85">
        <f t="shared" si="210"/>
        <v>0</v>
      </c>
      <c r="I737" s="85">
        <f t="shared" si="210"/>
        <v>0</v>
      </c>
      <c r="J737" s="173"/>
      <c r="K737" s="181"/>
      <c r="L737" s="181"/>
      <c r="M737" s="181"/>
      <c r="N737" s="181"/>
      <c r="O737" s="181"/>
      <c r="P737" s="181"/>
      <c r="Q737" s="181"/>
      <c r="R737" s="181"/>
      <c r="S737" s="1"/>
      <c r="T737" s="1"/>
    </row>
    <row r="738" spans="1:22" ht="19.5" customHeight="1">
      <c r="A738" s="130" t="s">
        <v>31</v>
      </c>
      <c r="B738" s="145">
        <v>774</v>
      </c>
      <c r="C738" s="84" t="s">
        <v>25</v>
      </c>
      <c r="D738" s="84" t="s">
        <v>27</v>
      </c>
      <c r="E738" s="84" t="s">
        <v>1487</v>
      </c>
      <c r="F738" s="15" t="s">
        <v>32</v>
      </c>
      <c r="G738" s="8">
        <f>прил4!G992</f>
        <v>69892.39</v>
      </c>
      <c r="H738" s="87"/>
      <c r="I738" s="87"/>
      <c r="J738" s="173"/>
      <c r="K738" s="181"/>
      <c r="L738" s="181"/>
      <c r="M738" s="181"/>
      <c r="N738" s="181"/>
      <c r="O738" s="181"/>
      <c r="P738" s="181"/>
      <c r="Q738" s="181"/>
      <c r="R738" s="181"/>
      <c r="S738" s="1"/>
      <c r="T738" s="1"/>
    </row>
    <row r="739" spans="1:22" s="3" customFormat="1" ht="44.25" customHeight="1">
      <c r="A739" s="16" t="s">
        <v>782</v>
      </c>
      <c r="B739" s="14">
        <v>774</v>
      </c>
      <c r="C739" s="15" t="s">
        <v>25</v>
      </c>
      <c r="D739" s="15" t="s">
        <v>18</v>
      </c>
      <c r="E739" s="15" t="s">
        <v>429</v>
      </c>
      <c r="F739" s="15"/>
      <c r="G739" s="70">
        <f>G740</f>
        <v>2171200.13</v>
      </c>
      <c r="H739" s="70">
        <f t="shared" ref="H739:I739" si="211">H740</f>
        <v>2100000</v>
      </c>
      <c r="I739" s="70">
        <f t="shared" si="211"/>
        <v>2100000</v>
      </c>
      <c r="J739" s="111"/>
      <c r="P739" s="111"/>
      <c r="Q739" s="111"/>
      <c r="R739" s="111"/>
      <c r="S739" s="111"/>
      <c r="T739" s="111"/>
      <c r="V739" s="111"/>
    </row>
    <row r="740" spans="1:22" s="3" customFormat="1">
      <c r="A740" s="16" t="s">
        <v>31</v>
      </c>
      <c r="B740" s="14">
        <v>774</v>
      </c>
      <c r="C740" s="15" t="s">
        <v>25</v>
      </c>
      <c r="D740" s="15" t="s">
        <v>18</v>
      </c>
      <c r="E740" s="15" t="s">
        <v>429</v>
      </c>
      <c r="F740" s="15" t="s">
        <v>32</v>
      </c>
      <c r="G740" s="70">
        <f>прил4!G736+прил4!G896</f>
        <v>2171200.13</v>
      </c>
      <c r="H740" s="70">
        <f>прил4!H736+прил4!H896</f>
        <v>2100000</v>
      </c>
      <c r="I740" s="70">
        <f>прил4!I736+прил4!I896</f>
        <v>2100000</v>
      </c>
      <c r="J740" s="111"/>
      <c r="P740" s="111"/>
      <c r="Q740" s="111"/>
      <c r="R740" s="111"/>
      <c r="S740" s="111"/>
      <c r="T740" s="111"/>
    </row>
    <row r="741" spans="1:22" s="3" customFormat="1" ht="39.6" hidden="1">
      <c r="A741" s="16" t="s">
        <v>858</v>
      </c>
      <c r="B741" s="14">
        <v>774</v>
      </c>
      <c r="C741" s="15" t="s">
        <v>25</v>
      </c>
      <c r="D741" s="15" t="s">
        <v>18</v>
      </c>
      <c r="E741" s="15" t="s">
        <v>857</v>
      </c>
      <c r="F741" s="15"/>
      <c r="G741" s="70">
        <f>G742</f>
        <v>0</v>
      </c>
      <c r="H741" s="70">
        <f t="shared" ref="H741:I742" si="212">H742</f>
        <v>0</v>
      </c>
      <c r="I741" s="70">
        <f t="shared" si="212"/>
        <v>0</v>
      </c>
      <c r="J741" s="172"/>
    </row>
    <row r="742" spans="1:22" s="3" customFormat="1" ht="33" hidden="1" customHeight="1">
      <c r="A742" s="16" t="s">
        <v>29</v>
      </c>
      <c r="B742" s="14">
        <v>774</v>
      </c>
      <c r="C742" s="15" t="s">
        <v>25</v>
      </c>
      <c r="D742" s="15" t="s">
        <v>18</v>
      </c>
      <c r="E742" s="15" t="s">
        <v>857</v>
      </c>
      <c r="F742" s="15" t="s">
        <v>30</v>
      </c>
      <c r="G742" s="70">
        <f>G743</f>
        <v>0</v>
      </c>
      <c r="H742" s="70">
        <f t="shared" si="212"/>
        <v>0</v>
      </c>
      <c r="I742" s="70">
        <f t="shared" si="212"/>
        <v>0</v>
      </c>
      <c r="J742" s="172"/>
    </row>
    <row r="743" spans="1:22" s="3" customFormat="1" hidden="1">
      <c r="A743" s="16" t="s">
        <v>31</v>
      </c>
      <c r="B743" s="14">
        <v>774</v>
      </c>
      <c r="C743" s="15" t="s">
        <v>25</v>
      </c>
      <c r="D743" s="15" t="s">
        <v>18</v>
      </c>
      <c r="E743" s="15" t="s">
        <v>857</v>
      </c>
      <c r="F743" s="15" t="s">
        <v>32</v>
      </c>
      <c r="G743" s="70">
        <f>прил4!G899</f>
        <v>0</v>
      </c>
      <c r="H743" s="70">
        <f>прил4!H899</f>
        <v>0</v>
      </c>
      <c r="I743" s="70">
        <f>прил4!I899</f>
        <v>0</v>
      </c>
      <c r="J743" s="172"/>
    </row>
    <row r="744" spans="1:22" s="3" customFormat="1" ht="39.6" hidden="1">
      <c r="A744" s="16" t="s">
        <v>860</v>
      </c>
      <c r="B744" s="14">
        <v>774</v>
      </c>
      <c r="C744" s="15" t="s">
        <v>25</v>
      </c>
      <c r="D744" s="15" t="s">
        <v>18</v>
      </c>
      <c r="E744" s="15" t="s">
        <v>859</v>
      </c>
      <c r="F744" s="15"/>
      <c r="G744" s="70">
        <f>G745</f>
        <v>0</v>
      </c>
      <c r="H744" s="70">
        <f t="shared" ref="H744:I745" si="213">H745</f>
        <v>0</v>
      </c>
      <c r="I744" s="70">
        <f t="shared" si="213"/>
        <v>0</v>
      </c>
      <c r="J744" s="172"/>
    </row>
    <row r="745" spans="1:22" s="3" customFormat="1" ht="33" hidden="1" customHeight="1">
      <c r="A745" s="16" t="s">
        <v>29</v>
      </c>
      <c r="B745" s="14">
        <v>774</v>
      </c>
      <c r="C745" s="15" t="s">
        <v>25</v>
      </c>
      <c r="D745" s="15" t="s">
        <v>18</v>
      </c>
      <c r="E745" s="15" t="s">
        <v>859</v>
      </c>
      <c r="F745" s="15" t="s">
        <v>30</v>
      </c>
      <c r="G745" s="70">
        <f>G746</f>
        <v>0</v>
      </c>
      <c r="H745" s="70">
        <f t="shared" si="213"/>
        <v>0</v>
      </c>
      <c r="I745" s="70">
        <f t="shared" si="213"/>
        <v>0</v>
      </c>
      <c r="J745" s="172"/>
    </row>
    <row r="746" spans="1:22" s="3" customFormat="1" hidden="1">
      <c r="A746" s="16" t="s">
        <v>31</v>
      </c>
      <c r="B746" s="14">
        <v>774</v>
      </c>
      <c r="C746" s="15" t="s">
        <v>25</v>
      </c>
      <c r="D746" s="15" t="s">
        <v>18</v>
      </c>
      <c r="E746" s="15" t="s">
        <v>859</v>
      </c>
      <c r="F746" s="15" t="s">
        <v>32</v>
      </c>
      <c r="G746" s="70">
        <f>прил4!G902</f>
        <v>0</v>
      </c>
      <c r="H746" s="70">
        <f>прил4!H902</f>
        <v>0</v>
      </c>
      <c r="I746" s="70">
        <f>прил4!I902</f>
        <v>0</v>
      </c>
      <c r="J746" s="172"/>
    </row>
    <row r="747" spans="1:22" s="3" customFormat="1" ht="48" customHeight="1">
      <c r="A747" s="16" t="s">
        <v>913</v>
      </c>
      <c r="B747" s="14">
        <v>774</v>
      </c>
      <c r="C747" s="15" t="s">
        <v>25</v>
      </c>
      <c r="D747" s="15" t="s">
        <v>27</v>
      </c>
      <c r="E747" s="84" t="s">
        <v>702</v>
      </c>
      <c r="F747" s="15"/>
      <c r="G747" s="70">
        <f t="shared" ref="G747:I748" si="214">G748</f>
        <v>60000</v>
      </c>
      <c r="H747" s="70">
        <f t="shared" si="214"/>
        <v>0</v>
      </c>
      <c r="I747" s="70">
        <f t="shared" si="214"/>
        <v>0</v>
      </c>
      <c r="P747" s="111"/>
      <c r="Q747" s="111"/>
      <c r="R747" s="111"/>
      <c r="S747" s="111"/>
      <c r="T747" s="111"/>
    </row>
    <row r="748" spans="1:22" s="3" customFormat="1" ht="26.4">
      <c r="A748" s="16" t="s">
        <v>29</v>
      </c>
      <c r="B748" s="14">
        <v>774</v>
      </c>
      <c r="C748" s="15" t="s">
        <v>25</v>
      </c>
      <c r="D748" s="15" t="s">
        <v>27</v>
      </c>
      <c r="E748" s="84" t="s">
        <v>702</v>
      </c>
      <c r="F748" s="15" t="s">
        <v>30</v>
      </c>
      <c r="G748" s="70">
        <f t="shared" si="214"/>
        <v>60000</v>
      </c>
      <c r="H748" s="70">
        <f t="shared" si="214"/>
        <v>0</v>
      </c>
      <c r="I748" s="70">
        <f t="shared" si="214"/>
        <v>0</v>
      </c>
      <c r="P748" s="111"/>
      <c r="Q748" s="111"/>
      <c r="R748" s="111"/>
      <c r="S748" s="111"/>
      <c r="T748" s="111"/>
    </row>
    <row r="749" spans="1:22" s="3" customFormat="1">
      <c r="A749" s="82" t="s">
        <v>31</v>
      </c>
      <c r="B749" s="14">
        <v>774</v>
      </c>
      <c r="C749" s="15" t="s">
        <v>25</v>
      </c>
      <c r="D749" s="15" t="s">
        <v>27</v>
      </c>
      <c r="E749" s="84" t="s">
        <v>702</v>
      </c>
      <c r="F749" s="15" t="s">
        <v>32</v>
      </c>
      <c r="G749" s="70">
        <f>прил4!G911</f>
        <v>60000</v>
      </c>
      <c r="H749" s="70">
        <f>прил4!H911</f>
        <v>0</v>
      </c>
      <c r="I749" s="70">
        <f>прил4!I911</f>
        <v>0</v>
      </c>
      <c r="P749" s="111"/>
      <c r="Q749" s="111"/>
      <c r="R749" s="111"/>
      <c r="S749" s="111"/>
      <c r="T749" s="111"/>
    </row>
    <row r="750" spans="1:22" s="3" customFormat="1">
      <c r="A750" s="16" t="s">
        <v>843</v>
      </c>
      <c r="B750" s="14">
        <v>774</v>
      </c>
      <c r="C750" s="15" t="s">
        <v>25</v>
      </c>
      <c r="D750" s="15" t="s">
        <v>27</v>
      </c>
      <c r="E750" s="84" t="s">
        <v>842</v>
      </c>
      <c r="F750" s="15"/>
      <c r="G750" s="70">
        <f t="shared" ref="G750:I751" si="215">G751</f>
        <v>519167.44999999995</v>
      </c>
      <c r="H750" s="70">
        <f t="shared" si="215"/>
        <v>0</v>
      </c>
      <c r="I750" s="70">
        <f t="shared" si="215"/>
        <v>0</v>
      </c>
      <c r="P750" s="111"/>
      <c r="Q750" s="111"/>
      <c r="R750" s="111"/>
      <c r="S750" s="111"/>
      <c r="T750" s="111"/>
    </row>
    <row r="751" spans="1:22" s="3" customFormat="1" ht="26.4">
      <c r="A751" s="16" t="s">
        <v>29</v>
      </c>
      <c r="B751" s="14">
        <v>774</v>
      </c>
      <c r="C751" s="15" t="s">
        <v>25</v>
      </c>
      <c r="D751" s="15" t="s">
        <v>27</v>
      </c>
      <c r="E751" s="84" t="s">
        <v>842</v>
      </c>
      <c r="F751" s="15" t="s">
        <v>30</v>
      </c>
      <c r="G751" s="70">
        <f t="shared" si="215"/>
        <v>519167.44999999995</v>
      </c>
      <c r="H751" s="70">
        <f t="shared" si="215"/>
        <v>0</v>
      </c>
      <c r="I751" s="70">
        <f t="shared" si="215"/>
        <v>0</v>
      </c>
      <c r="P751" s="111"/>
      <c r="Q751" s="111"/>
      <c r="R751" s="111"/>
      <c r="S751" s="111"/>
      <c r="T751" s="111"/>
    </row>
    <row r="752" spans="1:22" s="3" customFormat="1">
      <c r="A752" s="82" t="s">
        <v>31</v>
      </c>
      <c r="B752" s="14">
        <v>774</v>
      </c>
      <c r="C752" s="15" t="s">
        <v>25</v>
      </c>
      <c r="D752" s="15" t="s">
        <v>27</v>
      </c>
      <c r="E752" s="84" t="s">
        <v>842</v>
      </c>
      <c r="F752" s="15" t="s">
        <v>32</v>
      </c>
      <c r="G752" s="70">
        <f>прил4!G908</f>
        <v>519167.44999999995</v>
      </c>
      <c r="H752" s="70">
        <f>прил4!H908</f>
        <v>0</v>
      </c>
      <c r="I752" s="70">
        <f>прил4!I908</f>
        <v>0</v>
      </c>
      <c r="P752" s="111"/>
      <c r="Q752" s="111"/>
      <c r="R752" s="111"/>
      <c r="S752" s="111"/>
      <c r="T752" s="111"/>
    </row>
    <row r="753" spans="1:20" s="3" customFormat="1">
      <c r="A753" s="16" t="s">
        <v>845</v>
      </c>
      <c r="B753" s="14">
        <v>774</v>
      </c>
      <c r="C753" s="15" t="s">
        <v>25</v>
      </c>
      <c r="D753" s="15" t="s">
        <v>27</v>
      </c>
      <c r="E753" s="84" t="s">
        <v>844</v>
      </c>
      <c r="F753" s="15"/>
      <c r="G753" s="70">
        <f t="shared" ref="G753:I754" si="216">G754</f>
        <v>0</v>
      </c>
      <c r="H753" s="70">
        <f t="shared" si="216"/>
        <v>250000</v>
      </c>
      <c r="I753" s="70">
        <f t="shared" si="216"/>
        <v>250000</v>
      </c>
      <c r="P753" s="111"/>
      <c r="Q753" s="111"/>
      <c r="R753" s="111"/>
      <c r="S753" s="111"/>
      <c r="T753" s="111"/>
    </row>
    <row r="754" spans="1:20" s="3" customFormat="1" ht="26.4">
      <c r="A754" s="16" t="s">
        <v>29</v>
      </c>
      <c r="B754" s="14">
        <v>774</v>
      </c>
      <c r="C754" s="15" t="s">
        <v>25</v>
      </c>
      <c r="D754" s="15" t="s">
        <v>27</v>
      </c>
      <c r="E754" s="84" t="s">
        <v>844</v>
      </c>
      <c r="F754" s="15" t="s">
        <v>30</v>
      </c>
      <c r="G754" s="70">
        <f t="shared" si="216"/>
        <v>0</v>
      </c>
      <c r="H754" s="70">
        <f t="shared" si="216"/>
        <v>250000</v>
      </c>
      <c r="I754" s="70">
        <f t="shared" si="216"/>
        <v>250000</v>
      </c>
      <c r="P754" s="111"/>
      <c r="Q754" s="111"/>
      <c r="R754" s="111"/>
      <c r="S754" s="111"/>
      <c r="T754" s="111"/>
    </row>
    <row r="755" spans="1:20" s="3" customFormat="1">
      <c r="A755" s="82" t="s">
        <v>31</v>
      </c>
      <c r="B755" s="14">
        <v>774</v>
      </c>
      <c r="C755" s="15" t="s">
        <v>25</v>
      </c>
      <c r="D755" s="15" t="s">
        <v>27</v>
      </c>
      <c r="E755" s="84" t="s">
        <v>844</v>
      </c>
      <c r="F755" s="15" t="s">
        <v>32</v>
      </c>
      <c r="G755" s="87">
        <f>прил4!G756</f>
        <v>0</v>
      </c>
      <c r="H755" s="70">
        <f>прил4!H911+прил4!H756</f>
        <v>250000</v>
      </c>
      <c r="I755" s="70">
        <f>прил4!I911+прил4!I756</f>
        <v>250000</v>
      </c>
      <c r="P755" s="111"/>
      <c r="Q755" s="111"/>
      <c r="R755" s="111"/>
      <c r="S755" s="111"/>
      <c r="T755" s="111"/>
    </row>
    <row r="756" spans="1:20" s="3" customFormat="1" ht="25.5" customHeight="1">
      <c r="A756" s="82" t="s">
        <v>1208</v>
      </c>
      <c r="B756" s="145">
        <v>774</v>
      </c>
      <c r="C756" s="84" t="s">
        <v>25</v>
      </c>
      <c r="D756" s="84" t="s">
        <v>27</v>
      </c>
      <c r="E756" s="84" t="s">
        <v>1207</v>
      </c>
      <c r="F756" s="84"/>
      <c r="G756" s="70">
        <f t="shared" ref="G756:I757" si="217">G757</f>
        <v>3465114.68</v>
      </c>
      <c r="H756" s="87">
        <f t="shared" si="217"/>
        <v>0</v>
      </c>
      <c r="I756" s="87">
        <f t="shared" si="217"/>
        <v>0</v>
      </c>
      <c r="J756" s="173"/>
      <c r="K756" s="194"/>
      <c r="L756" s="194"/>
      <c r="M756" s="194"/>
      <c r="N756" s="194"/>
      <c r="O756" s="194"/>
      <c r="P756" s="194"/>
      <c r="Q756" s="194"/>
      <c r="R756" s="194"/>
    </row>
    <row r="757" spans="1:20" s="3" customFormat="1" ht="26.4">
      <c r="A757" s="82" t="s">
        <v>29</v>
      </c>
      <c r="B757" s="145">
        <v>774</v>
      </c>
      <c r="C757" s="84" t="s">
        <v>25</v>
      </c>
      <c r="D757" s="84" t="s">
        <v>27</v>
      </c>
      <c r="E757" s="84" t="s">
        <v>1207</v>
      </c>
      <c r="F757" s="84" t="s">
        <v>30</v>
      </c>
      <c r="G757" s="70">
        <f t="shared" si="217"/>
        <v>3465114.68</v>
      </c>
      <c r="H757" s="87">
        <f t="shared" si="217"/>
        <v>0</v>
      </c>
      <c r="I757" s="87">
        <f t="shared" si="217"/>
        <v>0</v>
      </c>
      <c r="J757" s="173"/>
      <c r="K757" s="194"/>
      <c r="L757" s="194"/>
      <c r="M757" s="194"/>
      <c r="N757" s="194"/>
      <c r="O757" s="194"/>
      <c r="P757" s="194"/>
      <c r="Q757" s="194"/>
      <c r="R757" s="194"/>
    </row>
    <row r="758" spans="1:20" s="3" customFormat="1">
      <c r="A758" s="82" t="s">
        <v>31</v>
      </c>
      <c r="B758" s="145">
        <v>774</v>
      </c>
      <c r="C758" s="84" t="s">
        <v>25</v>
      </c>
      <c r="D758" s="84" t="s">
        <v>27</v>
      </c>
      <c r="E758" s="84" t="s">
        <v>1207</v>
      </c>
      <c r="F758" s="84" t="s">
        <v>32</v>
      </c>
      <c r="G758" s="70">
        <f>прил4!G914</f>
        <v>3465114.68</v>
      </c>
      <c r="H758" s="87">
        <v>0</v>
      </c>
      <c r="I758" s="87">
        <v>0</v>
      </c>
      <c r="J758" s="173"/>
      <c r="K758" s="194"/>
      <c r="L758" s="194"/>
      <c r="M758" s="194"/>
      <c r="N758" s="194"/>
      <c r="O758" s="194"/>
      <c r="P758" s="194"/>
      <c r="Q758" s="194"/>
      <c r="R758" s="194"/>
    </row>
    <row r="759" spans="1:20" s="3" customFormat="1" ht="26.4">
      <c r="A759" s="16" t="s">
        <v>990</v>
      </c>
      <c r="B759" s="14">
        <v>774</v>
      </c>
      <c r="C759" s="15" t="s">
        <v>25</v>
      </c>
      <c r="D759" s="15" t="s">
        <v>27</v>
      </c>
      <c r="E759" s="15" t="s">
        <v>213</v>
      </c>
      <c r="F759" s="15"/>
      <c r="G759" s="70">
        <f t="shared" ref="G759:I760" si="218">G760</f>
        <v>1434535.8099999998</v>
      </c>
      <c r="H759" s="70">
        <f t="shared" si="218"/>
        <v>0</v>
      </c>
      <c r="I759" s="70">
        <f t="shared" si="218"/>
        <v>0</v>
      </c>
      <c r="J759" s="111"/>
      <c r="P759" s="111"/>
      <c r="Q759" s="111"/>
      <c r="R759" s="111"/>
      <c r="S759" s="111"/>
      <c r="T759" s="111"/>
    </row>
    <row r="760" spans="1:20" s="3" customFormat="1" ht="26.4">
      <c r="A760" s="16" t="s">
        <v>29</v>
      </c>
      <c r="B760" s="14">
        <v>774</v>
      </c>
      <c r="C760" s="15" t="s">
        <v>25</v>
      </c>
      <c r="D760" s="15" t="s">
        <v>27</v>
      </c>
      <c r="E760" s="15" t="s">
        <v>213</v>
      </c>
      <c r="F760" s="15" t="s">
        <v>30</v>
      </c>
      <c r="G760" s="70">
        <f t="shared" si="218"/>
        <v>1434535.8099999998</v>
      </c>
      <c r="H760" s="70">
        <f t="shared" si="218"/>
        <v>0</v>
      </c>
      <c r="I760" s="70">
        <f t="shared" si="218"/>
        <v>0</v>
      </c>
      <c r="J760" s="111"/>
      <c r="P760" s="111"/>
      <c r="Q760" s="111"/>
      <c r="R760" s="111"/>
      <c r="S760" s="111"/>
      <c r="T760" s="111"/>
    </row>
    <row r="761" spans="1:20" s="3" customFormat="1">
      <c r="A761" s="16" t="s">
        <v>31</v>
      </c>
      <c r="B761" s="14">
        <v>774</v>
      </c>
      <c r="C761" s="15" t="s">
        <v>25</v>
      </c>
      <c r="D761" s="15" t="s">
        <v>27</v>
      </c>
      <c r="E761" s="15" t="s">
        <v>213</v>
      </c>
      <c r="F761" s="15" t="s">
        <v>32</v>
      </c>
      <c r="G761" s="70">
        <f>прил4!G917+прил4!G710+прил4!G1179+прил4!G753</f>
        <v>1434535.8099999998</v>
      </c>
      <c r="H761" s="70">
        <f>прил4!H917</f>
        <v>0</v>
      </c>
      <c r="I761" s="70">
        <f>прил4!I917</f>
        <v>0</v>
      </c>
      <c r="J761" s="111"/>
      <c r="P761" s="111"/>
      <c r="Q761" s="111"/>
      <c r="R761" s="111"/>
      <c r="S761" s="111"/>
      <c r="T761" s="111"/>
    </row>
    <row r="762" spans="1:20" s="3" customFormat="1" hidden="1">
      <c r="A762" s="16" t="s">
        <v>34</v>
      </c>
      <c r="B762" s="14">
        <v>774</v>
      </c>
      <c r="C762" s="15" t="s">
        <v>25</v>
      </c>
      <c r="D762" s="15" t="s">
        <v>27</v>
      </c>
      <c r="E762" s="15" t="s">
        <v>213</v>
      </c>
      <c r="F762" s="15" t="s">
        <v>51</v>
      </c>
      <c r="G762" s="70"/>
      <c r="H762" s="87"/>
      <c r="I762" s="87"/>
      <c r="J762" s="111"/>
      <c r="P762" s="111"/>
      <c r="Q762" s="111"/>
      <c r="R762" s="111"/>
      <c r="S762" s="111"/>
      <c r="T762" s="111"/>
    </row>
    <row r="763" spans="1:20" s="3" customFormat="1" ht="26.4" hidden="1">
      <c r="A763" s="16" t="s">
        <v>646</v>
      </c>
      <c r="B763" s="14">
        <v>774</v>
      </c>
      <c r="C763" s="15" t="s">
        <v>25</v>
      </c>
      <c r="D763" s="15" t="s">
        <v>69</v>
      </c>
      <c r="E763" s="84" t="s">
        <v>691</v>
      </c>
      <c r="F763" s="15"/>
      <c r="G763" s="70">
        <f t="shared" ref="G763:I764" si="219">G764</f>
        <v>0</v>
      </c>
      <c r="H763" s="70">
        <f t="shared" si="219"/>
        <v>0</v>
      </c>
      <c r="I763" s="70">
        <f t="shared" si="219"/>
        <v>0</v>
      </c>
      <c r="P763" s="111"/>
      <c r="Q763" s="111"/>
      <c r="R763" s="111"/>
      <c r="S763" s="111"/>
      <c r="T763" s="111"/>
    </row>
    <row r="764" spans="1:20" s="3" customFormat="1" ht="26.4" hidden="1">
      <c r="A764" s="16" t="s">
        <v>29</v>
      </c>
      <c r="B764" s="14">
        <v>774</v>
      </c>
      <c r="C764" s="15" t="s">
        <v>25</v>
      </c>
      <c r="D764" s="15" t="s">
        <v>69</v>
      </c>
      <c r="E764" s="84" t="s">
        <v>691</v>
      </c>
      <c r="F764" s="15" t="s">
        <v>30</v>
      </c>
      <c r="G764" s="70">
        <f t="shared" si="219"/>
        <v>0</v>
      </c>
      <c r="H764" s="70">
        <f t="shared" si="219"/>
        <v>0</v>
      </c>
      <c r="I764" s="70">
        <f t="shared" si="219"/>
        <v>0</v>
      </c>
      <c r="P764" s="111"/>
      <c r="Q764" s="111"/>
      <c r="R764" s="111"/>
      <c r="S764" s="111"/>
      <c r="T764" s="111"/>
    </row>
    <row r="765" spans="1:20" s="3" customFormat="1" hidden="1">
      <c r="A765" s="16" t="s">
        <v>31</v>
      </c>
      <c r="B765" s="14">
        <v>774</v>
      </c>
      <c r="C765" s="15" t="s">
        <v>25</v>
      </c>
      <c r="D765" s="15" t="s">
        <v>69</v>
      </c>
      <c r="E765" s="84" t="s">
        <v>691</v>
      </c>
      <c r="F765" s="15" t="s">
        <v>32</v>
      </c>
      <c r="G765" s="70">
        <f>прил4!G1194</f>
        <v>0</v>
      </c>
      <c r="H765" s="70"/>
      <c r="I765" s="70"/>
      <c r="P765" s="111"/>
      <c r="Q765" s="111"/>
      <c r="R765" s="111"/>
      <c r="S765" s="111"/>
      <c r="T765" s="111"/>
    </row>
    <row r="766" spans="1:20" s="3" customFormat="1" ht="26.4">
      <c r="A766" s="16" t="s">
        <v>950</v>
      </c>
      <c r="B766" s="14">
        <v>774</v>
      </c>
      <c r="C766" s="15" t="s">
        <v>25</v>
      </c>
      <c r="D766" s="15" t="s">
        <v>27</v>
      </c>
      <c r="E766" s="84" t="s">
        <v>948</v>
      </c>
      <c r="F766" s="15"/>
      <c r="G766" s="70">
        <f t="shared" ref="G766:I767" si="220">G767</f>
        <v>620260.36</v>
      </c>
      <c r="H766" s="70">
        <f t="shared" si="220"/>
        <v>60000</v>
      </c>
      <c r="I766" s="70">
        <f t="shared" si="220"/>
        <v>60000</v>
      </c>
      <c r="J766" s="173"/>
      <c r="K766" s="194"/>
      <c r="L766" s="194"/>
      <c r="M766" s="194"/>
      <c r="N766" s="194"/>
      <c r="O766" s="194"/>
      <c r="P766" s="194"/>
      <c r="Q766" s="194"/>
      <c r="R766" s="194"/>
    </row>
    <row r="767" spans="1:20" s="3" customFormat="1" ht="26.4">
      <c r="A767" s="16" t="s">
        <v>29</v>
      </c>
      <c r="B767" s="14">
        <v>774</v>
      </c>
      <c r="C767" s="15" t="s">
        <v>25</v>
      </c>
      <c r="D767" s="15" t="s">
        <v>27</v>
      </c>
      <c r="E767" s="84" t="s">
        <v>948</v>
      </c>
      <c r="F767" s="15" t="s">
        <v>30</v>
      </c>
      <c r="G767" s="70">
        <f t="shared" si="220"/>
        <v>620260.36</v>
      </c>
      <c r="H767" s="70">
        <f t="shared" si="220"/>
        <v>60000</v>
      </c>
      <c r="I767" s="70">
        <f t="shared" si="220"/>
        <v>60000</v>
      </c>
      <c r="J767" s="173"/>
      <c r="K767" s="194"/>
      <c r="L767" s="194"/>
      <c r="M767" s="194"/>
      <c r="N767" s="194"/>
      <c r="O767" s="194"/>
      <c r="P767" s="194"/>
      <c r="Q767" s="194"/>
      <c r="R767" s="194"/>
    </row>
    <row r="768" spans="1:20" s="3" customFormat="1">
      <c r="A768" s="82" t="s">
        <v>31</v>
      </c>
      <c r="B768" s="14">
        <v>774</v>
      </c>
      <c r="C768" s="15" t="s">
        <v>25</v>
      </c>
      <c r="D768" s="15" t="s">
        <v>27</v>
      </c>
      <c r="E768" s="84" t="s">
        <v>948</v>
      </c>
      <c r="F768" s="15" t="s">
        <v>32</v>
      </c>
      <c r="G768" s="70">
        <f>прил4!G980+прил4!G1182+прил4!G713</f>
        <v>620260.36</v>
      </c>
      <c r="H768" s="70">
        <f>прил4!H980+прил4!H1182+прил4!H713</f>
        <v>60000</v>
      </c>
      <c r="I768" s="70">
        <f>прил4!I980+прил4!I1182+прил4!I713</f>
        <v>60000</v>
      </c>
      <c r="J768" s="173"/>
      <c r="K768" s="194"/>
      <c r="L768" s="194"/>
      <c r="M768" s="194"/>
      <c r="N768" s="194"/>
      <c r="O768" s="194"/>
      <c r="P768" s="194"/>
      <c r="Q768" s="194"/>
      <c r="R768" s="194"/>
    </row>
    <row r="769" spans="1:20" s="3" customFormat="1" ht="26.4">
      <c r="A769" s="16" t="s">
        <v>288</v>
      </c>
      <c r="B769" s="14">
        <v>774</v>
      </c>
      <c r="C769" s="15" t="s">
        <v>25</v>
      </c>
      <c r="D769" s="15" t="s">
        <v>27</v>
      </c>
      <c r="E769" s="15" t="s">
        <v>287</v>
      </c>
      <c r="F769" s="15"/>
      <c r="G769" s="70">
        <f t="shared" ref="G769:I770" si="221">G770</f>
        <v>2152700.14</v>
      </c>
      <c r="H769" s="70">
        <f t="shared" si="221"/>
        <v>2622773.8600000003</v>
      </c>
      <c r="I769" s="70">
        <f t="shared" si="221"/>
        <v>2727323.6100000003</v>
      </c>
      <c r="J769" s="111"/>
      <c r="P769" s="111"/>
      <c r="Q769" s="111"/>
      <c r="R769" s="111"/>
      <c r="S769" s="111"/>
      <c r="T769" s="111"/>
    </row>
    <row r="770" spans="1:20" s="3" customFormat="1" ht="26.4">
      <c r="A770" s="16" t="s">
        <v>29</v>
      </c>
      <c r="B770" s="14">
        <v>774</v>
      </c>
      <c r="C770" s="15" t="s">
        <v>25</v>
      </c>
      <c r="D770" s="15" t="s">
        <v>27</v>
      </c>
      <c r="E770" s="15" t="s">
        <v>287</v>
      </c>
      <c r="F770" s="15" t="s">
        <v>30</v>
      </c>
      <c r="G770" s="70">
        <f t="shared" si="221"/>
        <v>2152700.14</v>
      </c>
      <c r="H770" s="70">
        <f t="shared" si="221"/>
        <v>2622773.8600000003</v>
      </c>
      <c r="I770" s="70">
        <f t="shared" si="221"/>
        <v>2727323.6100000003</v>
      </c>
      <c r="J770" s="111"/>
      <c r="P770" s="111"/>
      <c r="Q770" s="111"/>
      <c r="R770" s="111"/>
      <c r="S770" s="111"/>
      <c r="T770" s="111"/>
    </row>
    <row r="771" spans="1:20" s="3" customFormat="1">
      <c r="A771" s="16" t="s">
        <v>31</v>
      </c>
      <c r="B771" s="14">
        <v>774</v>
      </c>
      <c r="C771" s="15" t="s">
        <v>25</v>
      </c>
      <c r="D771" s="15" t="s">
        <v>27</v>
      </c>
      <c r="E771" s="15" t="s">
        <v>287</v>
      </c>
      <c r="F771" s="15" t="s">
        <v>32</v>
      </c>
      <c r="G771" s="70">
        <f>прил4!G719+прил4!G920+прил4!G1191+прил4!G1185</f>
        <v>2152700.14</v>
      </c>
      <c r="H771" s="70">
        <f>прил4!H719+прил4!H920+прил4!H1191+прил4!H1185</f>
        <v>2622773.8600000003</v>
      </c>
      <c r="I771" s="70">
        <f>прил4!I719+прил4!I920+прил4!I1191+прил4!I1185</f>
        <v>2727323.6100000003</v>
      </c>
      <c r="J771" s="111"/>
      <c r="P771" s="111"/>
      <c r="Q771" s="111"/>
      <c r="R771" s="111"/>
      <c r="S771" s="111"/>
      <c r="T771" s="111"/>
    </row>
    <row r="772" spans="1:20" s="3" customFormat="1" ht="46.5" hidden="1" customHeight="1">
      <c r="A772" s="16" t="s">
        <v>712</v>
      </c>
      <c r="B772" s="14">
        <v>774</v>
      </c>
      <c r="C772" s="15" t="s">
        <v>25</v>
      </c>
      <c r="D772" s="15" t="s">
        <v>27</v>
      </c>
      <c r="E772" s="84" t="s">
        <v>699</v>
      </c>
      <c r="F772" s="15"/>
      <c r="G772" s="70">
        <f t="shared" ref="G772:I773" si="222">G773</f>
        <v>0</v>
      </c>
      <c r="H772" s="70">
        <f t="shared" si="222"/>
        <v>0</v>
      </c>
      <c r="I772" s="70">
        <f t="shared" si="222"/>
        <v>0</v>
      </c>
      <c r="P772" s="111"/>
      <c r="Q772" s="111"/>
      <c r="R772" s="111"/>
      <c r="S772" s="111"/>
      <c r="T772" s="111"/>
    </row>
    <row r="773" spans="1:20" s="3" customFormat="1" ht="26.4" hidden="1">
      <c r="A773" s="16" t="s">
        <v>29</v>
      </c>
      <c r="B773" s="14">
        <v>774</v>
      </c>
      <c r="C773" s="15" t="s">
        <v>25</v>
      </c>
      <c r="D773" s="15" t="s">
        <v>27</v>
      </c>
      <c r="E773" s="15" t="s">
        <v>699</v>
      </c>
      <c r="F773" s="15" t="s">
        <v>30</v>
      </c>
      <c r="G773" s="70">
        <f t="shared" si="222"/>
        <v>0</v>
      </c>
      <c r="H773" s="70">
        <f t="shared" si="222"/>
        <v>0</v>
      </c>
      <c r="I773" s="70">
        <f t="shared" si="222"/>
        <v>0</v>
      </c>
      <c r="P773" s="111"/>
      <c r="Q773" s="111"/>
      <c r="R773" s="111"/>
      <c r="S773" s="111"/>
      <c r="T773" s="111"/>
    </row>
    <row r="774" spans="1:20" s="3" customFormat="1" hidden="1">
      <c r="A774" s="16" t="s">
        <v>31</v>
      </c>
      <c r="B774" s="14">
        <v>774</v>
      </c>
      <c r="C774" s="15" t="s">
        <v>25</v>
      </c>
      <c r="D774" s="15" t="s">
        <v>27</v>
      </c>
      <c r="E774" s="15" t="s">
        <v>699</v>
      </c>
      <c r="F774" s="15" t="s">
        <v>32</v>
      </c>
      <c r="G774" s="70">
        <f>прил4!G733</f>
        <v>0</v>
      </c>
      <c r="H774" s="70">
        <f>прил4!H926</f>
        <v>0</v>
      </c>
      <c r="I774" s="70">
        <f>прил4!I926</f>
        <v>0</v>
      </c>
      <c r="P774" s="111"/>
      <c r="Q774" s="111"/>
      <c r="R774" s="111"/>
      <c r="S774" s="111"/>
      <c r="T774" s="111"/>
    </row>
    <row r="775" spans="1:20" s="3" customFormat="1" ht="49.5" hidden="1" customHeight="1">
      <c r="A775" s="16" t="s">
        <v>913</v>
      </c>
      <c r="B775" s="14">
        <v>774</v>
      </c>
      <c r="C775" s="15" t="s">
        <v>25</v>
      </c>
      <c r="D775" s="15" t="s">
        <v>27</v>
      </c>
      <c r="E775" s="84" t="s">
        <v>702</v>
      </c>
      <c r="F775" s="84"/>
      <c r="G775" s="87">
        <f t="shared" ref="G775:I779" si="223">G776</f>
        <v>0</v>
      </c>
      <c r="H775" s="87">
        <f t="shared" si="223"/>
        <v>0</v>
      </c>
      <c r="I775" s="87">
        <f t="shared" si="223"/>
        <v>0</v>
      </c>
      <c r="P775" s="111"/>
      <c r="Q775" s="111"/>
      <c r="R775" s="111"/>
      <c r="S775" s="111"/>
      <c r="T775" s="111"/>
    </row>
    <row r="776" spans="1:20" s="3" customFormat="1" ht="26.4" hidden="1">
      <c r="A776" s="16" t="s">
        <v>29</v>
      </c>
      <c r="B776" s="14">
        <v>774</v>
      </c>
      <c r="C776" s="15" t="s">
        <v>25</v>
      </c>
      <c r="D776" s="15" t="s">
        <v>27</v>
      </c>
      <c r="E776" s="84" t="s">
        <v>702</v>
      </c>
      <c r="F776" s="84" t="s">
        <v>30</v>
      </c>
      <c r="G776" s="87">
        <f t="shared" si="223"/>
        <v>0</v>
      </c>
      <c r="H776" s="87">
        <f t="shared" si="223"/>
        <v>0</v>
      </c>
      <c r="I776" s="87">
        <f t="shared" si="223"/>
        <v>0</v>
      </c>
      <c r="P776" s="111"/>
      <c r="Q776" s="111"/>
      <c r="R776" s="111"/>
      <c r="S776" s="111"/>
      <c r="T776" s="111"/>
    </row>
    <row r="777" spans="1:20" s="3" customFormat="1" hidden="1">
      <c r="A777" s="16" t="s">
        <v>31</v>
      </c>
      <c r="B777" s="14">
        <v>774</v>
      </c>
      <c r="C777" s="15" t="s">
        <v>25</v>
      </c>
      <c r="D777" s="15" t="s">
        <v>27</v>
      </c>
      <c r="E777" s="84" t="s">
        <v>702</v>
      </c>
      <c r="F777" s="84" t="s">
        <v>32</v>
      </c>
      <c r="G777" s="87">
        <f>прил4!G929+прил4!G716</f>
        <v>0</v>
      </c>
      <c r="H777" s="87">
        <f>прил4!H929+прил4!H716</f>
        <v>0</v>
      </c>
      <c r="I777" s="87">
        <f>прил4!I929+прил4!I716</f>
        <v>0</v>
      </c>
      <c r="P777" s="111"/>
      <c r="Q777" s="111"/>
      <c r="R777" s="111"/>
      <c r="S777" s="111"/>
      <c r="T777" s="111"/>
    </row>
    <row r="778" spans="1:20" s="3" customFormat="1" ht="39.6" hidden="1">
      <c r="A778" s="16" t="s">
        <v>611</v>
      </c>
      <c r="B778" s="14">
        <v>774</v>
      </c>
      <c r="C778" s="15" t="s">
        <v>25</v>
      </c>
      <c r="D778" s="15" t="s">
        <v>27</v>
      </c>
      <c r="E778" s="84" t="s">
        <v>610</v>
      </c>
      <c r="F778" s="84"/>
      <c r="G778" s="87">
        <f t="shared" si="223"/>
        <v>0</v>
      </c>
      <c r="H778" s="70">
        <f t="shared" si="223"/>
        <v>0</v>
      </c>
      <c r="I778" s="70">
        <f t="shared" si="223"/>
        <v>0</v>
      </c>
      <c r="P778" s="111"/>
      <c r="Q778" s="111"/>
      <c r="R778" s="111"/>
      <c r="S778" s="111"/>
      <c r="T778" s="111"/>
    </row>
    <row r="779" spans="1:20" s="3" customFormat="1" ht="26.4" hidden="1">
      <c r="A779" s="16" t="s">
        <v>29</v>
      </c>
      <c r="B779" s="14">
        <v>774</v>
      </c>
      <c r="C779" s="15" t="s">
        <v>25</v>
      </c>
      <c r="D779" s="15" t="s">
        <v>27</v>
      </c>
      <c r="E779" s="84" t="s">
        <v>610</v>
      </c>
      <c r="F779" s="84" t="s">
        <v>30</v>
      </c>
      <c r="G779" s="87">
        <f t="shared" si="223"/>
        <v>0</v>
      </c>
      <c r="H779" s="70">
        <f t="shared" si="223"/>
        <v>0</v>
      </c>
      <c r="I779" s="70">
        <f t="shared" si="223"/>
        <v>0</v>
      </c>
      <c r="P779" s="111"/>
      <c r="Q779" s="111"/>
      <c r="R779" s="111"/>
      <c r="S779" s="111"/>
      <c r="T779" s="111"/>
    </row>
    <row r="780" spans="1:20" s="3" customFormat="1" hidden="1">
      <c r="A780" s="16" t="s">
        <v>31</v>
      </c>
      <c r="B780" s="14">
        <v>774</v>
      </c>
      <c r="C780" s="15" t="s">
        <v>25</v>
      </c>
      <c r="D780" s="15" t="s">
        <v>27</v>
      </c>
      <c r="E780" s="84" t="s">
        <v>610</v>
      </c>
      <c r="F780" s="84" t="s">
        <v>32</v>
      </c>
      <c r="G780" s="87">
        <f>прил4!G932</f>
        <v>0</v>
      </c>
      <c r="H780" s="70"/>
      <c r="I780" s="70"/>
      <c r="P780" s="111"/>
      <c r="Q780" s="111"/>
      <c r="R780" s="111"/>
      <c r="S780" s="111"/>
      <c r="T780" s="111"/>
    </row>
    <row r="781" spans="1:20" s="3" customFormat="1" ht="49.5" hidden="1" customHeight="1">
      <c r="A781" s="16" t="s">
        <v>869</v>
      </c>
      <c r="B781" s="14">
        <v>774</v>
      </c>
      <c r="C781" s="15" t="s">
        <v>25</v>
      </c>
      <c r="D781" s="15" t="s">
        <v>27</v>
      </c>
      <c r="E781" s="84" t="s">
        <v>856</v>
      </c>
      <c r="F781" s="15"/>
      <c r="G781" s="70">
        <f t="shared" ref="G781:I782" si="224">G782</f>
        <v>0</v>
      </c>
      <c r="H781" s="70">
        <f t="shared" si="224"/>
        <v>0</v>
      </c>
      <c r="I781" s="70">
        <f t="shared" si="224"/>
        <v>0</v>
      </c>
      <c r="J781" s="172"/>
    </row>
    <row r="782" spans="1:20" s="3" customFormat="1" ht="26.4" hidden="1">
      <c r="A782" s="16" t="s">
        <v>29</v>
      </c>
      <c r="B782" s="14">
        <v>774</v>
      </c>
      <c r="C782" s="15" t="s">
        <v>25</v>
      </c>
      <c r="D782" s="15" t="s">
        <v>27</v>
      </c>
      <c r="E782" s="84" t="s">
        <v>856</v>
      </c>
      <c r="F782" s="15" t="s">
        <v>30</v>
      </c>
      <c r="G782" s="70">
        <f t="shared" si="224"/>
        <v>0</v>
      </c>
      <c r="H782" s="70">
        <f t="shared" si="224"/>
        <v>0</v>
      </c>
      <c r="I782" s="70">
        <f t="shared" si="224"/>
        <v>0</v>
      </c>
      <c r="J782" s="172"/>
    </row>
    <row r="783" spans="1:20" s="3" customFormat="1" hidden="1">
      <c r="A783" s="16" t="s">
        <v>31</v>
      </c>
      <c r="B783" s="14">
        <v>774</v>
      </c>
      <c r="C783" s="15" t="s">
        <v>25</v>
      </c>
      <c r="D783" s="15" t="s">
        <v>27</v>
      </c>
      <c r="E783" s="84" t="s">
        <v>856</v>
      </c>
      <c r="F783" s="15" t="s">
        <v>32</v>
      </c>
      <c r="G783" s="70">
        <f>прил4!G935</f>
        <v>0</v>
      </c>
      <c r="H783" s="70">
        <v>0</v>
      </c>
      <c r="I783" s="70">
        <v>0</v>
      </c>
      <c r="J783" s="172"/>
    </row>
    <row r="784" spans="1:20" s="3" customFormat="1" ht="49.5" hidden="1" customHeight="1">
      <c r="A784" s="16" t="s">
        <v>997</v>
      </c>
      <c r="B784" s="14">
        <v>774</v>
      </c>
      <c r="C784" s="15" t="s">
        <v>25</v>
      </c>
      <c r="D784" s="15" t="s">
        <v>27</v>
      </c>
      <c r="E784" s="84" t="s">
        <v>996</v>
      </c>
      <c r="F784" s="15"/>
      <c r="G784" s="70">
        <f t="shared" ref="G784:I785" si="225">G785</f>
        <v>0</v>
      </c>
      <c r="H784" s="70">
        <f t="shared" si="225"/>
        <v>0</v>
      </c>
      <c r="I784" s="70">
        <f t="shared" si="225"/>
        <v>0</v>
      </c>
      <c r="J784" s="173"/>
      <c r="K784" s="194"/>
      <c r="L784" s="194"/>
      <c r="M784" s="194"/>
      <c r="N784" s="194"/>
      <c r="O784" s="194"/>
      <c r="P784" s="194"/>
      <c r="Q784" s="194"/>
      <c r="R784" s="194"/>
    </row>
    <row r="785" spans="1:18" s="3" customFormat="1" ht="26.4" hidden="1">
      <c r="A785" s="16" t="s">
        <v>29</v>
      </c>
      <c r="B785" s="14">
        <v>774</v>
      </c>
      <c r="C785" s="15" t="s">
        <v>25</v>
      </c>
      <c r="D785" s="15" t="s">
        <v>27</v>
      </c>
      <c r="E785" s="84" t="s">
        <v>996</v>
      </c>
      <c r="F785" s="15" t="s">
        <v>30</v>
      </c>
      <c r="G785" s="70">
        <f t="shared" si="225"/>
        <v>0</v>
      </c>
      <c r="H785" s="70">
        <f t="shared" si="225"/>
        <v>0</v>
      </c>
      <c r="I785" s="70">
        <f t="shared" si="225"/>
        <v>0</v>
      </c>
      <c r="J785" s="173"/>
      <c r="K785" s="194"/>
      <c r="L785" s="194"/>
      <c r="M785" s="194"/>
      <c r="N785" s="194"/>
      <c r="O785" s="194"/>
      <c r="P785" s="194"/>
      <c r="Q785" s="194"/>
      <c r="R785" s="194"/>
    </row>
    <row r="786" spans="1:18" s="3" customFormat="1" hidden="1">
      <c r="A786" s="16" t="s">
        <v>31</v>
      </c>
      <c r="B786" s="14">
        <v>774</v>
      </c>
      <c r="C786" s="15" t="s">
        <v>25</v>
      </c>
      <c r="D786" s="15" t="s">
        <v>27</v>
      </c>
      <c r="E786" s="84" t="s">
        <v>996</v>
      </c>
      <c r="F786" s="15" t="s">
        <v>32</v>
      </c>
      <c r="G786" s="70">
        <f>прил4!G956</f>
        <v>0</v>
      </c>
      <c r="H786" s="70">
        <f>прил4!H956</f>
        <v>0</v>
      </c>
      <c r="I786" s="70">
        <f>прил4!I956</f>
        <v>0</v>
      </c>
      <c r="J786" s="173"/>
      <c r="K786" s="194"/>
      <c r="L786" s="194"/>
      <c r="M786" s="194"/>
      <c r="N786" s="194"/>
      <c r="O786" s="194"/>
      <c r="P786" s="194"/>
      <c r="Q786" s="194"/>
      <c r="R786" s="194"/>
    </row>
    <row r="787" spans="1:18" s="3" customFormat="1" ht="26.4">
      <c r="A787" s="82" t="s">
        <v>1480</v>
      </c>
      <c r="B787" s="145">
        <v>774</v>
      </c>
      <c r="C787" s="84" t="s">
        <v>25</v>
      </c>
      <c r="D787" s="84" t="s">
        <v>27</v>
      </c>
      <c r="E787" s="84" t="s">
        <v>1479</v>
      </c>
      <c r="F787" s="84"/>
      <c r="G787" s="70">
        <f t="shared" ref="G787:I788" si="226">G788</f>
        <v>287732.55</v>
      </c>
      <c r="H787" s="87">
        <f t="shared" si="226"/>
        <v>0</v>
      </c>
      <c r="I787" s="87">
        <f t="shared" si="226"/>
        <v>0</v>
      </c>
      <c r="J787" s="173"/>
      <c r="K787" s="194"/>
      <c r="L787" s="194"/>
      <c r="M787" s="194"/>
      <c r="N787" s="194"/>
      <c r="O787" s="194"/>
      <c r="P787" s="194"/>
      <c r="Q787" s="194"/>
      <c r="R787" s="194"/>
    </row>
    <row r="788" spans="1:18" s="3" customFormat="1" ht="26.4">
      <c r="A788" s="82" t="s">
        <v>29</v>
      </c>
      <c r="B788" s="145">
        <v>774</v>
      </c>
      <c r="C788" s="84" t="s">
        <v>25</v>
      </c>
      <c r="D788" s="84" t="s">
        <v>27</v>
      </c>
      <c r="E788" s="84" t="s">
        <v>1479</v>
      </c>
      <c r="F788" s="84" t="s">
        <v>30</v>
      </c>
      <c r="G788" s="70">
        <f t="shared" si="226"/>
        <v>287732.55</v>
      </c>
      <c r="H788" s="87">
        <f t="shared" si="226"/>
        <v>0</v>
      </c>
      <c r="I788" s="87">
        <f t="shared" si="226"/>
        <v>0</v>
      </c>
      <c r="J788" s="173"/>
      <c r="K788" s="194"/>
      <c r="L788" s="194"/>
      <c r="M788" s="194"/>
      <c r="N788" s="194"/>
      <c r="O788" s="194"/>
      <c r="P788" s="194"/>
      <c r="Q788" s="194"/>
      <c r="R788" s="194"/>
    </row>
    <row r="789" spans="1:18" s="3" customFormat="1">
      <c r="A789" s="82" t="s">
        <v>31</v>
      </c>
      <c r="B789" s="145">
        <v>774</v>
      </c>
      <c r="C789" s="84" t="s">
        <v>25</v>
      </c>
      <c r="D789" s="84" t="s">
        <v>27</v>
      </c>
      <c r="E789" s="84" t="s">
        <v>1479</v>
      </c>
      <c r="F789" s="84" t="s">
        <v>32</v>
      </c>
      <c r="G789" s="70">
        <f>прил4!G959</f>
        <v>287732.55</v>
      </c>
      <c r="H789" s="87"/>
      <c r="I789" s="87"/>
      <c r="J789" s="173"/>
      <c r="K789" s="194"/>
      <c r="L789" s="194"/>
      <c r="M789" s="194"/>
      <c r="N789" s="194"/>
      <c r="O789" s="194"/>
      <c r="P789" s="194"/>
      <c r="Q789" s="194"/>
      <c r="R789" s="194"/>
    </row>
    <row r="790" spans="1:18" s="3" customFormat="1" ht="49.5" customHeight="1">
      <c r="A790" s="82" t="s">
        <v>1079</v>
      </c>
      <c r="B790" s="14">
        <v>774</v>
      </c>
      <c r="C790" s="15" t="s">
        <v>25</v>
      </c>
      <c r="D790" s="15" t="s">
        <v>27</v>
      </c>
      <c r="E790" s="84" t="s">
        <v>1080</v>
      </c>
      <c r="F790" s="15"/>
      <c r="G790" s="70">
        <f t="shared" ref="G790:I791" si="227">G791</f>
        <v>1983298.1600000001</v>
      </c>
      <c r="H790" s="70">
        <f t="shared" si="227"/>
        <v>0</v>
      </c>
      <c r="I790" s="70">
        <f t="shared" si="227"/>
        <v>0</v>
      </c>
      <c r="J790" s="172"/>
    </row>
    <row r="791" spans="1:18" s="3" customFormat="1" ht="26.4">
      <c r="A791" s="16" t="s">
        <v>29</v>
      </c>
      <c r="B791" s="14">
        <v>774</v>
      </c>
      <c r="C791" s="15" t="s">
        <v>25</v>
      </c>
      <c r="D791" s="15" t="s">
        <v>27</v>
      </c>
      <c r="E791" s="84" t="s">
        <v>1080</v>
      </c>
      <c r="F791" s="15" t="s">
        <v>30</v>
      </c>
      <c r="G791" s="70">
        <f t="shared" si="227"/>
        <v>1983298.1600000001</v>
      </c>
      <c r="H791" s="70">
        <f t="shared" si="227"/>
        <v>0</v>
      </c>
      <c r="I791" s="70">
        <f t="shared" si="227"/>
        <v>0</v>
      </c>
      <c r="J791" s="172"/>
    </row>
    <row r="792" spans="1:18" s="3" customFormat="1">
      <c r="A792" s="16" t="s">
        <v>31</v>
      </c>
      <c r="B792" s="14">
        <v>774</v>
      </c>
      <c r="C792" s="15" t="s">
        <v>25</v>
      </c>
      <c r="D792" s="15" t="s">
        <v>27</v>
      </c>
      <c r="E792" s="84" t="s">
        <v>1080</v>
      </c>
      <c r="F792" s="15" t="s">
        <v>32</v>
      </c>
      <c r="G792" s="70">
        <f>прил4!G962</f>
        <v>1983298.1600000001</v>
      </c>
      <c r="H792" s="70">
        <f>прил4!H962</f>
        <v>0</v>
      </c>
      <c r="I792" s="70">
        <f>прил4!I962</f>
        <v>0</v>
      </c>
      <c r="J792" s="172"/>
    </row>
    <row r="793" spans="1:18" s="3" customFormat="1" ht="49.5" hidden="1" customHeight="1">
      <c r="A793" s="16" t="s">
        <v>1001</v>
      </c>
      <c r="B793" s="14">
        <v>774</v>
      </c>
      <c r="C793" s="15" t="s">
        <v>25</v>
      </c>
      <c r="D793" s="15" t="s">
        <v>27</v>
      </c>
      <c r="E793" s="84" t="s">
        <v>1000</v>
      </c>
      <c r="F793" s="15"/>
      <c r="G793" s="70">
        <f t="shared" ref="G793:I794" si="228">G794</f>
        <v>0</v>
      </c>
      <c r="H793" s="70">
        <f t="shared" si="228"/>
        <v>0</v>
      </c>
      <c r="I793" s="70">
        <f t="shared" si="228"/>
        <v>0</v>
      </c>
      <c r="J793" s="173"/>
      <c r="K793" s="194"/>
      <c r="L793" s="194"/>
      <c r="M793" s="194"/>
      <c r="N793" s="194"/>
      <c r="O793" s="194"/>
      <c r="P793" s="194"/>
      <c r="Q793" s="194"/>
      <c r="R793" s="194"/>
    </row>
    <row r="794" spans="1:18" s="3" customFormat="1" ht="26.4" hidden="1">
      <c r="A794" s="16" t="s">
        <v>29</v>
      </c>
      <c r="B794" s="14">
        <v>774</v>
      </c>
      <c r="C794" s="15" t="s">
        <v>25</v>
      </c>
      <c r="D794" s="15" t="s">
        <v>27</v>
      </c>
      <c r="E794" s="84" t="s">
        <v>1000</v>
      </c>
      <c r="F794" s="15" t="s">
        <v>30</v>
      </c>
      <c r="G794" s="70">
        <f t="shared" si="228"/>
        <v>0</v>
      </c>
      <c r="H794" s="70">
        <f t="shared" si="228"/>
        <v>0</v>
      </c>
      <c r="I794" s="70">
        <f t="shared" si="228"/>
        <v>0</v>
      </c>
      <c r="J794" s="173"/>
      <c r="K794" s="194"/>
      <c r="L794" s="194"/>
      <c r="M794" s="194"/>
      <c r="N794" s="194"/>
      <c r="O794" s="194"/>
      <c r="P794" s="194"/>
      <c r="Q794" s="194"/>
      <c r="R794" s="194"/>
    </row>
    <row r="795" spans="1:18" s="3" customFormat="1" hidden="1">
      <c r="A795" s="16" t="s">
        <v>31</v>
      </c>
      <c r="B795" s="14">
        <v>774</v>
      </c>
      <c r="C795" s="15" t="s">
        <v>25</v>
      </c>
      <c r="D795" s="15" t="s">
        <v>27</v>
      </c>
      <c r="E795" s="84" t="s">
        <v>1000</v>
      </c>
      <c r="F795" s="15" t="s">
        <v>32</v>
      </c>
      <c r="G795" s="70">
        <f>прил4!G965</f>
        <v>0</v>
      </c>
      <c r="H795" s="70">
        <v>0</v>
      </c>
      <c r="I795" s="70">
        <v>0</v>
      </c>
      <c r="J795" s="173"/>
      <c r="K795" s="194"/>
      <c r="L795" s="194"/>
      <c r="M795" s="194"/>
      <c r="N795" s="194"/>
      <c r="O795" s="194"/>
      <c r="P795" s="194"/>
      <c r="Q795" s="194"/>
      <c r="R795" s="194"/>
    </row>
    <row r="796" spans="1:18" s="3" customFormat="1" ht="49.5" hidden="1" customHeight="1">
      <c r="A796" s="16" t="s">
        <v>1005</v>
      </c>
      <c r="B796" s="14">
        <v>774</v>
      </c>
      <c r="C796" s="15" t="s">
        <v>25</v>
      </c>
      <c r="D796" s="15" t="s">
        <v>27</v>
      </c>
      <c r="E796" s="84" t="s">
        <v>1004</v>
      </c>
      <c r="F796" s="15"/>
      <c r="G796" s="70">
        <f t="shared" ref="G796:I797" si="229">G797</f>
        <v>0</v>
      </c>
      <c r="H796" s="70">
        <f t="shared" si="229"/>
        <v>0</v>
      </c>
      <c r="I796" s="70">
        <f t="shared" si="229"/>
        <v>0</v>
      </c>
      <c r="J796" s="173"/>
      <c r="K796" s="194"/>
      <c r="L796" s="194"/>
      <c r="M796" s="194"/>
      <c r="N796" s="194"/>
      <c r="O796" s="194"/>
      <c r="P796" s="194"/>
      <c r="Q796" s="194"/>
      <c r="R796" s="194"/>
    </row>
    <row r="797" spans="1:18" s="3" customFormat="1" ht="26.4" hidden="1">
      <c r="A797" s="16" t="s">
        <v>29</v>
      </c>
      <c r="B797" s="14">
        <v>774</v>
      </c>
      <c r="C797" s="15" t="s">
        <v>25</v>
      </c>
      <c r="D797" s="15" t="s">
        <v>27</v>
      </c>
      <c r="E797" s="84" t="s">
        <v>1004</v>
      </c>
      <c r="F797" s="15" t="s">
        <v>30</v>
      </c>
      <c r="G797" s="70">
        <f t="shared" si="229"/>
        <v>0</v>
      </c>
      <c r="H797" s="70">
        <f t="shared" si="229"/>
        <v>0</v>
      </c>
      <c r="I797" s="70">
        <f t="shared" si="229"/>
        <v>0</v>
      </c>
      <c r="J797" s="173"/>
      <c r="K797" s="194"/>
      <c r="L797" s="194"/>
      <c r="M797" s="194"/>
      <c r="N797" s="194"/>
      <c r="O797" s="194"/>
      <c r="P797" s="194"/>
      <c r="Q797" s="194"/>
      <c r="R797" s="194"/>
    </row>
    <row r="798" spans="1:18" s="3" customFormat="1" hidden="1">
      <c r="A798" s="16" t="s">
        <v>31</v>
      </c>
      <c r="B798" s="14">
        <v>774</v>
      </c>
      <c r="C798" s="15" t="s">
        <v>25</v>
      </c>
      <c r="D798" s="15" t="s">
        <v>27</v>
      </c>
      <c r="E798" s="84" t="s">
        <v>1004</v>
      </c>
      <c r="F798" s="15" t="s">
        <v>32</v>
      </c>
      <c r="G798" s="70">
        <f>прил4!G968</f>
        <v>0</v>
      </c>
      <c r="H798" s="70">
        <v>0</v>
      </c>
      <c r="I798" s="70">
        <v>0</v>
      </c>
      <c r="J798" s="173"/>
      <c r="K798" s="194"/>
      <c r="L798" s="194"/>
      <c r="M798" s="194"/>
      <c r="N798" s="194"/>
      <c r="O798" s="194"/>
      <c r="P798" s="194"/>
      <c r="Q798" s="194"/>
      <c r="R798" s="194"/>
    </row>
    <row r="799" spans="1:18" s="147" customFormat="1" ht="61.5" hidden="1" customHeight="1">
      <c r="A799" s="82" t="s">
        <v>1026</v>
      </c>
      <c r="B799" s="145">
        <v>774</v>
      </c>
      <c r="C799" s="84" t="s">
        <v>25</v>
      </c>
      <c r="D799" s="84" t="s">
        <v>27</v>
      </c>
      <c r="E799" s="84" t="s">
        <v>1021</v>
      </c>
      <c r="F799" s="84"/>
      <c r="G799" s="87">
        <f t="shared" ref="G799:I812" si="230">G800</f>
        <v>0</v>
      </c>
      <c r="H799" s="87">
        <f t="shared" si="230"/>
        <v>0</v>
      </c>
      <c r="I799" s="87">
        <f t="shared" si="230"/>
        <v>0</v>
      </c>
      <c r="J799" s="173"/>
      <c r="K799" s="194"/>
      <c r="L799" s="194"/>
      <c r="M799" s="194"/>
      <c r="N799" s="194"/>
      <c r="O799" s="194"/>
      <c r="P799" s="194"/>
      <c r="Q799" s="194"/>
      <c r="R799" s="194"/>
    </row>
    <row r="800" spans="1:18" s="3" customFormat="1" ht="26.4" hidden="1">
      <c r="A800" s="82" t="s">
        <v>29</v>
      </c>
      <c r="B800" s="145">
        <v>774</v>
      </c>
      <c r="C800" s="84" t="s">
        <v>25</v>
      </c>
      <c r="D800" s="84" t="s">
        <v>27</v>
      </c>
      <c r="E800" s="84" t="s">
        <v>1021</v>
      </c>
      <c r="F800" s="84" t="s">
        <v>30</v>
      </c>
      <c r="G800" s="87">
        <f t="shared" si="230"/>
        <v>0</v>
      </c>
      <c r="H800" s="87">
        <f t="shared" si="230"/>
        <v>0</v>
      </c>
      <c r="I800" s="87">
        <f t="shared" si="230"/>
        <v>0</v>
      </c>
      <c r="J800" s="173"/>
      <c r="K800" s="194"/>
      <c r="L800" s="194"/>
      <c r="M800" s="194"/>
      <c r="N800" s="194"/>
      <c r="O800" s="194"/>
      <c r="P800" s="194"/>
      <c r="Q800" s="194"/>
      <c r="R800" s="194"/>
    </row>
    <row r="801" spans="1:18" s="3" customFormat="1" hidden="1">
      <c r="A801" s="82" t="s">
        <v>31</v>
      </c>
      <c r="B801" s="145">
        <v>774</v>
      </c>
      <c r="C801" s="84" t="s">
        <v>25</v>
      </c>
      <c r="D801" s="84" t="s">
        <v>27</v>
      </c>
      <c r="E801" s="84" t="s">
        <v>1021</v>
      </c>
      <c r="F801" s="84" t="s">
        <v>32</v>
      </c>
      <c r="G801" s="87">
        <f>прил4!G938</f>
        <v>0</v>
      </c>
      <c r="H801" s="87">
        <f>прил4!H938</f>
        <v>0</v>
      </c>
      <c r="I801" s="87">
        <f>прил4!I938</f>
        <v>0</v>
      </c>
      <c r="J801" s="87">
        <f>прил4!J938</f>
        <v>0</v>
      </c>
      <c r="K801" s="87">
        <f>прил4!K938</f>
        <v>0</v>
      </c>
      <c r="L801" s="87">
        <f>прил4!L938</f>
        <v>0</v>
      </c>
      <c r="M801" s="87">
        <f>прил4!M938</f>
        <v>0</v>
      </c>
      <c r="N801" s="87">
        <f>прил4!N938</f>
        <v>0</v>
      </c>
      <c r="O801" s="87">
        <f>прил4!O938</f>
        <v>0</v>
      </c>
      <c r="P801" s="194"/>
      <c r="Q801" s="194"/>
      <c r="R801" s="194"/>
    </row>
    <row r="802" spans="1:18" s="3" customFormat="1" ht="37.5" hidden="1" customHeight="1">
      <c r="A802" s="82" t="s">
        <v>1044</v>
      </c>
      <c r="B802" s="145">
        <v>774</v>
      </c>
      <c r="C802" s="84" t="s">
        <v>25</v>
      </c>
      <c r="D802" s="84" t="s">
        <v>27</v>
      </c>
      <c r="E802" s="84" t="s">
        <v>1022</v>
      </c>
      <c r="F802" s="84"/>
      <c r="G802" s="87">
        <f t="shared" si="230"/>
        <v>0</v>
      </c>
      <c r="H802" s="87">
        <f t="shared" si="230"/>
        <v>0</v>
      </c>
      <c r="I802" s="87">
        <f t="shared" si="230"/>
        <v>0</v>
      </c>
      <c r="J802" s="173"/>
      <c r="K802" s="194"/>
      <c r="L802" s="194"/>
      <c r="M802" s="194"/>
      <c r="N802" s="194"/>
      <c r="O802" s="194"/>
      <c r="P802" s="194"/>
      <c r="Q802" s="194"/>
      <c r="R802" s="194"/>
    </row>
    <row r="803" spans="1:18" s="3" customFormat="1" ht="26.4" hidden="1">
      <c r="A803" s="82" t="s">
        <v>29</v>
      </c>
      <c r="B803" s="145">
        <v>774</v>
      </c>
      <c r="C803" s="84" t="s">
        <v>25</v>
      </c>
      <c r="D803" s="84" t="s">
        <v>27</v>
      </c>
      <c r="E803" s="84" t="s">
        <v>1022</v>
      </c>
      <c r="F803" s="84" t="s">
        <v>30</v>
      </c>
      <c r="G803" s="87">
        <f t="shared" si="230"/>
        <v>0</v>
      </c>
      <c r="H803" s="87">
        <f t="shared" si="230"/>
        <v>0</v>
      </c>
      <c r="I803" s="87">
        <f t="shared" si="230"/>
        <v>0</v>
      </c>
      <c r="J803" s="173"/>
      <c r="K803" s="194"/>
      <c r="L803" s="194"/>
      <c r="M803" s="194"/>
      <c r="N803" s="194"/>
      <c r="O803" s="194"/>
      <c r="P803" s="194"/>
      <c r="Q803" s="194"/>
      <c r="R803" s="194"/>
    </row>
    <row r="804" spans="1:18" s="3" customFormat="1" hidden="1">
      <c r="A804" s="82" t="s">
        <v>31</v>
      </c>
      <c r="B804" s="145">
        <v>774</v>
      </c>
      <c r="C804" s="84" t="s">
        <v>25</v>
      </c>
      <c r="D804" s="84" t="s">
        <v>27</v>
      </c>
      <c r="E804" s="84" t="s">
        <v>1022</v>
      </c>
      <c r="F804" s="84" t="s">
        <v>32</v>
      </c>
      <c r="G804" s="87">
        <f>прил4!G941</f>
        <v>0</v>
      </c>
      <c r="H804" s="87">
        <f>прил4!H941</f>
        <v>0</v>
      </c>
      <c r="I804" s="87">
        <f>прил4!I941</f>
        <v>0</v>
      </c>
      <c r="J804" s="173"/>
      <c r="K804" s="194"/>
      <c r="L804" s="194"/>
      <c r="M804" s="194"/>
      <c r="N804" s="194"/>
      <c r="O804" s="194"/>
      <c r="P804" s="194"/>
      <c r="Q804" s="194"/>
      <c r="R804" s="194"/>
    </row>
    <row r="805" spans="1:18" s="3" customFormat="1" ht="36" hidden="1" customHeight="1">
      <c r="A805" s="82" t="s">
        <v>1027</v>
      </c>
      <c r="B805" s="145">
        <v>774</v>
      </c>
      <c r="C805" s="84" t="s">
        <v>25</v>
      </c>
      <c r="D805" s="84" t="s">
        <v>27</v>
      </c>
      <c r="E805" s="84" t="s">
        <v>1023</v>
      </c>
      <c r="F805" s="84"/>
      <c r="G805" s="87">
        <f t="shared" si="230"/>
        <v>0</v>
      </c>
      <c r="H805" s="87">
        <f t="shared" si="230"/>
        <v>0</v>
      </c>
      <c r="I805" s="87">
        <f t="shared" si="230"/>
        <v>0</v>
      </c>
      <c r="J805" s="173"/>
      <c r="K805" s="194"/>
      <c r="L805" s="194"/>
      <c r="M805" s="194"/>
      <c r="N805" s="194"/>
      <c r="O805" s="194"/>
      <c r="P805" s="194"/>
      <c r="Q805" s="194"/>
      <c r="R805" s="194"/>
    </row>
    <row r="806" spans="1:18" s="3" customFormat="1" ht="26.4" hidden="1">
      <c r="A806" s="82" t="s">
        <v>29</v>
      </c>
      <c r="B806" s="145">
        <v>774</v>
      </c>
      <c r="C806" s="84" t="s">
        <v>25</v>
      </c>
      <c r="D806" s="84" t="s">
        <v>27</v>
      </c>
      <c r="E806" s="84" t="s">
        <v>1023</v>
      </c>
      <c r="F806" s="84" t="s">
        <v>30</v>
      </c>
      <c r="G806" s="87">
        <f t="shared" si="230"/>
        <v>0</v>
      </c>
      <c r="H806" s="87">
        <f t="shared" si="230"/>
        <v>0</v>
      </c>
      <c r="I806" s="87">
        <f t="shared" si="230"/>
        <v>0</v>
      </c>
      <c r="J806" s="173"/>
      <c r="K806" s="194"/>
      <c r="L806" s="194"/>
      <c r="M806" s="194"/>
      <c r="N806" s="194"/>
      <c r="O806" s="194"/>
      <c r="P806" s="194"/>
      <c r="Q806" s="194"/>
      <c r="R806" s="194"/>
    </row>
    <row r="807" spans="1:18" s="3" customFormat="1" hidden="1">
      <c r="A807" s="82" t="s">
        <v>31</v>
      </c>
      <c r="B807" s="145">
        <v>774</v>
      </c>
      <c r="C807" s="84" t="s">
        <v>25</v>
      </c>
      <c r="D807" s="84" t="s">
        <v>27</v>
      </c>
      <c r="E807" s="84" t="s">
        <v>1023</v>
      </c>
      <c r="F807" s="84" t="s">
        <v>32</v>
      </c>
      <c r="G807" s="87">
        <f>прил4!G944</f>
        <v>0</v>
      </c>
      <c r="H807" s="87">
        <f>прил4!H944</f>
        <v>0</v>
      </c>
      <c r="I807" s="87">
        <f>прил4!I944</f>
        <v>0</v>
      </c>
      <c r="J807" s="173"/>
      <c r="K807" s="194"/>
      <c r="L807" s="194"/>
      <c r="M807" s="194"/>
      <c r="N807" s="194"/>
      <c r="O807" s="194"/>
      <c r="P807" s="194"/>
      <c r="Q807" s="194"/>
      <c r="R807" s="194"/>
    </row>
    <row r="808" spans="1:18" s="3" customFormat="1" ht="49.5" hidden="1" customHeight="1">
      <c r="A808" s="82" t="s">
        <v>1029</v>
      </c>
      <c r="B808" s="145">
        <v>774</v>
      </c>
      <c r="C808" s="84" t="s">
        <v>25</v>
      </c>
      <c r="D808" s="84" t="s">
        <v>27</v>
      </c>
      <c r="E808" s="84" t="s">
        <v>1024</v>
      </c>
      <c r="F808" s="84"/>
      <c r="G808" s="87">
        <f t="shared" si="230"/>
        <v>0</v>
      </c>
      <c r="H808" s="87">
        <f t="shared" si="230"/>
        <v>0</v>
      </c>
      <c r="I808" s="87">
        <f t="shared" si="230"/>
        <v>0</v>
      </c>
      <c r="J808" s="173"/>
      <c r="K808" s="194"/>
      <c r="L808" s="194"/>
      <c r="M808" s="194"/>
      <c r="N808" s="194"/>
      <c r="O808" s="194"/>
      <c r="P808" s="194"/>
      <c r="Q808" s="194"/>
      <c r="R808" s="194"/>
    </row>
    <row r="809" spans="1:18" s="3" customFormat="1" ht="26.4" hidden="1">
      <c r="A809" s="82" t="s">
        <v>29</v>
      </c>
      <c r="B809" s="145">
        <v>774</v>
      </c>
      <c r="C809" s="84" t="s">
        <v>25</v>
      </c>
      <c r="D809" s="84" t="s">
        <v>27</v>
      </c>
      <c r="E809" s="84" t="s">
        <v>1024</v>
      </c>
      <c r="F809" s="84" t="s">
        <v>30</v>
      </c>
      <c r="G809" s="87">
        <f t="shared" si="230"/>
        <v>0</v>
      </c>
      <c r="H809" s="87">
        <f t="shared" si="230"/>
        <v>0</v>
      </c>
      <c r="I809" s="87">
        <f t="shared" si="230"/>
        <v>0</v>
      </c>
      <c r="J809" s="173"/>
      <c r="K809" s="194"/>
      <c r="L809" s="194"/>
      <c r="M809" s="194"/>
      <c r="N809" s="194"/>
      <c r="O809" s="194"/>
      <c r="P809" s="194"/>
      <c r="Q809" s="194"/>
      <c r="R809" s="194"/>
    </row>
    <row r="810" spans="1:18" s="3" customFormat="1" hidden="1">
      <c r="A810" s="82" t="s">
        <v>31</v>
      </c>
      <c r="B810" s="145">
        <v>774</v>
      </c>
      <c r="C810" s="84" t="s">
        <v>25</v>
      </c>
      <c r="D810" s="84" t="s">
        <v>27</v>
      </c>
      <c r="E810" s="84" t="s">
        <v>1024</v>
      </c>
      <c r="F810" s="84" t="s">
        <v>32</v>
      </c>
      <c r="G810" s="87">
        <f>прил4!G947</f>
        <v>0</v>
      </c>
      <c r="H810" s="87">
        <f>прил4!H947</f>
        <v>0</v>
      </c>
      <c r="I810" s="87">
        <f>прил4!I947</f>
        <v>0</v>
      </c>
      <c r="J810" s="173"/>
      <c r="K810" s="194"/>
      <c r="L810" s="194"/>
      <c r="M810" s="194"/>
      <c r="N810" s="194"/>
      <c r="O810" s="194"/>
      <c r="P810" s="194"/>
      <c r="Q810" s="194"/>
      <c r="R810" s="194"/>
    </row>
    <row r="811" spans="1:18" s="3" customFormat="1" ht="39.75" hidden="1" customHeight="1">
      <c r="A811" s="82" t="s">
        <v>1028</v>
      </c>
      <c r="B811" s="145">
        <v>774</v>
      </c>
      <c r="C811" s="84" t="s">
        <v>25</v>
      </c>
      <c r="D811" s="84" t="s">
        <v>27</v>
      </c>
      <c r="E811" s="84" t="s">
        <v>1025</v>
      </c>
      <c r="F811" s="84"/>
      <c r="G811" s="87">
        <f t="shared" si="230"/>
        <v>0</v>
      </c>
      <c r="H811" s="87">
        <f t="shared" si="230"/>
        <v>0</v>
      </c>
      <c r="I811" s="87">
        <f t="shared" si="230"/>
        <v>0</v>
      </c>
      <c r="J811" s="173"/>
      <c r="K811" s="194"/>
      <c r="L811" s="194"/>
      <c r="M811" s="194"/>
      <c r="N811" s="194"/>
      <c r="O811" s="194"/>
      <c r="P811" s="194"/>
      <c r="Q811" s="194"/>
      <c r="R811" s="194"/>
    </row>
    <row r="812" spans="1:18" s="3" customFormat="1" ht="26.4" hidden="1">
      <c r="A812" s="82" t="s">
        <v>29</v>
      </c>
      <c r="B812" s="145">
        <v>774</v>
      </c>
      <c r="C812" s="84" t="s">
        <v>25</v>
      </c>
      <c r="D812" s="84" t="s">
        <v>27</v>
      </c>
      <c r="E812" s="84" t="s">
        <v>1025</v>
      </c>
      <c r="F812" s="84" t="s">
        <v>30</v>
      </c>
      <c r="G812" s="87">
        <f t="shared" si="230"/>
        <v>0</v>
      </c>
      <c r="H812" s="87">
        <f t="shared" si="230"/>
        <v>0</v>
      </c>
      <c r="I812" s="87">
        <f t="shared" si="230"/>
        <v>0</v>
      </c>
      <c r="J812" s="173"/>
      <c r="K812" s="194"/>
      <c r="L812" s="194"/>
      <c r="M812" s="194"/>
      <c r="N812" s="194"/>
      <c r="O812" s="194"/>
      <c r="P812" s="194"/>
      <c r="Q812" s="194"/>
      <c r="R812" s="194"/>
    </row>
    <row r="813" spans="1:18" s="3" customFormat="1" hidden="1">
      <c r="A813" s="82" t="s">
        <v>31</v>
      </c>
      <c r="B813" s="145">
        <v>774</v>
      </c>
      <c r="C813" s="84" t="s">
        <v>25</v>
      </c>
      <c r="D813" s="84" t="s">
        <v>27</v>
      </c>
      <c r="E813" s="84" t="s">
        <v>1025</v>
      </c>
      <c r="F813" s="84" t="s">
        <v>32</v>
      </c>
      <c r="G813" s="87">
        <f>прил4!G950</f>
        <v>0</v>
      </c>
      <c r="H813" s="87">
        <f>прил4!H950</f>
        <v>0</v>
      </c>
      <c r="I813" s="87">
        <f>прил4!I950</f>
        <v>0</v>
      </c>
      <c r="J813" s="173"/>
      <c r="K813" s="194"/>
      <c r="L813" s="194"/>
      <c r="M813" s="194"/>
      <c r="N813" s="194"/>
      <c r="O813" s="194"/>
      <c r="P813" s="194"/>
      <c r="Q813" s="194"/>
      <c r="R813" s="194"/>
    </row>
    <row r="814" spans="1:18" s="3" customFormat="1" ht="38.25" hidden="1" customHeight="1">
      <c r="A814" s="82" t="s">
        <v>1041</v>
      </c>
      <c r="B814" s="145">
        <v>774</v>
      </c>
      <c r="C814" s="84" t="s">
        <v>25</v>
      </c>
      <c r="D814" s="84" t="s">
        <v>27</v>
      </c>
      <c r="E814" s="84" t="s">
        <v>1037</v>
      </c>
      <c r="F814" s="84"/>
      <c r="G814" s="87">
        <f t="shared" ref="G814:I815" si="231">G815</f>
        <v>0</v>
      </c>
      <c r="H814" s="87">
        <f t="shared" si="231"/>
        <v>0</v>
      </c>
      <c r="I814" s="87">
        <f t="shared" si="231"/>
        <v>0</v>
      </c>
      <c r="J814" s="173"/>
      <c r="K814" s="194"/>
      <c r="L814" s="194"/>
      <c r="M814" s="194"/>
      <c r="N814" s="194"/>
      <c r="O814" s="194"/>
      <c r="P814" s="194"/>
      <c r="Q814" s="194"/>
      <c r="R814" s="194"/>
    </row>
    <row r="815" spans="1:18" s="3" customFormat="1" ht="26.4" hidden="1">
      <c r="A815" s="82" t="s">
        <v>29</v>
      </c>
      <c r="B815" s="145">
        <v>774</v>
      </c>
      <c r="C815" s="84" t="s">
        <v>25</v>
      </c>
      <c r="D815" s="84" t="s">
        <v>27</v>
      </c>
      <c r="E815" s="84" t="s">
        <v>1037</v>
      </c>
      <c r="F815" s="84" t="s">
        <v>30</v>
      </c>
      <c r="G815" s="87">
        <f t="shared" si="231"/>
        <v>0</v>
      </c>
      <c r="H815" s="87">
        <f t="shared" si="231"/>
        <v>0</v>
      </c>
      <c r="I815" s="87">
        <f t="shared" si="231"/>
        <v>0</v>
      </c>
      <c r="J815" s="173"/>
      <c r="K815" s="194"/>
      <c r="L815" s="194"/>
      <c r="M815" s="194"/>
      <c r="N815" s="194"/>
      <c r="O815" s="194"/>
      <c r="P815" s="194"/>
      <c r="Q815" s="194"/>
      <c r="R815" s="194"/>
    </row>
    <row r="816" spans="1:18" s="3" customFormat="1" hidden="1">
      <c r="A816" s="82" t="s">
        <v>31</v>
      </c>
      <c r="B816" s="145">
        <v>774</v>
      </c>
      <c r="C816" s="84" t="s">
        <v>25</v>
      </c>
      <c r="D816" s="84" t="s">
        <v>27</v>
      </c>
      <c r="E816" s="84" t="s">
        <v>1037</v>
      </c>
      <c r="F816" s="84" t="s">
        <v>32</v>
      </c>
      <c r="G816" s="87">
        <f>прил4!G953</f>
        <v>0</v>
      </c>
      <c r="H816" s="87">
        <v>0</v>
      </c>
      <c r="I816" s="87">
        <v>0</v>
      </c>
      <c r="J816" s="173"/>
      <c r="K816" s="194"/>
      <c r="L816" s="194"/>
      <c r="M816" s="194"/>
      <c r="N816" s="194"/>
      <c r="O816" s="194"/>
      <c r="P816" s="194"/>
      <c r="Q816" s="194"/>
      <c r="R816" s="194"/>
    </row>
    <row r="817" spans="1:20" ht="39.6" hidden="1">
      <c r="A817" s="16" t="s">
        <v>400</v>
      </c>
      <c r="B817" s="14">
        <v>774</v>
      </c>
      <c r="C817" s="15" t="s">
        <v>25</v>
      </c>
      <c r="D817" s="15" t="s">
        <v>27</v>
      </c>
      <c r="E817" s="84" t="s">
        <v>789</v>
      </c>
      <c r="F817" s="84"/>
      <c r="G817" s="85">
        <f t="shared" ref="G817:I818" si="232">G818</f>
        <v>0</v>
      </c>
      <c r="H817" s="85">
        <f t="shared" si="232"/>
        <v>0</v>
      </c>
      <c r="I817" s="85">
        <f t="shared" si="232"/>
        <v>0</v>
      </c>
    </row>
    <row r="818" spans="1:20" ht="26.4" hidden="1">
      <c r="A818" s="16" t="s">
        <v>29</v>
      </c>
      <c r="B818" s="14">
        <v>774</v>
      </c>
      <c r="C818" s="15" t="s">
        <v>25</v>
      </c>
      <c r="D818" s="15" t="s">
        <v>27</v>
      </c>
      <c r="E818" s="84" t="s">
        <v>789</v>
      </c>
      <c r="F818" s="84" t="s">
        <v>30</v>
      </c>
      <c r="G818" s="85">
        <f t="shared" si="232"/>
        <v>0</v>
      </c>
      <c r="H818" s="85">
        <f t="shared" si="232"/>
        <v>0</v>
      </c>
      <c r="I818" s="85">
        <f t="shared" si="232"/>
        <v>0</v>
      </c>
    </row>
    <row r="819" spans="1:20" hidden="1">
      <c r="A819" s="16" t="s">
        <v>31</v>
      </c>
      <c r="B819" s="14">
        <v>774</v>
      </c>
      <c r="C819" s="15" t="s">
        <v>25</v>
      </c>
      <c r="D819" s="15" t="s">
        <v>27</v>
      </c>
      <c r="E819" s="84" t="s">
        <v>789</v>
      </c>
      <c r="F819" s="84" t="s">
        <v>32</v>
      </c>
      <c r="G819" s="85">
        <f>прил4!G971</f>
        <v>0</v>
      </c>
      <c r="H819" s="85">
        <f>прил4!H971</f>
        <v>0</v>
      </c>
      <c r="I819" s="85">
        <f>прил4!I971</f>
        <v>0</v>
      </c>
    </row>
    <row r="820" spans="1:20" hidden="1">
      <c r="A820" s="16" t="s">
        <v>698</v>
      </c>
      <c r="B820" s="14">
        <v>774</v>
      </c>
      <c r="C820" s="15" t="s">
        <v>25</v>
      </c>
      <c r="D820" s="15" t="s">
        <v>27</v>
      </c>
      <c r="E820" s="84" t="s">
        <v>890</v>
      </c>
      <c r="F820" s="84"/>
      <c r="G820" s="85">
        <f>G821</f>
        <v>0</v>
      </c>
      <c r="H820" s="8">
        <f t="shared" ref="G820:I821" si="233">H821</f>
        <v>0</v>
      </c>
      <c r="I820" s="8">
        <f t="shared" si="233"/>
        <v>0</v>
      </c>
      <c r="J820" s="1"/>
    </row>
    <row r="821" spans="1:20" ht="26.4" hidden="1">
      <c r="A821" s="16" t="s">
        <v>29</v>
      </c>
      <c r="B821" s="14">
        <v>774</v>
      </c>
      <c r="C821" s="15" t="s">
        <v>25</v>
      </c>
      <c r="D821" s="15" t="s">
        <v>27</v>
      </c>
      <c r="E821" s="84" t="s">
        <v>890</v>
      </c>
      <c r="F821" s="84" t="s">
        <v>30</v>
      </c>
      <c r="G821" s="85">
        <f t="shared" si="233"/>
        <v>0</v>
      </c>
      <c r="H821" s="8">
        <f t="shared" si="233"/>
        <v>0</v>
      </c>
      <c r="I821" s="8">
        <f t="shared" si="233"/>
        <v>0</v>
      </c>
      <c r="J821" s="1"/>
    </row>
    <row r="822" spans="1:20" hidden="1">
      <c r="A822" s="16" t="s">
        <v>31</v>
      </c>
      <c r="B822" s="14">
        <v>774</v>
      </c>
      <c r="C822" s="15" t="s">
        <v>25</v>
      </c>
      <c r="D822" s="15" t="s">
        <v>27</v>
      </c>
      <c r="E822" s="84" t="s">
        <v>890</v>
      </c>
      <c r="F822" s="84" t="s">
        <v>32</v>
      </c>
      <c r="G822" s="85">
        <f>прил4!G974</f>
        <v>0</v>
      </c>
      <c r="H822" s="8">
        <f>прил4!H974</f>
        <v>0</v>
      </c>
      <c r="I822" s="8">
        <v>0</v>
      </c>
      <c r="J822" s="1"/>
    </row>
    <row r="823" spans="1:20" s="3" customFormat="1" hidden="1">
      <c r="A823" s="16" t="s">
        <v>416</v>
      </c>
      <c r="B823" s="14">
        <v>774</v>
      </c>
      <c r="C823" s="15" t="s">
        <v>25</v>
      </c>
      <c r="D823" s="15" t="s">
        <v>18</v>
      </c>
      <c r="E823" s="84" t="s">
        <v>415</v>
      </c>
      <c r="F823" s="84"/>
      <c r="G823" s="87">
        <f>G824</f>
        <v>0</v>
      </c>
      <c r="H823" s="70">
        <f>H824</f>
        <v>0</v>
      </c>
      <c r="I823" s="70">
        <f>I824</f>
        <v>0</v>
      </c>
      <c r="J823" s="111"/>
      <c r="P823" s="111"/>
      <c r="Q823" s="111"/>
      <c r="R823" s="111"/>
      <c r="S823" s="111"/>
      <c r="T823" s="111"/>
    </row>
    <row r="824" spans="1:20" s="3" customFormat="1" hidden="1">
      <c r="A824" s="16" t="s">
        <v>31</v>
      </c>
      <c r="B824" s="14">
        <v>774</v>
      </c>
      <c r="C824" s="15" t="s">
        <v>25</v>
      </c>
      <c r="D824" s="15" t="s">
        <v>18</v>
      </c>
      <c r="E824" s="84" t="s">
        <v>415</v>
      </c>
      <c r="F824" s="84" t="s">
        <v>32</v>
      </c>
      <c r="G824" s="87"/>
      <c r="H824" s="70">
        <f>прил4!H697</f>
        <v>0</v>
      </c>
      <c r="I824" s="70">
        <f>прил4!I697</f>
        <v>0</v>
      </c>
      <c r="J824" s="111"/>
      <c r="P824" s="111"/>
      <c r="Q824" s="111"/>
      <c r="R824" s="111"/>
      <c r="S824" s="111"/>
      <c r="T824" s="111"/>
    </row>
    <row r="825" spans="1:20" ht="25.5" hidden="1" customHeight="1">
      <c r="A825" s="16" t="s">
        <v>739</v>
      </c>
      <c r="B825" s="14">
        <v>774</v>
      </c>
      <c r="C825" s="15" t="s">
        <v>25</v>
      </c>
      <c r="D825" s="15" t="s">
        <v>18</v>
      </c>
      <c r="E825" s="15" t="s">
        <v>738</v>
      </c>
      <c r="F825" s="14"/>
      <c r="G825" s="70">
        <f t="shared" ref="G825:I826" si="234">G826</f>
        <v>0</v>
      </c>
      <c r="H825" s="70">
        <f t="shared" si="234"/>
        <v>0</v>
      </c>
      <c r="I825" s="70">
        <f t="shared" si="234"/>
        <v>0</v>
      </c>
      <c r="J825" s="1"/>
    </row>
    <row r="826" spans="1:20" ht="25.5" hidden="1" customHeight="1">
      <c r="A826" s="16" t="s">
        <v>29</v>
      </c>
      <c r="B826" s="14">
        <v>774</v>
      </c>
      <c r="C826" s="15" t="s">
        <v>25</v>
      </c>
      <c r="D826" s="15" t="s">
        <v>18</v>
      </c>
      <c r="E826" s="15" t="s">
        <v>738</v>
      </c>
      <c r="F826" s="15" t="s">
        <v>30</v>
      </c>
      <c r="G826" s="70">
        <f t="shared" si="234"/>
        <v>0</v>
      </c>
      <c r="H826" s="70">
        <f t="shared" si="234"/>
        <v>0</v>
      </c>
      <c r="I826" s="70">
        <f t="shared" si="234"/>
        <v>0</v>
      </c>
      <c r="J826" s="1"/>
    </row>
    <row r="827" spans="1:20" ht="25.5" hidden="1" customHeight="1">
      <c r="A827" s="16" t="s">
        <v>31</v>
      </c>
      <c r="B827" s="14">
        <v>774</v>
      </c>
      <c r="C827" s="15" t="s">
        <v>25</v>
      </c>
      <c r="D827" s="15" t="s">
        <v>18</v>
      </c>
      <c r="E827" s="15" t="s">
        <v>738</v>
      </c>
      <c r="F827" s="15" t="s">
        <v>32</v>
      </c>
      <c r="G827" s="70"/>
      <c r="H827" s="70"/>
      <c r="I827" s="70"/>
      <c r="J827" s="1"/>
    </row>
    <row r="828" spans="1:20" s="3" customFormat="1" ht="38.25" hidden="1" customHeight="1">
      <c r="A828" s="16" t="s">
        <v>694</v>
      </c>
      <c r="B828" s="14">
        <v>774</v>
      </c>
      <c r="C828" s="15" t="s">
        <v>25</v>
      </c>
      <c r="D828" s="15" t="s">
        <v>27</v>
      </c>
      <c r="E828" s="84" t="s">
        <v>693</v>
      </c>
      <c r="F828" s="84"/>
      <c r="G828" s="87">
        <f t="shared" ref="G828:I829" si="235">G829</f>
        <v>0</v>
      </c>
      <c r="H828" s="70">
        <f t="shared" si="235"/>
        <v>0</v>
      </c>
      <c r="I828" s="70">
        <f t="shared" si="235"/>
        <v>0</v>
      </c>
      <c r="P828" s="111"/>
      <c r="Q828" s="111"/>
      <c r="R828" s="111"/>
      <c r="S828" s="111"/>
      <c r="T828" s="111"/>
    </row>
    <row r="829" spans="1:20" s="3" customFormat="1" ht="26.4" hidden="1">
      <c r="A829" s="16" t="s">
        <v>29</v>
      </c>
      <c r="B829" s="14">
        <v>774</v>
      </c>
      <c r="C829" s="15" t="s">
        <v>25</v>
      </c>
      <c r="D829" s="15" t="s">
        <v>27</v>
      </c>
      <c r="E829" s="84" t="s">
        <v>693</v>
      </c>
      <c r="F829" s="84" t="s">
        <v>30</v>
      </c>
      <c r="G829" s="87">
        <f t="shared" si="235"/>
        <v>0</v>
      </c>
      <c r="H829" s="70">
        <f t="shared" si="235"/>
        <v>0</v>
      </c>
      <c r="I829" s="70">
        <f t="shared" si="235"/>
        <v>0</v>
      </c>
      <c r="P829" s="111"/>
      <c r="Q829" s="111"/>
      <c r="R829" s="111"/>
      <c r="S829" s="111"/>
      <c r="T829" s="111"/>
    </row>
    <row r="830" spans="1:20" s="3" customFormat="1" hidden="1">
      <c r="A830" s="16" t="s">
        <v>31</v>
      </c>
      <c r="B830" s="14">
        <v>774</v>
      </c>
      <c r="C830" s="15" t="s">
        <v>25</v>
      </c>
      <c r="D830" s="15" t="s">
        <v>27</v>
      </c>
      <c r="E830" s="84" t="s">
        <v>693</v>
      </c>
      <c r="F830" s="84" t="s">
        <v>32</v>
      </c>
      <c r="G830" s="87">
        <f>прил4!G923</f>
        <v>0</v>
      </c>
      <c r="H830" s="70">
        <v>0</v>
      </c>
      <c r="I830" s="70">
        <v>0</v>
      </c>
      <c r="P830" s="111"/>
      <c r="Q830" s="111"/>
      <c r="R830" s="111"/>
      <c r="S830" s="111"/>
      <c r="T830" s="111"/>
    </row>
    <row r="831" spans="1:20" s="3" customFormat="1" ht="33.75" hidden="1" customHeight="1">
      <c r="A831" s="16" t="s">
        <v>695</v>
      </c>
      <c r="B831" s="14">
        <v>774</v>
      </c>
      <c r="C831" s="15" t="s">
        <v>25</v>
      </c>
      <c r="D831" s="15" t="s">
        <v>18</v>
      </c>
      <c r="E831" s="15" t="s">
        <v>697</v>
      </c>
      <c r="F831" s="15"/>
      <c r="G831" s="70">
        <f>G832</f>
        <v>0</v>
      </c>
      <c r="H831" s="70">
        <f>H833</f>
        <v>0</v>
      </c>
      <c r="I831" s="70">
        <f>I833</f>
        <v>0</v>
      </c>
      <c r="P831" s="111"/>
      <c r="Q831" s="111"/>
      <c r="R831" s="111"/>
      <c r="S831" s="111"/>
      <c r="T831" s="111"/>
    </row>
    <row r="832" spans="1:20" s="3" customFormat="1" ht="33.75" hidden="1" customHeight="1">
      <c r="A832" s="16" t="s">
        <v>29</v>
      </c>
      <c r="B832" s="14"/>
      <c r="C832" s="15"/>
      <c r="D832" s="15"/>
      <c r="E832" s="15" t="s">
        <v>697</v>
      </c>
      <c r="F832" s="15" t="s">
        <v>30</v>
      </c>
      <c r="G832" s="70">
        <f>G833</f>
        <v>0</v>
      </c>
      <c r="H832" s="70"/>
      <c r="I832" s="70"/>
      <c r="P832" s="111"/>
      <c r="Q832" s="111"/>
      <c r="R832" s="111"/>
      <c r="S832" s="111"/>
      <c r="T832" s="111"/>
    </row>
    <row r="833" spans="1:20" s="3" customFormat="1" hidden="1">
      <c r="A833" s="16" t="s">
        <v>31</v>
      </c>
      <c r="B833" s="14">
        <v>774</v>
      </c>
      <c r="C833" s="15" t="s">
        <v>25</v>
      </c>
      <c r="D833" s="15" t="s">
        <v>18</v>
      </c>
      <c r="E833" s="15" t="s">
        <v>697</v>
      </c>
      <c r="F833" s="15" t="s">
        <v>32</v>
      </c>
      <c r="G833" s="70">
        <f>прил4!G742</f>
        <v>0</v>
      </c>
      <c r="H833" s="70">
        <v>0</v>
      </c>
      <c r="I833" s="70">
        <v>0</v>
      </c>
      <c r="P833" s="111"/>
      <c r="Q833" s="111"/>
      <c r="R833" s="111"/>
      <c r="S833" s="111"/>
      <c r="T833" s="111"/>
    </row>
    <row r="834" spans="1:20" s="3" customFormat="1" ht="26.4">
      <c r="A834" s="82" t="s">
        <v>1518</v>
      </c>
      <c r="B834" s="145">
        <v>774</v>
      </c>
      <c r="C834" s="84" t="s">
        <v>25</v>
      </c>
      <c r="D834" s="84" t="s">
        <v>18</v>
      </c>
      <c r="E834" s="84" t="s">
        <v>1517</v>
      </c>
      <c r="F834" s="84"/>
      <c r="G834" s="70">
        <f t="shared" ref="G834:I835" si="236">G835</f>
        <v>227000</v>
      </c>
      <c r="H834" s="87">
        <f t="shared" si="236"/>
        <v>0</v>
      </c>
      <c r="I834" s="87">
        <f t="shared" si="236"/>
        <v>0</v>
      </c>
      <c r="J834" s="173"/>
      <c r="K834" s="194"/>
      <c r="L834" s="194"/>
      <c r="M834" s="194"/>
      <c r="N834" s="194"/>
      <c r="O834" s="194"/>
      <c r="P834" s="194"/>
      <c r="Q834" s="194"/>
      <c r="R834" s="194"/>
    </row>
    <row r="835" spans="1:20" s="3" customFormat="1" ht="26.4">
      <c r="A835" s="82" t="s">
        <v>29</v>
      </c>
      <c r="B835" s="145">
        <v>774</v>
      </c>
      <c r="C835" s="84" t="s">
        <v>25</v>
      </c>
      <c r="D835" s="84" t="s">
        <v>18</v>
      </c>
      <c r="E835" s="84" t="s">
        <v>1517</v>
      </c>
      <c r="F835" s="84" t="s">
        <v>30</v>
      </c>
      <c r="G835" s="70">
        <f t="shared" si="236"/>
        <v>227000</v>
      </c>
      <c r="H835" s="87">
        <f t="shared" si="236"/>
        <v>0</v>
      </c>
      <c r="I835" s="87">
        <f t="shared" si="236"/>
        <v>0</v>
      </c>
      <c r="J835" s="173"/>
      <c r="K835" s="194"/>
      <c r="L835" s="194"/>
      <c r="M835" s="194"/>
      <c r="N835" s="194"/>
      <c r="O835" s="194"/>
      <c r="P835" s="194"/>
      <c r="Q835" s="194"/>
      <c r="R835" s="194"/>
    </row>
    <row r="836" spans="1:20" s="3" customFormat="1">
      <c r="A836" s="82" t="s">
        <v>31</v>
      </c>
      <c r="B836" s="145">
        <v>774</v>
      </c>
      <c r="C836" s="84" t="s">
        <v>25</v>
      </c>
      <c r="D836" s="84" t="s">
        <v>18</v>
      </c>
      <c r="E836" s="84" t="s">
        <v>1517</v>
      </c>
      <c r="F836" s="84" t="s">
        <v>32</v>
      </c>
      <c r="G836" s="70">
        <f>прил4!G762+прил4!G893</f>
        <v>227000</v>
      </c>
      <c r="H836" s="87"/>
      <c r="I836" s="87"/>
      <c r="J836" s="173"/>
      <c r="K836" s="194"/>
      <c r="L836" s="194"/>
      <c r="M836" s="194"/>
      <c r="N836" s="194"/>
      <c r="O836" s="194"/>
      <c r="P836" s="194"/>
      <c r="Q836" s="194"/>
      <c r="R836" s="194"/>
    </row>
    <row r="837" spans="1:20" s="3" customFormat="1" ht="49.5" customHeight="1">
      <c r="A837" s="82" t="s">
        <v>1268</v>
      </c>
      <c r="B837" s="145">
        <v>774</v>
      </c>
      <c r="C837" s="84" t="s">
        <v>25</v>
      </c>
      <c r="D837" s="84" t="s">
        <v>27</v>
      </c>
      <c r="E837" s="84" t="s">
        <v>1267</v>
      </c>
      <c r="F837" s="84"/>
      <c r="G837" s="87">
        <f t="shared" ref="G837:I838" si="237">G838</f>
        <v>30887111.109999999</v>
      </c>
      <c r="H837" s="87">
        <f t="shared" si="237"/>
        <v>0</v>
      </c>
      <c r="I837" s="87">
        <f t="shared" si="237"/>
        <v>0</v>
      </c>
      <c r="J837" s="173"/>
      <c r="K837" s="194"/>
      <c r="L837" s="194"/>
      <c r="M837" s="194"/>
      <c r="N837" s="194"/>
      <c r="O837" s="194"/>
      <c r="P837" s="194"/>
      <c r="Q837" s="194"/>
      <c r="R837" s="194"/>
    </row>
    <row r="838" spans="1:20" s="3" customFormat="1" ht="24.75" customHeight="1">
      <c r="A838" s="82" t="s">
        <v>29</v>
      </c>
      <c r="B838" s="145">
        <v>774</v>
      </c>
      <c r="C838" s="84" t="s">
        <v>25</v>
      </c>
      <c r="D838" s="84" t="s">
        <v>27</v>
      </c>
      <c r="E838" s="84" t="s">
        <v>1267</v>
      </c>
      <c r="F838" s="84" t="s">
        <v>30</v>
      </c>
      <c r="G838" s="87">
        <f t="shared" si="237"/>
        <v>30887111.109999999</v>
      </c>
      <c r="H838" s="87">
        <f t="shared" si="237"/>
        <v>0</v>
      </c>
      <c r="I838" s="87">
        <f t="shared" si="237"/>
        <v>0</v>
      </c>
      <c r="J838" s="173"/>
      <c r="K838" s="194"/>
      <c r="L838" s="194"/>
      <c r="M838" s="194"/>
      <c r="N838" s="194"/>
      <c r="O838" s="194"/>
      <c r="P838" s="194"/>
      <c r="Q838" s="194"/>
      <c r="R838" s="194"/>
    </row>
    <row r="839" spans="1:20" s="3" customFormat="1">
      <c r="A839" s="82" t="s">
        <v>31</v>
      </c>
      <c r="B839" s="145">
        <v>774</v>
      </c>
      <c r="C839" s="84" t="s">
        <v>25</v>
      </c>
      <c r="D839" s="84" t="s">
        <v>27</v>
      </c>
      <c r="E839" s="84" t="s">
        <v>1267</v>
      </c>
      <c r="F839" s="84" t="s">
        <v>32</v>
      </c>
      <c r="G839" s="70">
        <f>прил4!G995</f>
        <v>30887111.109999999</v>
      </c>
      <c r="H839" s="87">
        <v>0</v>
      </c>
      <c r="I839" s="87">
        <v>0</v>
      </c>
      <c r="J839" s="173"/>
      <c r="K839" s="194"/>
      <c r="L839" s="194"/>
      <c r="M839" s="194"/>
      <c r="N839" s="194"/>
      <c r="O839" s="194"/>
      <c r="P839" s="194"/>
      <c r="Q839" s="194"/>
      <c r="R839" s="194"/>
    </row>
    <row r="840" spans="1:20" s="3" customFormat="1" ht="24.75" customHeight="1">
      <c r="A840" s="82" t="s">
        <v>1325</v>
      </c>
      <c r="B840" s="145">
        <v>774</v>
      </c>
      <c r="C840" s="84" t="s">
        <v>25</v>
      </c>
      <c r="D840" s="84" t="s">
        <v>27</v>
      </c>
      <c r="E840" s="84" t="s">
        <v>1285</v>
      </c>
      <c r="F840" s="84"/>
      <c r="G840" s="70">
        <f>G841</f>
        <v>6000000</v>
      </c>
      <c r="H840" s="87">
        <v>0</v>
      </c>
      <c r="I840" s="87">
        <v>0</v>
      </c>
      <c r="J840" s="173"/>
      <c r="K840" s="194"/>
      <c r="L840" s="194"/>
      <c r="M840" s="194"/>
      <c r="N840" s="194"/>
      <c r="O840" s="194"/>
      <c r="P840" s="194"/>
      <c r="Q840" s="194"/>
      <c r="R840" s="194"/>
    </row>
    <row r="841" spans="1:20" s="3" customFormat="1" ht="66">
      <c r="A841" s="82" t="s">
        <v>1284</v>
      </c>
      <c r="B841" s="145">
        <v>774</v>
      </c>
      <c r="C841" s="84" t="s">
        <v>25</v>
      </c>
      <c r="D841" s="84" t="s">
        <v>27</v>
      </c>
      <c r="E841" s="84" t="s">
        <v>1326</v>
      </c>
      <c r="F841" s="84"/>
      <c r="G841" s="70">
        <f t="shared" ref="G841:I842" si="238">G842</f>
        <v>6000000</v>
      </c>
      <c r="H841" s="87">
        <f t="shared" si="238"/>
        <v>0</v>
      </c>
      <c r="I841" s="87">
        <f t="shared" si="238"/>
        <v>0</v>
      </c>
      <c r="J841" s="173"/>
      <c r="K841" s="194"/>
      <c r="L841" s="194"/>
      <c r="M841" s="194"/>
      <c r="N841" s="194"/>
      <c r="O841" s="194"/>
      <c r="P841" s="194"/>
      <c r="Q841" s="194"/>
      <c r="R841" s="194"/>
    </row>
    <row r="842" spans="1:20" s="3" customFormat="1" ht="26.4">
      <c r="A842" s="82" t="s">
        <v>29</v>
      </c>
      <c r="B842" s="145">
        <v>774</v>
      </c>
      <c r="C842" s="84" t="s">
        <v>25</v>
      </c>
      <c r="D842" s="84" t="s">
        <v>27</v>
      </c>
      <c r="E842" s="84" t="s">
        <v>1326</v>
      </c>
      <c r="F842" s="84" t="s">
        <v>30</v>
      </c>
      <c r="G842" s="70">
        <f t="shared" si="238"/>
        <v>6000000</v>
      </c>
      <c r="H842" s="87">
        <f t="shared" si="238"/>
        <v>0</v>
      </c>
      <c r="I842" s="87">
        <f t="shared" si="238"/>
        <v>0</v>
      </c>
      <c r="J842" s="173"/>
      <c r="K842" s="194"/>
      <c r="L842" s="194"/>
      <c r="M842" s="194"/>
      <c r="N842" s="194"/>
      <c r="O842" s="194"/>
      <c r="P842" s="194"/>
      <c r="Q842" s="194"/>
      <c r="R842" s="194"/>
    </row>
    <row r="843" spans="1:20" s="3" customFormat="1">
      <c r="A843" s="82" t="s">
        <v>31</v>
      </c>
      <c r="B843" s="145">
        <v>774</v>
      </c>
      <c r="C843" s="84" t="s">
        <v>25</v>
      </c>
      <c r="D843" s="84" t="s">
        <v>27</v>
      </c>
      <c r="E843" s="84" t="s">
        <v>1326</v>
      </c>
      <c r="F843" s="84" t="s">
        <v>32</v>
      </c>
      <c r="G843" s="70">
        <v>6000000</v>
      </c>
      <c r="H843" s="87"/>
      <c r="I843" s="87"/>
      <c r="J843" s="173"/>
      <c r="K843" s="194"/>
      <c r="L843" s="194"/>
      <c r="M843" s="194"/>
      <c r="N843" s="194"/>
      <c r="O843" s="194"/>
      <c r="P843" s="194"/>
      <c r="Q843" s="194"/>
      <c r="R843" s="194"/>
    </row>
    <row r="844" spans="1:20" s="3" customFormat="1" ht="49.5" customHeight="1">
      <c r="A844" s="82" t="s">
        <v>995</v>
      </c>
      <c r="B844" s="145">
        <v>774</v>
      </c>
      <c r="C844" s="84" t="s">
        <v>25</v>
      </c>
      <c r="D844" s="84" t="s">
        <v>27</v>
      </c>
      <c r="E844" s="84" t="s">
        <v>994</v>
      </c>
      <c r="F844" s="84"/>
      <c r="G844" s="87">
        <f t="shared" ref="G844:I845" si="239">G845</f>
        <v>700000</v>
      </c>
      <c r="H844" s="87">
        <f t="shared" si="239"/>
        <v>0</v>
      </c>
      <c r="I844" s="87">
        <f t="shared" si="239"/>
        <v>0</v>
      </c>
      <c r="J844" s="173"/>
      <c r="K844" s="194"/>
      <c r="L844" s="194"/>
      <c r="M844" s="194"/>
      <c r="N844" s="194"/>
      <c r="O844" s="194"/>
      <c r="P844" s="194"/>
      <c r="Q844" s="194"/>
      <c r="R844" s="194"/>
    </row>
    <row r="845" spans="1:20" s="3" customFormat="1" ht="24.75" customHeight="1">
      <c r="A845" s="82" t="s">
        <v>29</v>
      </c>
      <c r="B845" s="145">
        <v>774</v>
      </c>
      <c r="C845" s="84" t="s">
        <v>25</v>
      </c>
      <c r="D845" s="84" t="s">
        <v>27</v>
      </c>
      <c r="E845" s="84" t="s">
        <v>994</v>
      </c>
      <c r="F845" s="84" t="s">
        <v>30</v>
      </c>
      <c r="G845" s="87">
        <f t="shared" si="239"/>
        <v>700000</v>
      </c>
      <c r="H845" s="87">
        <f t="shared" si="239"/>
        <v>0</v>
      </c>
      <c r="I845" s="87">
        <f t="shared" si="239"/>
        <v>0</v>
      </c>
      <c r="J845" s="173"/>
      <c r="K845" s="194"/>
      <c r="L845" s="194"/>
      <c r="M845" s="194"/>
      <c r="N845" s="194"/>
      <c r="O845" s="194"/>
      <c r="P845" s="194"/>
      <c r="Q845" s="194"/>
      <c r="R845" s="194"/>
    </row>
    <row r="846" spans="1:20" s="3" customFormat="1">
      <c r="A846" s="82" t="s">
        <v>31</v>
      </c>
      <c r="B846" s="145">
        <v>774</v>
      </c>
      <c r="C846" s="84" t="s">
        <v>25</v>
      </c>
      <c r="D846" s="84" t="s">
        <v>27</v>
      </c>
      <c r="E846" s="84" t="s">
        <v>994</v>
      </c>
      <c r="F846" s="84" t="s">
        <v>32</v>
      </c>
      <c r="G846" s="70">
        <v>700000</v>
      </c>
      <c r="H846" s="87">
        <v>0</v>
      </c>
      <c r="I846" s="87">
        <v>0</v>
      </c>
      <c r="J846" s="173"/>
      <c r="K846" s="194"/>
      <c r="L846" s="194"/>
      <c r="M846" s="194"/>
      <c r="N846" s="194"/>
      <c r="O846" s="194"/>
      <c r="P846" s="194"/>
      <c r="Q846" s="194"/>
      <c r="R846" s="194"/>
    </row>
    <row r="847" spans="1:20" s="3" customFormat="1" ht="49.5" customHeight="1">
      <c r="A847" s="82" t="s">
        <v>1269</v>
      </c>
      <c r="B847" s="145">
        <v>774</v>
      </c>
      <c r="C847" s="84" t="s">
        <v>25</v>
      </c>
      <c r="D847" s="84" t="s">
        <v>27</v>
      </c>
      <c r="E847" s="84" t="s">
        <v>1270</v>
      </c>
      <c r="F847" s="84"/>
      <c r="G847" s="87">
        <f t="shared" ref="G847:I848" si="240">G848</f>
        <v>17346429.600000001</v>
      </c>
      <c r="H847" s="87">
        <f t="shared" si="240"/>
        <v>0</v>
      </c>
      <c r="I847" s="87">
        <f t="shared" si="240"/>
        <v>0</v>
      </c>
      <c r="J847" s="173"/>
      <c r="K847" s="194"/>
      <c r="L847" s="194"/>
      <c r="M847" s="194"/>
      <c r="N847" s="194"/>
      <c r="O847" s="194"/>
      <c r="P847" s="194"/>
      <c r="Q847" s="194"/>
      <c r="R847" s="194"/>
    </row>
    <row r="848" spans="1:20" s="3" customFormat="1" ht="24.75" customHeight="1">
      <c r="A848" s="82" t="s">
        <v>29</v>
      </c>
      <c r="B848" s="145">
        <v>774</v>
      </c>
      <c r="C848" s="84" t="s">
        <v>25</v>
      </c>
      <c r="D848" s="84" t="s">
        <v>27</v>
      </c>
      <c r="E848" s="84" t="s">
        <v>1270</v>
      </c>
      <c r="F848" s="84" t="s">
        <v>30</v>
      </c>
      <c r="G848" s="87">
        <f t="shared" si="240"/>
        <v>17346429.600000001</v>
      </c>
      <c r="H848" s="87">
        <f t="shared" si="240"/>
        <v>0</v>
      </c>
      <c r="I848" s="87">
        <f t="shared" si="240"/>
        <v>0</v>
      </c>
      <c r="J848" s="173"/>
      <c r="K848" s="194"/>
      <c r="L848" s="194"/>
      <c r="M848" s="194"/>
      <c r="N848" s="194"/>
      <c r="O848" s="194"/>
      <c r="P848" s="194"/>
      <c r="Q848" s="194"/>
      <c r="R848" s="194"/>
    </row>
    <row r="849" spans="1:18" s="3" customFormat="1">
      <c r="A849" s="82" t="s">
        <v>31</v>
      </c>
      <c r="B849" s="145">
        <v>774</v>
      </c>
      <c r="C849" s="84" t="s">
        <v>25</v>
      </c>
      <c r="D849" s="84" t="s">
        <v>27</v>
      </c>
      <c r="E849" s="84" t="s">
        <v>1270</v>
      </c>
      <c r="F849" s="84" t="s">
        <v>32</v>
      </c>
      <c r="G849" s="70">
        <f>прил4!G1002</f>
        <v>17346429.600000001</v>
      </c>
      <c r="H849" s="87">
        <v>0</v>
      </c>
      <c r="I849" s="87">
        <v>0</v>
      </c>
      <c r="J849" s="173"/>
      <c r="K849" s="194"/>
      <c r="L849" s="194"/>
      <c r="M849" s="194"/>
      <c r="N849" s="194"/>
      <c r="O849" s="194"/>
      <c r="P849" s="194"/>
      <c r="Q849" s="194"/>
      <c r="R849" s="194"/>
    </row>
    <row r="850" spans="1:18" s="3" customFormat="1" ht="25.5" customHeight="1">
      <c r="A850" s="82" t="s">
        <v>1283</v>
      </c>
      <c r="B850" s="145">
        <v>774</v>
      </c>
      <c r="C850" s="84" t="s">
        <v>25</v>
      </c>
      <c r="D850" s="84" t="s">
        <v>18</v>
      </c>
      <c r="E850" s="84" t="s">
        <v>1282</v>
      </c>
      <c r="F850" s="84"/>
      <c r="G850" s="87">
        <f t="shared" ref="G850:I851" si="241">G851</f>
        <v>1106622.68</v>
      </c>
      <c r="H850" s="87">
        <f t="shared" si="241"/>
        <v>0</v>
      </c>
      <c r="I850" s="87">
        <f t="shared" si="241"/>
        <v>0</v>
      </c>
      <c r="J850" s="173"/>
      <c r="K850" s="194"/>
      <c r="L850" s="194"/>
      <c r="M850" s="194"/>
      <c r="N850" s="194"/>
      <c r="O850" s="194"/>
      <c r="P850" s="194"/>
      <c r="Q850" s="194"/>
      <c r="R850" s="194"/>
    </row>
    <row r="851" spans="1:18" s="3" customFormat="1" ht="26.4">
      <c r="A851" s="82" t="s">
        <v>29</v>
      </c>
      <c r="B851" s="145">
        <v>774</v>
      </c>
      <c r="C851" s="84" t="s">
        <v>25</v>
      </c>
      <c r="D851" s="84" t="s">
        <v>18</v>
      </c>
      <c r="E851" s="84" t="s">
        <v>1282</v>
      </c>
      <c r="F851" s="84" t="s">
        <v>30</v>
      </c>
      <c r="G851" s="87">
        <f t="shared" si="241"/>
        <v>1106622.68</v>
      </c>
      <c r="H851" s="87">
        <f t="shared" si="241"/>
        <v>0</v>
      </c>
      <c r="I851" s="87">
        <f t="shared" si="241"/>
        <v>0</v>
      </c>
      <c r="J851" s="173"/>
      <c r="K851" s="194"/>
      <c r="L851" s="194"/>
      <c r="M851" s="194"/>
      <c r="N851" s="194"/>
      <c r="O851" s="194"/>
      <c r="P851" s="194"/>
      <c r="Q851" s="194"/>
      <c r="R851" s="194"/>
    </row>
    <row r="852" spans="1:18" s="3" customFormat="1">
      <c r="A852" s="82" t="s">
        <v>31</v>
      </c>
      <c r="B852" s="145">
        <v>774</v>
      </c>
      <c r="C852" s="84" t="s">
        <v>25</v>
      </c>
      <c r="D852" s="84" t="s">
        <v>18</v>
      </c>
      <c r="E852" s="84" t="s">
        <v>1282</v>
      </c>
      <c r="F852" s="84" t="s">
        <v>32</v>
      </c>
      <c r="G852" s="70">
        <f>прил4!G765</f>
        <v>1106622.68</v>
      </c>
      <c r="H852" s="87">
        <v>0</v>
      </c>
      <c r="I852" s="87">
        <v>0</v>
      </c>
      <c r="J852" s="173"/>
      <c r="K852" s="194"/>
      <c r="L852" s="194"/>
      <c r="M852" s="194"/>
      <c r="N852" s="194"/>
      <c r="O852" s="194"/>
      <c r="P852" s="194"/>
      <c r="Q852" s="194"/>
      <c r="R852" s="194"/>
    </row>
    <row r="853" spans="1:18" s="3" customFormat="1" ht="26.4" hidden="1">
      <c r="A853" s="82" t="s">
        <v>1066</v>
      </c>
      <c r="B853" s="145">
        <v>774</v>
      </c>
      <c r="C853" s="84" t="s">
        <v>25</v>
      </c>
      <c r="D853" s="84" t="s">
        <v>27</v>
      </c>
      <c r="E853" s="84" t="s">
        <v>1067</v>
      </c>
      <c r="F853" s="84"/>
      <c r="G853" s="87">
        <f t="shared" ref="G853:I854" si="242">G854</f>
        <v>0</v>
      </c>
      <c r="H853" s="87">
        <f t="shared" si="242"/>
        <v>0</v>
      </c>
      <c r="I853" s="87">
        <f t="shared" si="242"/>
        <v>0</v>
      </c>
      <c r="J853" s="173"/>
      <c r="K853" s="194"/>
      <c r="L853" s="194"/>
      <c r="M853" s="194"/>
      <c r="N853" s="194"/>
      <c r="O853" s="194"/>
      <c r="P853" s="194"/>
      <c r="Q853" s="194"/>
      <c r="R853" s="194"/>
    </row>
    <row r="854" spans="1:18" s="3" customFormat="1" ht="26.4" hidden="1">
      <c r="A854" s="82" t="s">
        <v>29</v>
      </c>
      <c r="B854" s="145">
        <v>774</v>
      </c>
      <c r="C854" s="84" t="s">
        <v>25</v>
      </c>
      <c r="D854" s="84" t="s">
        <v>27</v>
      </c>
      <c r="E854" s="84" t="s">
        <v>1067</v>
      </c>
      <c r="F854" s="84" t="s">
        <v>30</v>
      </c>
      <c r="G854" s="87">
        <f t="shared" si="242"/>
        <v>0</v>
      </c>
      <c r="H854" s="87">
        <f t="shared" si="242"/>
        <v>0</v>
      </c>
      <c r="I854" s="87">
        <f t="shared" si="242"/>
        <v>0</v>
      </c>
      <c r="J854" s="173"/>
      <c r="K854" s="194"/>
      <c r="L854" s="194"/>
      <c r="M854" s="194"/>
      <c r="N854" s="194"/>
      <c r="O854" s="194"/>
      <c r="P854" s="194"/>
      <c r="Q854" s="194"/>
      <c r="R854" s="194"/>
    </row>
    <row r="855" spans="1:18" s="3" customFormat="1" hidden="1">
      <c r="A855" s="82" t="s">
        <v>31</v>
      </c>
      <c r="B855" s="145">
        <v>774</v>
      </c>
      <c r="C855" s="84" t="s">
        <v>25</v>
      </c>
      <c r="D855" s="84" t="s">
        <v>27</v>
      </c>
      <c r="E855" s="84" t="s">
        <v>1067</v>
      </c>
      <c r="F855" s="84" t="s">
        <v>32</v>
      </c>
      <c r="G855" s="87">
        <f>прил4!G977+прил4!G759</f>
        <v>0</v>
      </c>
      <c r="H855" s="87">
        <f>прил4!H977</f>
        <v>0</v>
      </c>
      <c r="I855" s="87">
        <f>прил4!I977</f>
        <v>0</v>
      </c>
      <c r="J855" s="173"/>
      <c r="K855" s="194"/>
      <c r="L855" s="194"/>
      <c r="M855" s="194"/>
      <c r="N855" s="194"/>
      <c r="O855" s="194"/>
      <c r="P855" s="194"/>
      <c r="Q855" s="194"/>
      <c r="R855" s="194"/>
    </row>
    <row r="856" spans="1:18" s="3" customFormat="1" ht="113.25" customHeight="1">
      <c r="A856" s="130" t="s">
        <v>1497</v>
      </c>
      <c r="B856" s="145">
        <v>774</v>
      </c>
      <c r="C856" s="84" t="s">
        <v>25</v>
      </c>
      <c r="D856" s="84" t="s">
        <v>18</v>
      </c>
      <c r="E856" s="84" t="s">
        <v>1227</v>
      </c>
      <c r="F856" s="84"/>
      <c r="G856" s="87">
        <f t="shared" ref="G856:I866" si="243">G857</f>
        <v>670000</v>
      </c>
      <c r="H856" s="87">
        <f t="shared" si="243"/>
        <v>0</v>
      </c>
      <c r="I856" s="87">
        <f t="shared" si="243"/>
        <v>0</v>
      </c>
      <c r="J856" s="173"/>
      <c r="K856" s="194"/>
      <c r="L856" s="194"/>
      <c r="M856" s="194"/>
      <c r="N856" s="194"/>
      <c r="O856" s="194"/>
      <c r="P856" s="194"/>
      <c r="Q856" s="194"/>
      <c r="R856" s="194"/>
    </row>
    <row r="857" spans="1:18" s="3" customFormat="1" ht="26.4">
      <c r="A857" s="82" t="s">
        <v>29</v>
      </c>
      <c r="B857" s="145">
        <v>774</v>
      </c>
      <c r="C857" s="84" t="s">
        <v>25</v>
      </c>
      <c r="D857" s="84" t="s">
        <v>18</v>
      </c>
      <c r="E857" s="84" t="s">
        <v>1227</v>
      </c>
      <c r="F857" s="84" t="s">
        <v>30</v>
      </c>
      <c r="G857" s="87">
        <f t="shared" si="243"/>
        <v>670000</v>
      </c>
      <c r="H857" s="87">
        <f t="shared" si="243"/>
        <v>0</v>
      </c>
      <c r="I857" s="87">
        <f t="shared" si="243"/>
        <v>0</v>
      </c>
      <c r="J857" s="173"/>
      <c r="K857" s="194"/>
      <c r="L857" s="194"/>
      <c r="M857" s="194"/>
      <c r="N857" s="194"/>
      <c r="O857" s="194"/>
      <c r="P857" s="194"/>
      <c r="Q857" s="194"/>
      <c r="R857" s="194"/>
    </row>
    <row r="858" spans="1:18" s="3" customFormat="1">
      <c r="A858" s="82" t="s">
        <v>31</v>
      </c>
      <c r="B858" s="145">
        <v>774</v>
      </c>
      <c r="C858" s="84" t="s">
        <v>25</v>
      </c>
      <c r="D858" s="84" t="s">
        <v>18</v>
      </c>
      <c r="E858" s="84" t="s">
        <v>1227</v>
      </c>
      <c r="F858" s="84" t="s">
        <v>32</v>
      </c>
      <c r="G858" s="87">
        <f>прил4!G771</f>
        <v>670000</v>
      </c>
      <c r="H858" s="87">
        <v>0</v>
      </c>
      <c r="I858" s="87">
        <v>0</v>
      </c>
      <c r="J858" s="173"/>
      <c r="K858" s="194"/>
      <c r="L858" s="194"/>
      <c r="M858" s="194"/>
      <c r="N858" s="194"/>
      <c r="O858" s="194"/>
      <c r="P858" s="194"/>
      <c r="Q858" s="194"/>
      <c r="R858" s="194"/>
    </row>
    <row r="859" spans="1:18" s="3" customFormat="1" ht="129" customHeight="1">
      <c r="A859" s="130" t="s">
        <v>1498</v>
      </c>
      <c r="B859" s="145">
        <v>774</v>
      </c>
      <c r="C859" s="84" t="s">
        <v>25</v>
      </c>
      <c r="D859" s="84" t="s">
        <v>18</v>
      </c>
      <c r="E859" s="84" t="s">
        <v>1228</v>
      </c>
      <c r="F859" s="84"/>
      <c r="G859" s="87">
        <f t="shared" si="243"/>
        <v>250000</v>
      </c>
      <c r="H859" s="87">
        <f t="shared" si="243"/>
        <v>0</v>
      </c>
      <c r="I859" s="87">
        <f t="shared" si="243"/>
        <v>0</v>
      </c>
      <c r="J859" s="173"/>
      <c r="K859" s="194"/>
      <c r="L859" s="194"/>
      <c r="M859" s="194"/>
      <c r="N859" s="194"/>
      <c r="O859" s="194"/>
      <c r="P859" s="194"/>
      <c r="Q859" s="194"/>
      <c r="R859" s="194"/>
    </row>
    <row r="860" spans="1:18" s="3" customFormat="1" ht="26.4">
      <c r="A860" s="82" t="s">
        <v>29</v>
      </c>
      <c r="B860" s="145">
        <v>774</v>
      </c>
      <c r="C860" s="84" t="s">
        <v>25</v>
      </c>
      <c r="D860" s="84" t="s">
        <v>18</v>
      </c>
      <c r="E860" s="84" t="s">
        <v>1228</v>
      </c>
      <c r="F860" s="84" t="s">
        <v>30</v>
      </c>
      <c r="G860" s="87">
        <f t="shared" si="243"/>
        <v>250000</v>
      </c>
      <c r="H860" s="87">
        <f t="shared" si="243"/>
        <v>0</v>
      </c>
      <c r="I860" s="87">
        <f t="shared" si="243"/>
        <v>0</v>
      </c>
      <c r="J860" s="173"/>
      <c r="K860" s="194"/>
      <c r="L860" s="194"/>
      <c r="M860" s="194"/>
      <c r="N860" s="194"/>
      <c r="O860" s="194"/>
      <c r="P860" s="194"/>
      <c r="Q860" s="194"/>
      <c r="R860" s="194"/>
    </row>
    <row r="861" spans="1:18" s="3" customFormat="1">
      <c r="A861" s="82" t="s">
        <v>31</v>
      </c>
      <c r="B861" s="145">
        <v>774</v>
      </c>
      <c r="C861" s="84" t="s">
        <v>25</v>
      </c>
      <c r="D861" s="84" t="s">
        <v>18</v>
      </c>
      <c r="E861" s="84" t="s">
        <v>1228</v>
      </c>
      <c r="F861" s="84" t="s">
        <v>32</v>
      </c>
      <c r="G861" s="87">
        <f>прил4!G774</f>
        <v>250000</v>
      </c>
      <c r="H861" s="87">
        <v>0</v>
      </c>
      <c r="I861" s="87">
        <v>0</v>
      </c>
      <c r="J861" s="173"/>
      <c r="K861" s="194"/>
      <c r="L861" s="194"/>
      <c r="M861" s="194"/>
      <c r="N861" s="194"/>
      <c r="O861" s="194"/>
      <c r="P861" s="194"/>
      <c r="Q861" s="194"/>
      <c r="R861" s="194"/>
    </row>
    <row r="862" spans="1:18" s="3" customFormat="1" ht="105.6" hidden="1">
      <c r="A862" s="82" t="s">
        <v>1230</v>
      </c>
      <c r="B862" s="145">
        <v>774</v>
      </c>
      <c r="C862" s="84" t="s">
        <v>25</v>
      </c>
      <c r="D862" s="84" t="s">
        <v>18</v>
      </c>
      <c r="E862" s="84" t="s">
        <v>1229</v>
      </c>
      <c r="F862" s="84"/>
      <c r="G862" s="87">
        <f t="shared" si="243"/>
        <v>0</v>
      </c>
      <c r="H862" s="87">
        <f t="shared" si="243"/>
        <v>0</v>
      </c>
      <c r="I862" s="87">
        <f t="shared" si="243"/>
        <v>0</v>
      </c>
      <c r="J862" s="173"/>
      <c r="K862" s="194"/>
      <c r="L862" s="194"/>
      <c r="M862" s="194"/>
      <c r="N862" s="194"/>
      <c r="O862" s="194"/>
      <c r="P862" s="194"/>
      <c r="Q862" s="194"/>
      <c r="R862" s="194"/>
    </row>
    <row r="863" spans="1:18" s="3" customFormat="1" ht="26.4" hidden="1">
      <c r="A863" s="82" t="s">
        <v>29</v>
      </c>
      <c r="B863" s="145">
        <v>774</v>
      </c>
      <c r="C863" s="84" t="s">
        <v>25</v>
      </c>
      <c r="D863" s="84" t="s">
        <v>18</v>
      </c>
      <c r="E863" s="84" t="s">
        <v>1229</v>
      </c>
      <c r="F863" s="84" t="s">
        <v>30</v>
      </c>
      <c r="G863" s="87">
        <f t="shared" si="243"/>
        <v>0</v>
      </c>
      <c r="H863" s="87">
        <f t="shared" si="243"/>
        <v>0</v>
      </c>
      <c r="I863" s="87">
        <f t="shared" si="243"/>
        <v>0</v>
      </c>
      <c r="J863" s="173"/>
      <c r="K863" s="194"/>
      <c r="L863" s="194"/>
      <c r="M863" s="194"/>
      <c r="N863" s="194"/>
      <c r="O863" s="194"/>
      <c r="P863" s="194"/>
      <c r="Q863" s="194"/>
      <c r="R863" s="194"/>
    </row>
    <row r="864" spans="1:18" s="3" customFormat="1" hidden="1">
      <c r="A864" s="82" t="s">
        <v>31</v>
      </c>
      <c r="B864" s="145">
        <v>774</v>
      </c>
      <c r="C864" s="84" t="s">
        <v>25</v>
      </c>
      <c r="D864" s="84" t="s">
        <v>18</v>
      </c>
      <c r="E864" s="84" t="s">
        <v>1229</v>
      </c>
      <c r="F864" s="84" t="s">
        <v>32</v>
      </c>
      <c r="G864" s="87">
        <f>прил4!G777</f>
        <v>0</v>
      </c>
      <c r="H864" s="87">
        <v>0</v>
      </c>
      <c r="I864" s="87">
        <v>0</v>
      </c>
      <c r="J864" s="173"/>
      <c r="K864" s="194"/>
      <c r="L864" s="194"/>
      <c r="M864" s="194"/>
      <c r="N864" s="194"/>
      <c r="O864" s="194"/>
      <c r="P864" s="194"/>
      <c r="Q864" s="194"/>
      <c r="R864" s="194"/>
    </row>
    <row r="865" spans="1:18" s="3" customFormat="1" ht="114" customHeight="1">
      <c r="A865" s="130" t="s">
        <v>1499</v>
      </c>
      <c r="B865" s="145">
        <v>774</v>
      </c>
      <c r="C865" s="84" t="s">
        <v>25</v>
      </c>
      <c r="D865" s="84" t="s">
        <v>18</v>
      </c>
      <c r="E865" s="84" t="s">
        <v>1231</v>
      </c>
      <c r="F865" s="84"/>
      <c r="G865" s="87">
        <f t="shared" si="243"/>
        <v>42000</v>
      </c>
      <c r="H865" s="87">
        <f t="shared" si="243"/>
        <v>0</v>
      </c>
      <c r="I865" s="87">
        <f t="shared" si="243"/>
        <v>0</v>
      </c>
      <c r="J865" s="173"/>
      <c r="K865" s="194"/>
      <c r="L865" s="194"/>
      <c r="M865" s="194"/>
      <c r="N865" s="194"/>
      <c r="O865" s="194"/>
      <c r="P865" s="194"/>
      <c r="Q865" s="194"/>
      <c r="R865" s="194"/>
    </row>
    <row r="866" spans="1:18" s="3" customFormat="1" ht="26.4">
      <c r="A866" s="82" t="s">
        <v>29</v>
      </c>
      <c r="B866" s="145">
        <v>774</v>
      </c>
      <c r="C866" s="84" t="s">
        <v>25</v>
      </c>
      <c r="D866" s="84" t="s">
        <v>18</v>
      </c>
      <c r="E866" s="84" t="s">
        <v>1231</v>
      </c>
      <c r="F866" s="84" t="s">
        <v>30</v>
      </c>
      <c r="G866" s="87">
        <f t="shared" si="243"/>
        <v>42000</v>
      </c>
      <c r="H866" s="87">
        <f t="shared" si="243"/>
        <v>0</v>
      </c>
      <c r="I866" s="87">
        <f t="shared" si="243"/>
        <v>0</v>
      </c>
      <c r="J866" s="173"/>
      <c r="K866" s="194"/>
      <c r="L866" s="194"/>
      <c r="M866" s="194"/>
      <c r="N866" s="194"/>
      <c r="O866" s="194"/>
      <c r="P866" s="194"/>
      <c r="Q866" s="194"/>
      <c r="R866" s="194"/>
    </row>
    <row r="867" spans="1:18" s="3" customFormat="1">
      <c r="A867" s="82" t="s">
        <v>31</v>
      </c>
      <c r="B867" s="145">
        <v>774</v>
      </c>
      <c r="C867" s="84" t="s">
        <v>25</v>
      </c>
      <c r="D867" s="84" t="s">
        <v>18</v>
      </c>
      <c r="E867" s="84" t="s">
        <v>1231</v>
      </c>
      <c r="F867" s="84" t="s">
        <v>32</v>
      </c>
      <c r="G867" s="87">
        <f>прил4!G780</f>
        <v>42000</v>
      </c>
      <c r="H867" s="87">
        <v>0</v>
      </c>
      <c r="I867" s="87">
        <v>0</v>
      </c>
      <c r="J867" s="173"/>
      <c r="K867" s="194"/>
      <c r="L867" s="194"/>
      <c r="M867" s="194"/>
      <c r="N867" s="194"/>
      <c r="O867" s="194"/>
      <c r="P867" s="194"/>
      <c r="Q867" s="194"/>
      <c r="R867" s="194"/>
    </row>
    <row r="868" spans="1:18" s="3" customFormat="1" ht="66" hidden="1">
      <c r="A868" s="82" t="s">
        <v>1233</v>
      </c>
      <c r="B868" s="145">
        <v>774</v>
      </c>
      <c r="C868" s="84" t="s">
        <v>25</v>
      </c>
      <c r="D868" s="84" t="s">
        <v>27</v>
      </c>
      <c r="E868" s="84" t="s">
        <v>1232</v>
      </c>
      <c r="F868" s="84"/>
      <c r="G868" s="87">
        <f t="shared" ref="G868:I881" si="244">G869</f>
        <v>0</v>
      </c>
      <c r="H868" s="87">
        <f t="shared" si="244"/>
        <v>0</v>
      </c>
      <c r="I868" s="87">
        <f t="shared" si="244"/>
        <v>0</v>
      </c>
      <c r="J868" s="173"/>
      <c r="K868" s="194"/>
      <c r="L868" s="194"/>
      <c r="M868" s="194"/>
      <c r="N868" s="194"/>
      <c r="O868" s="194"/>
      <c r="P868" s="194"/>
      <c r="Q868" s="194"/>
      <c r="R868" s="194"/>
    </row>
    <row r="869" spans="1:18" s="3" customFormat="1" ht="26.4" hidden="1">
      <c r="A869" s="82" t="s">
        <v>29</v>
      </c>
      <c r="B869" s="145">
        <v>774</v>
      </c>
      <c r="C869" s="84" t="s">
        <v>25</v>
      </c>
      <c r="D869" s="84" t="s">
        <v>27</v>
      </c>
      <c r="E869" s="84" t="s">
        <v>1232</v>
      </c>
      <c r="F869" s="84" t="s">
        <v>30</v>
      </c>
      <c r="G869" s="87">
        <f t="shared" si="244"/>
        <v>0</v>
      </c>
      <c r="H869" s="87">
        <f t="shared" si="244"/>
        <v>0</v>
      </c>
      <c r="I869" s="87">
        <f t="shared" si="244"/>
        <v>0</v>
      </c>
      <c r="J869" s="173"/>
      <c r="K869" s="194"/>
      <c r="L869" s="194"/>
      <c r="M869" s="194"/>
      <c r="N869" s="194"/>
      <c r="O869" s="194"/>
      <c r="P869" s="194"/>
      <c r="Q869" s="194"/>
      <c r="R869" s="194"/>
    </row>
    <row r="870" spans="1:18" s="3" customFormat="1" hidden="1">
      <c r="A870" s="82" t="s">
        <v>31</v>
      </c>
      <c r="B870" s="145">
        <v>774</v>
      </c>
      <c r="C870" s="84" t="s">
        <v>25</v>
      </c>
      <c r="D870" s="84" t="s">
        <v>27</v>
      </c>
      <c r="E870" s="84" t="s">
        <v>1232</v>
      </c>
      <c r="F870" s="84" t="s">
        <v>32</v>
      </c>
      <c r="G870" s="87">
        <f>прил4!G1005</f>
        <v>0</v>
      </c>
      <c r="H870" s="87">
        <v>0</v>
      </c>
      <c r="I870" s="87">
        <v>0</v>
      </c>
      <c r="J870" s="173"/>
      <c r="K870" s="194"/>
      <c r="L870" s="194"/>
      <c r="M870" s="194"/>
      <c r="N870" s="194"/>
      <c r="O870" s="194"/>
      <c r="P870" s="194"/>
      <c r="Q870" s="194"/>
      <c r="R870" s="194"/>
    </row>
    <row r="871" spans="1:18" s="3" customFormat="1" ht="84.75" customHeight="1">
      <c r="A871" s="82" t="s">
        <v>1477</v>
      </c>
      <c r="B871" s="145">
        <v>774</v>
      </c>
      <c r="C871" s="84" t="s">
        <v>25</v>
      </c>
      <c r="D871" s="84" t="s">
        <v>27</v>
      </c>
      <c r="E871" s="84" t="s">
        <v>1234</v>
      </c>
      <c r="F871" s="84"/>
      <c r="G871" s="87">
        <f t="shared" si="244"/>
        <v>1811220</v>
      </c>
      <c r="H871" s="87">
        <f t="shared" si="244"/>
        <v>0</v>
      </c>
      <c r="I871" s="87">
        <f t="shared" si="244"/>
        <v>0</v>
      </c>
      <c r="J871" s="173"/>
      <c r="K871" s="194"/>
      <c r="L871" s="194"/>
      <c r="M871" s="194"/>
      <c r="N871" s="194"/>
      <c r="O871" s="194"/>
      <c r="P871" s="194"/>
      <c r="Q871" s="194"/>
      <c r="R871" s="194"/>
    </row>
    <row r="872" spans="1:18" s="3" customFormat="1" ht="26.4">
      <c r="A872" s="82" t="s">
        <v>29</v>
      </c>
      <c r="B872" s="145">
        <v>774</v>
      </c>
      <c r="C872" s="84" t="s">
        <v>25</v>
      </c>
      <c r="D872" s="84" t="s">
        <v>27</v>
      </c>
      <c r="E872" s="84" t="s">
        <v>1234</v>
      </c>
      <c r="F872" s="84" t="s">
        <v>30</v>
      </c>
      <c r="G872" s="87">
        <f t="shared" si="244"/>
        <v>1811220</v>
      </c>
      <c r="H872" s="87">
        <f t="shared" si="244"/>
        <v>0</v>
      </c>
      <c r="I872" s="87">
        <f t="shared" si="244"/>
        <v>0</v>
      </c>
      <c r="J872" s="173"/>
      <c r="K872" s="194"/>
      <c r="L872" s="194"/>
      <c r="M872" s="194"/>
      <c r="N872" s="194"/>
      <c r="O872" s="194"/>
      <c r="P872" s="194"/>
      <c r="Q872" s="194"/>
      <c r="R872" s="194"/>
    </row>
    <row r="873" spans="1:18" s="3" customFormat="1">
      <c r="A873" s="82" t="s">
        <v>31</v>
      </c>
      <c r="B873" s="145">
        <v>774</v>
      </c>
      <c r="C873" s="84" t="s">
        <v>25</v>
      </c>
      <c r="D873" s="84" t="s">
        <v>27</v>
      </c>
      <c r="E873" s="84" t="s">
        <v>1234</v>
      </c>
      <c r="F873" s="84" t="s">
        <v>32</v>
      </c>
      <c r="G873" s="87">
        <f>прил4!G1008</f>
        <v>1811220</v>
      </c>
      <c r="H873" s="87">
        <v>0</v>
      </c>
      <c r="I873" s="87">
        <v>0</v>
      </c>
      <c r="J873" s="173"/>
      <c r="K873" s="194"/>
      <c r="L873" s="194"/>
      <c r="M873" s="194"/>
      <c r="N873" s="194"/>
      <c r="O873" s="194"/>
      <c r="P873" s="194"/>
      <c r="Q873" s="194"/>
      <c r="R873" s="194"/>
    </row>
    <row r="874" spans="1:18" s="3" customFormat="1" ht="73.5" customHeight="1">
      <c r="A874" s="82" t="s">
        <v>1478</v>
      </c>
      <c r="B874" s="145">
        <v>774</v>
      </c>
      <c r="C874" s="84" t="s">
        <v>25</v>
      </c>
      <c r="D874" s="84" t="s">
        <v>27</v>
      </c>
      <c r="E874" s="84" t="s">
        <v>1235</v>
      </c>
      <c r="F874" s="84"/>
      <c r="G874" s="87">
        <f t="shared" si="244"/>
        <v>3590261.36</v>
      </c>
      <c r="H874" s="87">
        <f t="shared" si="244"/>
        <v>0</v>
      </c>
      <c r="I874" s="87">
        <f t="shared" si="244"/>
        <v>0</v>
      </c>
      <c r="J874" s="173"/>
      <c r="K874" s="194"/>
      <c r="L874" s="194"/>
      <c r="M874" s="194"/>
      <c r="N874" s="194"/>
      <c r="O874" s="194"/>
      <c r="P874" s="194"/>
      <c r="Q874" s="194"/>
      <c r="R874" s="194"/>
    </row>
    <row r="875" spans="1:18" s="3" customFormat="1" ht="26.4">
      <c r="A875" s="82" t="s">
        <v>29</v>
      </c>
      <c r="B875" s="145">
        <v>774</v>
      </c>
      <c r="C875" s="84" t="s">
        <v>25</v>
      </c>
      <c r="D875" s="84" t="s">
        <v>27</v>
      </c>
      <c r="E875" s="84" t="s">
        <v>1235</v>
      </c>
      <c r="F875" s="84" t="s">
        <v>30</v>
      </c>
      <c r="G875" s="87">
        <f t="shared" si="244"/>
        <v>3590261.36</v>
      </c>
      <c r="H875" s="87">
        <f t="shared" si="244"/>
        <v>0</v>
      </c>
      <c r="I875" s="87">
        <f t="shared" si="244"/>
        <v>0</v>
      </c>
      <c r="J875" s="173"/>
      <c r="K875" s="194"/>
      <c r="L875" s="194"/>
      <c r="M875" s="194"/>
      <c r="N875" s="194"/>
      <c r="O875" s="194"/>
      <c r="P875" s="194"/>
      <c r="Q875" s="194"/>
      <c r="R875" s="194"/>
    </row>
    <row r="876" spans="1:18" s="3" customFormat="1">
      <c r="A876" s="82" t="s">
        <v>31</v>
      </c>
      <c r="B876" s="145">
        <v>774</v>
      </c>
      <c r="C876" s="84" t="s">
        <v>25</v>
      </c>
      <c r="D876" s="84" t="s">
        <v>27</v>
      </c>
      <c r="E876" s="84" t="s">
        <v>1235</v>
      </c>
      <c r="F876" s="84" t="s">
        <v>32</v>
      </c>
      <c r="G876" s="87">
        <f>прил4!G1011</f>
        <v>3590261.36</v>
      </c>
      <c r="H876" s="87">
        <v>0</v>
      </c>
      <c r="I876" s="87">
        <v>0</v>
      </c>
      <c r="J876" s="173"/>
      <c r="K876" s="194"/>
      <c r="L876" s="194"/>
      <c r="M876" s="194"/>
      <c r="N876" s="194"/>
      <c r="O876" s="194"/>
      <c r="P876" s="194"/>
      <c r="Q876" s="194"/>
      <c r="R876" s="194"/>
    </row>
    <row r="877" spans="1:18" s="3" customFormat="1" ht="81.75" customHeight="1">
      <c r="A877" s="82" t="s">
        <v>1500</v>
      </c>
      <c r="B877" s="145">
        <v>774</v>
      </c>
      <c r="C877" s="84" t="s">
        <v>25</v>
      </c>
      <c r="D877" s="84" t="s">
        <v>27</v>
      </c>
      <c r="E877" s="84" t="s">
        <v>1236</v>
      </c>
      <c r="F877" s="84"/>
      <c r="G877" s="87">
        <f t="shared" si="244"/>
        <v>2357080.34</v>
      </c>
      <c r="H877" s="87">
        <f t="shared" si="244"/>
        <v>0</v>
      </c>
      <c r="I877" s="87">
        <f t="shared" si="244"/>
        <v>0</v>
      </c>
      <c r="J877" s="173"/>
      <c r="K877" s="194"/>
      <c r="L877" s="194"/>
      <c r="M877" s="194"/>
      <c r="N877" s="194"/>
      <c r="O877" s="194"/>
      <c r="P877" s="194"/>
      <c r="Q877" s="194"/>
      <c r="R877" s="194"/>
    </row>
    <row r="878" spans="1:18" s="3" customFormat="1" ht="26.4">
      <c r="A878" s="82" t="s">
        <v>29</v>
      </c>
      <c r="B878" s="145">
        <v>774</v>
      </c>
      <c r="C878" s="84" t="s">
        <v>25</v>
      </c>
      <c r="D878" s="84" t="s">
        <v>27</v>
      </c>
      <c r="E878" s="84" t="s">
        <v>1236</v>
      </c>
      <c r="F878" s="84" t="s">
        <v>30</v>
      </c>
      <c r="G878" s="87">
        <f t="shared" si="244"/>
        <v>2357080.34</v>
      </c>
      <c r="H878" s="87">
        <f t="shared" si="244"/>
        <v>0</v>
      </c>
      <c r="I878" s="87">
        <f t="shared" si="244"/>
        <v>0</v>
      </c>
      <c r="J878" s="173"/>
      <c r="K878" s="194"/>
      <c r="L878" s="194"/>
      <c r="M878" s="194"/>
      <c r="N878" s="194"/>
      <c r="O878" s="194"/>
      <c r="P878" s="194"/>
      <c r="Q878" s="194"/>
      <c r="R878" s="194"/>
    </row>
    <row r="879" spans="1:18" s="3" customFormat="1">
      <c r="A879" s="82" t="s">
        <v>31</v>
      </c>
      <c r="B879" s="145">
        <v>774</v>
      </c>
      <c r="C879" s="84" t="s">
        <v>25</v>
      </c>
      <c r="D879" s="84" t="s">
        <v>27</v>
      </c>
      <c r="E879" s="84" t="s">
        <v>1236</v>
      </c>
      <c r="F879" s="84" t="s">
        <v>32</v>
      </c>
      <c r="G879" s="87">
        <f>прил4!G1014</f>
        <v>2357080.34</v>
      </c>
      <c r="H879" s="87">
        <v>0</v>
      </c>
      <c r="I879" s="87">
        <v>0</v>
      </c>
      <c r="J879" s="173"/>
      <c r="K879" s="194"/>
      <c r="L879" s="194"/>
      <c r="M879" s="194"/>
      <c r="N879" s="194"/>
      <c r="O879" s="194"/>
      <c r="P879" s="194"/>
      <c r="Q879" s="194"/>
      <c r="R879" s="194"/>
    </row>
    <row r="880" spans="1:18" s="3" customFormat="1" ht="72" customHeight="1">
      <c r="A880" s="82" t="s">
        <v>1501</v>
      </c>
      <c r="B880" s="145">
        <v>774</v>
      </c>
      <c r="C880" s="84" t="s">
        <v>25</v>
      </c>
      <c r="D880" s="84" t="s">
        <v>27</v>
      </c>
      <c r="E880" s="84" t="s">
        <v>1237</v>
      </c>
      <c r="F880" s="84"/>
      <c r="G880" s="87">
        <f t="shared" si="244"/>
        <v>591130</v>
      </c>
      <c r="H880" s="87">
        <f t="shared" si="244"/>
        <v>0</v>
      </c>
      <c r="I880" s="87">
        <f t="shared" si="244"/>
        <v>0</v>
      </c>
      <c r="J880" s="173"/>
      <c r="K880" s="194"/>
      <c r="L880" s="194"/>
      <c r="M880" s="194"/>
      <c r="N880" s="194"/>
      <c r="O880" s="194"/>
      <c r="P880" s="194"/>
      <c r="Q880" s="194"/>
      <c r="R880" s="194"/>
    </row>
    <row r="881" spans="1:18" s="3" customFormat="1" ht="26.4">
      <c r="A881" s="82" t="s">
        <v>29</v>
      </c>
      <c r="B881" s="145">
        <v>774</v>
      </c>
      <c r="C881" s="84" t="s">
        <v>25</v>
      </c>
      <c r="D881" s="84" t="s">
        <v>27</v>
      </c>
      <c r="E881" s="84" t="s">
        <v>1237</v>
      </c>
      <c r="F881" s="84" t="s">
        <v>30</v>
      </c>
      <c r="G881" s="87">
        <f t="shared" si="244"/>
        <v>591130</v>
      </c>
      <c r="H881" s="87">
        <f t="shared" si="244"/>
        <v>0</v>
      </c>
      <c r="I881" s="87">
        <f t="shared" si="244"/>
        <v>0</v>
      </c>
      <c r="J881" s="173"/>
      <c r="K881" s="194"/>
      <c r="L881" s="194"/>
      <c r="M881" s="194"/>
      <c r="N881" s="194"/>
      <c r="O881" s="194"/>
      <c r="P881" s="194"/>
      <c r="Q881" s="194"/>
      <c r="R881" s="194"/>
    </row>
    <row r="882" spans="1:18" s="3" customFormat="1">
      <c r="A882" s="82" t="s">
        <v>31</v>
      </c>
      <c r="B882" s="145">
        <v>774</v>
      </c>
      <c r="C882" s="84" t="s">
        <v>25</v>
      </c>
      <c r="D882" s="84" t="s">
        <v>27</v>
      </c>
      <c r="E882" s="84" t="s">
        <v>1237</v>
      </c>
      <c r="F882" s="84" t="s">
        <v>32</v>
      </c>
      <c r="G882" s="87">
        <f>прил4!G1017</f>
        <v>591130</v>
      </c>
      <c r="H882" s="87">
        <v>0</v>
      </c>
      <c r="I882" s="87">
        <v>0</v>
      </c>
      <c r="J882" s="173"/>
      <c r="K882" s="194"/>
      <c r="L882" s="194"/>
      <c r="M882" s="194"/>
      <c r="N882" s="194"/>
      <c r="O882" s="194"/>
      <c r="P882" s="194"/>
      <c r="Q882" s="194"/>
      <c r="R882" s="194"/>
    </row>
    <row r="883" spans="1:18" s="3" customFormat="1" ht="126" customHeight="1">
      <c r="A883" s="130" t="s">
        <v>1502</v>
      </c>
      <c r="B883" s="145">
        <v>774</v>
      </c>
      <c r="C883" s="84" t="s">
        <v>25</v>
      </c>
      <c r="D883" s="84" t="s">
        <v>27</v>
      </c>
      <c r="E883" s="84" t="s">
        <v>1238</v>
      </c>
      <c r="F883" s="84"/>
      <c r="G883" s="87">
        <f t="shared" ref="G883:I884" si="245">G884</f>
        <v>300000</v>
      </c>
      <c r="H883" s="87">
        <f t="shared" si="245"/>
        <v>0</v>
      </c>
      <c r="I883" s="87">
        <f t="shared" si="245"/>
        <v>0</v>
      </c>
      <c r="J883" s="173"/>
      <c r="K883" s="194"/>
      <c r="L883" s="194"/>
      <c r="M883" s="194"/>
      <c r="N883" s="194"/>
      <c r="O883" s="194"/>
      <c r="P883" s="194"/>
      <c r="Q883" s="194"/>
      <c r="R883" s="194"/>
    </row>
    <row r="884" spans="1:18" s="3" customFormat="1" ht="26.4">
      <c r="A884" s="82" t="s">
        <v>29</v>
      </c>
      <c r="B884" s="145">
        <v>774</v>
      </c>
      <c r="C884" s="84" t="s">
        <v>25</v>
      </c>
      <c r="D884" s="84" t="s">
        <v>27</v>
      </c>
      <c r="E884" s="84" t="s">
        <v>1238</v>
      </c>
      <c r="F884" s="84" t="s">
        <v>30</v>
      </c>
      <c r="G884" s="87">
        <f t="shared" si="245"/>
        <v>300000</v>
      </c>
      <c r="H884" s="87">
        <f t="shared" si="245"/>
        <v>0</v>
      </c>
      <c r="I884" s="87">
        <f t="shared" si="245"/>
        <v>0</v>
      </c>
      <c r="J884" s="173"/>
      <c r="K884" s="194"/>
      <c r="L884" s="194"/>
      <c r="M884" s="194"/>
      <c r="N884" s="194"/>
      <c r="O884" s="194"/>
      <c r="P884" s="194"/>
      <c r="Q884" s="194"/>
      <c r="R884" s="194"/>
    </row>
    <row r="885" spans="1:18" s="3" customFormat="1">
      <c r="A885" s="82" t="s">
        <v>31</v>
      </c>
      <c r="B885" s="145">
        <v>774</v>
      </c>
      <c r="C885" s="84" t="s">
        <v>25</v>
      </c>
      <c r="D885" s="84" t="s">
        <v>27</v>
      </c>
      <c r="E885" s="84" t="s">
        <v>1238</v>
      </c>
      <c r="F885" s="84" t="s">
        <v>32</v>
      </c>
      <c r="G885" s="87">
        <f>прил4!G1020</f>
        <v>300000</v>
      </c>
      <c r="H885" s="87">
        <v>0</v>
      </c>
      <c r="I885" s="87">
        <v>0</v>
      </c>
      <c r="J885" s="173"/>
      <c r="K885" s="194"/>
      <c r="L885" s="194"/>
      <c r="M885" s="194"/>
      <c r="N885" s="194"/>
      <c r="O885" s="194"/>
      <c r="P885" s="194"/>
      <c r="Q885" s="194"/>
      <c r="R885" s="194"/>
    </row>
    <row r="886" spans="1:18" s="3" customFormat="1" ht="101.25" customHeight="1">
      <c r="A886" s="130" t="s">
        <v>1240</v>
      </c>
      <c r="B886" s="145">
        <v>774</v>
      </c>
      <c r="C886" s="84" t="s">
        <v>25</v>
      </c>
      <c r="D886" s="84" t="s">
        <v>27</v>
      </c>
      <c r="E886" s="84" t="s">
        <v>1239</v>
      </c>
      <c r="F886" s="84"/>
      <c r="G886" s="87">
        <f t="shared" ref="G886:I887" si="246">G887</f>
        <v>700000</v>
      </c>
      <c r="H886" s="87">
        <f t="shared" si="246"/>
        <v>0</v>
      </c>
      <c r="I886" s="87">
        <f t="shared" si="246"/>
        <v>0</v>
      </c>
      <c r="J886" s="173"/>
      <c r="K886" s="194"/>
      <c r="L886" s="194"/>
      <c r="M886" s="194"/>
      <c r="N886" s="194"/>
      <c r="O886" s="194"/>
      <c r="P886" s="194"/>
      <c r="Q886" s="194"/>
      <c r="R886" s="194"/>
    </row>
    <row r="887" spans="1:18" s="3" customFormat="1" ht="26.4">
      <c r="A887" s="82" t="s">
        <v>29</v>
      </c>
      <c r="B887" s="145">
        <v>774</v>
      </c>
      <c r="C887" s="84" t="s">
        <v>25</v>
      </c>
      <c r="D887" s="84" t="s">
        <v>27</v>
      </c>
      <c r="E887" s="84" t="s">
        <v>1239</v>
      </c>
      <c r="F887" s="84" t="s">
        <v>30</v>
      </c>
      <c r="G887" s="87">
        <f t="shared" si="246"/>
        <v>700000</v>
      </c>
      <c r="H887" s="87">
        <f t="shared" si="246"/>
        <v>0</v>
      </c>
      <c r="I887" s="87">
        <f t="shared" si="246"/>
        <v>0</v>
      </c>
      <c r="J887" s="173"/>
      <c r="K887" s="194"/>
      <c r="L887" s="194"/>
      <c r="M887" s="194"/>
      <c r="N887" s="194"/>
      <c r="O887" s="194"/>
      <c r="P887" s="194"/>
      <c r="Q887" s="194"/>
      <c r="R887" s="194"/>
    </row>
    <row r="888" spans="1:18" s="3" customFormat="1">
      <c r="A888" s="82" t="s">
        <v>31</v>
      </c>
      <c r="B888" s="145">
        <v>774</v>
      </c>
      <c r="C888" s="84" t="s">
        <v>25</v>
      </c>
      <c r="D888" s="84" t="s">
        <v>27</v>
      </c>
      <c r="E888" s="84" t="s">
        <v>1239</v>
      </c>
      <c r="F888" s="84" t="s">
        <v>32</v>
      </c>
      <c r="G888" s="87">
        <f>прил4!G1023</f>
        <v>700000</v>
      </c>
      <c r="H888" s="87">
        <v>0</v>
      </c>
      <c r="I888" s="87">
        <v>0</v>
      </c>
      <c r="J888" s="173"/>
      <c r="K888" s="194"/>
      <c r="L888" s="194"/>
      <c r="M888" s="194"/>
      <c r="N888" s="194"/>
      <c r="O888" s="194"/>
      <c r="P888" s="194"/>
      <c r="Q888" s="194"/>
      <c r="R888" s="194"/>
    </row>
    <row r="889" spans="1:18" s="3" customFormat="1" ht="84.75" customHeight="1">
      <c r="A889" s="130" t="s">
        <v>1503</v>
      </c>
      <c r="B889" s="145">
        <v>774</v>
      </c>
      <c r="C889" s="84" t="s">
        <v>25</v>
      </c>
      <c r="D889" s="84" t="s">
        <v>27</v>
      </c>
      <c r="E889" s="84" t="s">
        <v>1241</v>
      </c>
      <c r="F889" s="84"/>
      <c r="G889" s="87">
        <f t="shared" ref="G889:I890" si="247">G890</f>
        <v>250000</v>
      </c>
      <c r="H889" s="87">
        <f t="shared" si="247"/>
        <v>0</v>
      </c>
      <c r="I889" s="87">
        <f t="shared" si="247"/>
        <v>0</v>
      </c>
      <c r="J889" s="173"/>
      <c r="K889" s="194"/>
      <c r="L889" s="194"/>
      <c r="M889" s="194"/>
      <c r="N889" s="194"/>
      <c r="O889" s="194"/>
      <c r="P889" s="194"/>
      <c r="Q889" s="194"/>
      <c r="R889" s="194"/>
    </row>
    <row r="890" spans="1:18" s="3" customFormat="1" ht="26.4">
      <c r="A890" s="82" t="s">
        <v>29</v>
      </c>
      <c r="B890" s="145">
        <v>774</v>
      </c>
      <c r="C890" s="84" t="s">
        <v>25</v>
      </c>
      <c r="D890" s="84" t="s">
        <v>27</v>
      </c>
      <c r="E890" s="84" t="s">
        <v>1241</v>
      </c>
      <c r="F890" s="84" t="s">
        <v>30</v>
      </c>
      <c r="G890" s="87">
        <f t="shared" si="247"/>
        <v>250000</v>
      </c>
      <c r="H890" s="87">
        <f t="shared" si="247"/>
        <v>0</v>
      </c>
      <c r="I890" s="87">
        <f t="shared" si="247"/>
        <v>0</v>
      </c>
      <c r="J890" s="173"/>
      <c r="K890" s="194"/>
      <c r="L890" s="194"/>
      <c r="M890" s="194"/>
      <c r="N890" s="194"/>
      <c r="O890" s="194"/>
      <c r="P890" s="194"/>
      <c r="Q890" s="194"/>
      <c r="R890" s="194"/>
    </row>
    <row r="891" spans="1:18" s="3" customFormat="1">
      <c r="A891" s="82" t="s">
        <v>31</v>
      </c>
      <c r="B891" s="145">
        <v>774</v>
      </c>
      <c r="C891" s="84" t="s">
        <v>25</v>
      </c>
      <c r="D891" s="84" t="s">
        <v>27</v>
      </c>
      <c r="E891" s="84" t="s">
        <v>1241</v>
      </c>
      <c r="F891" s="84" t="s">
        <v>32</v>
      </c>
      <c r="G891" s="87">
        <f>прил4!G1026</f>
        <v>250000</v>
      </c>
      <c r="H891" s="87">
        <v>0</v>
      </c>
      <c r="I891" s="87">
        <v>0</v>
      </c>
      <c r="J891" s="173"/>
      <c r="K891" s="194"/>
      <c r="L891" s="194"/>
      <c r="M891" s="194"/>
      <c r="N891" s="194"/>
      <c r="O891" s="194"/>
      <c r="P891" s="194"/>
      <c r="Q891" s="194"/>
      <c r="R891" s="194"/>
    </row>
    <row r="892" spans="1:18" s="3" customFormat="1" ht="111.75" customHeight="1">
      <c r="A892" s="82" t="s">
        <v>1392</v>
      </c>
      <c r="B892" s="145">
        <v>774</v>
      </c>
      <c r="C892" s="84" t="s">
        <v>25</v>
      </c>
      <c r="D892" s="84" t="s">
        <v>27</v>
      </c>
      <c r="E892" s="84" t="s">
        <v>1242</v>
      </c>
      <c r="F892" s="84"/>
      <c r="G892" s="87">
        <f t="shared" ref="G892:I893" si="248">G893</f>
        <v>300000</v>
      </c>
      <c r="H892" s="87">
        <f t="shared" si="248"/>
        <v>0</v>
      </c>
      <c r="I892" s="87">
        <f t="shared" si="248"/>
        <v>0</v>
      </c>
      <c r="J892" s="173"/>
      <c r="K892" s="194"/>
      <c r="L892" s="194"/>
      <c r="M892" s="194"/>
      <c r="N892" s="194"/>
      <c r="O892" s="194"/>
      <c r="P892" s="194"/>
      <c r="Q892" s="194"/>
      <c r="R892" s="194"/>
    </row>
    <row r="893" spans="1:18" s="3" customFormat="1" ht="26.4">
      <c r="A893" s="82" t="s">
        <v>29</v>
      </c>
      <c r="B893" s="145">
        <v>774</v>
      </c>
      <c r="C893" s="84" t="s">
        <v>25</v>
      </c>
      <c r="D893" s="84" t="s">
        <v>27</v>
      </c>
      <c r="E893" s="84" t="s">
        <v>1242</v>
      </c>
      <c r="F893" s="84" t="s">
        <v>30</v>
      </c>
      <c r="G893" s="87">
        <f t="shared" si="248"/>
        <v>300000</v>
      </c>
      <c r="H893" s="87">
        <f t="shared" si="248"/>
        <v>0</v>
      </c>
      <c r="I893" s="87">
        <f t="shared" si="248"/>
        <v>0</v>
      </c>
      <c r="J893" s="173"/>
      <c r="K893" s="194"/>
      <c r="L893" s="194"/>
      <c r="M893" s="194"/>
      <c r="N893" s="194"/>
      <c r="O893" s="194"/>
      <c r="P893" s="194"/>
      <c r="Q893" s="194"/>
      <c r="R893" s="194"/>
    </row>
    <row r="894" spans="1:18" s="3" customFormat="1">
      <c r="A894" s="82" t="s">
        <v>31</v>
      </c>
      <c r="B894" s="145">
        <v>774</v>
      </c>
      <c r="C894" s="84" t="s">
        <v>25</v>
      </c>
      <c r="D894" s="84" t="s">
        <v>27</v>
      </c>
      <c r="E894" s="84" t="s">
        <v>1242</v>
      </c>
      <c r="F894" s="84" t="s">
        <v>32</v>
      </c>
      <c r="G894" s="87">
        <f>прил4!G1029</f>
        <v>300000</v>
      </c>
      <c r="H894" s="87">
        <v>0</v>
      </c>
      <c r="I894" s="87">
        <v>0</v>
      </c>
      <c r="J894" s="173"/>
      <c r="K894" s="194"/>
      <c r="L894" s="194"/>
      <c r="M894" s="194"/>
      <c r="N894" s="194"/>
      <c r="O894" s="194"/>
      <c r="P894" s="194"/>
      <c r="Q894" s="194"/>
      <c r="R894" s="194"/>
    </row>
    <row r="895" spans="1:18" s="3" customFormat="1" ht="92.4">
      <c r="A895" s="130" t="s">
        <v>1504</v>
      </c>
      <c r="B895" s="145">
        <v>774</v>
      </c>
      <c r="C895" s="84" t="s">
        <v>25</v>
      </c>
      <c r="D895" s="84" t="s">
        <v>27</v>
      </c>
      <c r="E895" s="84" t="s">
        <v>1243</v>
      </c>
      <c r="F895" s="84"/>
      <c r="G895" s="87">
        <f t="shared" ref="G895:I905" si="249">G896</f>
        <v>148400</v>
      </c>
      <c r="H895" s="87">
        <f t="shared" si="249"/>
        <v>0</v>
      </c>
      <c r="I895" s="87">
        <f t="shared" si="249"/>
        <v>0</v>
      </c>
      <c r="J895" s="173"/>
      <c r="K895" s="194"/>
      <c r="L895" s="194"/>
      <c r="M895" s="194"/>
      <c r="N895" s="194"/>
      <c r="O895" s="194"/>
      <c r="P895" s="194"/>
      <c r="Q895" s="194"/>
      <c r="R895" s="194"/>
    </row>
    <row r="896" spans="1:18" s="3" customFormat="1" ht="26.4">
      <c r="A896" s="82" t="s">
        <v>29</v>
      </c>
      <c r="B896" s="145">
        <v>774</v>
      </c>
      <c r="C896" s="84" t="s">
        <v>25</v>
      </c>
      <c r="D896" s="84" t="s">
        <v>27</v>
      </c>
      <c r="E896" s="84" t="s">
        <v>1243</v>
      </c>
      <c r="F896" s="84" t="s">
        <v>30</v>
      </c>
      <c r="G896" s="87">
        <f t="shared" si="249"/>
        <v>148400</v>
      </c>
      <c r="H896" s="87">
        <f t="shared" si="249"/>
        <v>0</v>
      </c>
      <c r="I896" s="87">
        <f t="shared" si="249"/>
        <v>0</v>
      </c>
      <c r="J896" s="173"/>
      <c r="K896" s="194"/>
      <c r="L896" s="194"/>
      <c r="M896" s="194"/>
      <c r="N896" s="194"/>
      <c r="O896" s="194"/>
      <c r="P896" s="194"/>
      <c r="Q896" s="194"/>
      <c r="R896" s="194"/>
    </row>
    <row r="897" spans="1:22" s="3" customFormat="1">
      <c r="A897" s="82" t="s">
        <v>31</v>
      </c>
      <c r="B897" s="145">
        <v>774</v>
      </c>
      <c r="C897" s="84" t="s">
        <v>25</v>
      </c>
      <c r="D897" s="84" t="s">
        <v>27</v>
      </c>
      <c r="E897" s="84" t="s">
        <v>1243</v>
      </c>
      <c r="F897" s="84" t="s">
        <v>32</v>
      </c>
      <c r="G897" s="87">
        <f>прил4!G1032</f>
        <v>148400</v>
      </c>
      <c r="H897" s="87">
        <v>0</v>
      </c>
      <c r="I897" s="87">
        <v>0</v>
      </c>
      <c r="J897" s="173"/>
      <c r="K897" s="194"/>
      <c r="L897" s="194"/>
      <c r="M897" s="194"/>
      <c r="N897" s="194"/>
      <c r="O897" s="194"/>
      <c r="P897" s="194"/>
      <c r="Q897" s="194"/>
      <c r="R897" s="194"/>
    </row>
    <row r="898" spans="1:22" s="3" customFormat="1" ht="86.25" customHeight="1">
      <c r="A898" s="82" t="s">
        <v>1505</v>
      </c>
      <c r="B898" s="145">
        <v>774</v>
      </c>
      <c r="C898" s="84" t="s">
        <v>25</v>
      </c>
      <c r="D898" s="84" t="s">
        <v>27</v>
      </c>
      <c r="E898" s="84" t="s">
        <v>1244</v>
      </c>
      <c r="F898" s="84"/>
      <c r="G898" s="87">
        <f t="shared" si="249"/>
        <v>2000000</v>
      </c>
      <c r="H898" s="87">
        <f t="shared" si="249"/>
        <v>0</v>
      </c>
      <c r="I898" s="87">
        <f t="shared" si="249"/>
        <v>0</v>
      </c>
      <c r="J898" s="173"/>
      <c r="K898" s="194"/>
      <c r="L898" s="194"/>
      <c r="M898" s="194"/>
      <c r="N898" s="194"/>
      <c r="O898" s="194"/>
      <c r="P898" s="194"/>
      <c r="Q898" s="194"/>
      <c r="R898" s="194"/>
    </row>
    <row r="899" spans="1:22" s="3" customFormat="1" ht="26.4">
      <c r="A899" s="82" t="s">
        <v>29</v>
      </c>
      <c r="B899" s="145">
        <v>774</v>
      </c>
      <c r="C899" s="84" t="s">
        <v>25</v>
      </c>
      <c r="D899" s="84" t="s">
        <v>27</v>
      </c>
      <c r="E899" s="84" t="s">
        <v>1244</v>
      </c>
      <c r="F899" s="84" t="s">
        <v>30</v>
      </c>
      <c r="G899" s="87">
        <f t="shared" si="249"/>
        <v>2000000</v>
      </c>
      <c r="H899" s="87">
        <f t="shared" si="249"/>
        <v>0</v>
      </c>
      <c r="I899" s="87">
        <f t="shared" si="249"/>
        <v>0</v>
      </c>
      <c r="J899" s="173"/>
      <c r="K899" s="194"/>
      <c r="L899" s="194"/>
      <c r="M899" s="194"/>
      <c r="N899" s="194"/>
      <c r="O899" s="194"/>
      <c r="P899" s="194"/>
      <c r="Q899" s="194"/>
      <c r="R899" s="194"/>
    </row>
    <row r="900" spans="1:22" s="3" customFormat="1">
      <c r="A900" s="82" t="s">
        <v>31</v>
      </c>
      <c r="B900" s="145">
        <v>774</v>
      </c>
      <c r="C900" s="84" t="s">
        <v>25</v>
      </c>
      <c r="D900" s="84" t="s">
        <v>27</v>
      </c>
      <c r="E900" s="84" t="s">
        <v>1244</v>
      </c>
      <c r="F900" s="84" t="s">
        <v>32</v>
      </c>
      <c r="G900" s="87">
        <f>прил4!G1035</f>
        <v>2000000</v>
      </c>
      <c r="H900" s="87">
        <v>0</v>
      </c>
      <c r="I900" s="87">
        <v>0</v>
      </c>
      <c r="J900" s="173"/>
      <c r="K900" s="194"/>
      <c r="L900" s="194"/>
      <c r="M900" s="194"/>
      <c r="N900" s="194"/>
      <c r="O900" s="194"/>
      <c r="P900" s="194"/>
      <c r="Q900" s="194"/>
      <c r="R900" s="194"/>
    </row>
    <row r="901" spans="1:22" s="3" customFormat="1" ht="93.75" customHeight="1">
      <c r="A901" s="130" t="s">
        <v>1506</v>
      </c>
      <c r="B901" s="145">
        <v>774</v>
      </c>
      <c r="C901" s="84" t="s">
        <v>25</v>
      </c>
      <c r="D901" s="84" t="s">
        <v>27</v>
      </c>
      <c r="E901" s="84" t="s">
        <v>1398</v>
      </c>
      <c r="F901" s="84"/>
      <c r="G901" s="87">
        <f t="shared" si="249"/>
        <v>100000</v>
      </c>
      <c r="H901" s="87">
        <f t="shared" si="249"/>
        <v>0</v>
      </c>
      <c r="I901" s="87">
        <f t="shared" si="249"/>
        <v>0</v>
      </c>
      <c r="J901" s="173"/>
      <c r="K901" s="194"/>
      <c r="L901" s="194"/>
      <c r="M901" s="194"/>
      <c r="N901" s="194"/>
      <c r="O901" s="194"/>
      <c r="P901" s="194"/>
      <c r="Q901" s="194"/>
      <c r="R901" s="194"/>
    </row>
    <row r="902" spans="1:22" s="3" customFormat="1" ht="26.4">
      <c r="A902" s="82" t="s">
        <v>29</v>
      </c>
      <c r="B902" s="145">
        <v>774</v>
      </c>
      <c r="C902" s="84" t="s">
        <v>25</v>
      </c>
      <c r="D902" s="84" t="s">
        <v>27</v>
      </c>
      <c r="E902" s="84" t="s">
        <v>1398</v>
      </c>
      <c r="F902" s="84" t="s">
        <v>30</v>
      </c>
      <c r="G902" s="87">
        <f t="shared" si="249"/>
        <v>100000</v>
      </c>
      <c r="H902" s="87">
        <f t="shared" si="249"/>
        <v>0</v>
      </c>
      <c r="I902" s="87">
        <f t="shared" si="249"/>
        <v>0</v>
      </c>
      <c r="J902" s="173"/>
      <c r="K902" s="194"/>
      <c r="L902" s="194"/>
      <c r="M902" s="194"/>
      <c r="N902" s="194"/>
      <c r="O902" s="194"/>
      <c r="P902" s="194"/>
      <c r="Q902" s="194"/>
      <c r="R902" s="194"/>
    </row>
    <row r="903" spans="1:22" s="3" customFormat="1">
      <c r="A903" s="82" t="s">
        <v>31</v>
      </c>
      <c r="B903" s="145">
        <v>774</v>
      </c>
      <c r="C903" s="84" t="s">
        <v>25</v>
      </c>
      <c r="D903" s="84" t="s">
        <v>27</v>
      </c>
      <c r="E903" s="84" t="s">
        <v>1398</v>
      </c>
      <c r="F903" s="84" t="s">
        <v>32</v>
      </c>
      <c r="G903" s="87">
        <f>прил4!G1038</f>
        <v>100000</v>
      </c>
      <c r="H903" s="87">
        <f>прил4!H1038</f>
        <v>0</v>
      </c>
      <c r="I903" s="87">
        <f>прил4!I1038</f>
        <v>0</v>
      </c>
      <c r="J903" s="173"/>
      <c r="K903" s="194"/>
      <c r="L903" s="194"/>
      <c r="M903" s="194"/>
      <c r="N903" s="194"/>
      <c r="O903" s="194"/>
      <c r="P903" s="194"/>
      <c r="Q903" s="194"/>
      <c r="R903" s="194"/>
    </row>
    <row r="904" spans="1:22" s="3" customFormat="1" ht="93.75" customHeight="1">
      <c r="A904" s="82" t="s">
        <v>1452</v>
      </c>
      <c r="B904" s="145">
        <v>774</v>
      </c>
      <c r="C904" s="84" t="s">
        <v>25</v>
      </c>
      <c r="D904" s="84" t="s">
        <v>27</v>
      </c>
      <c r="E904" s="84" t="s">
        <v>1399</v>
      </c>
      <c r="F904" s="84"/>
      <c r="G904" s="87">
        <f t="shared" si="249"/>
        <v>2086610</v>
      </c>
      <c r="H904" s="87">
        <f t="shared" si="249"/>
        <v>0</v>
      </c>
      <c r="I904" s="87">
        <f t="shared" si="249"/>
        <v>0</v>
      </c>
      <c r="J904" s="173"/>
      <c r="K904" s="194"/>
      <c r="L904" s="194"/>
      <c r="M904" s="194"/>
      <c r="N904" s="194"/>
      <c r="O904" s="194"/>
      <c r="P904" s="194"/>
      <c r="Q904" s="194"/>
      <c r="R904" s="194"/>
    </row>
    <row r="905" spans="1:22" s="3" customFormat="1" ht="26.4">
      <c r="A905" s="82" t="s">
        <v>29</v>
      </c>
      <c r="B905" s="145">
        <v>774</v>
      </c>
      <c r="C905" s="84" t="s">
        <v>25</v>
      </c>
      <c r="D905" s="84" t="s">
        <v>27</v>
      </c>
      <c r="E905" s="84" t="s">
        <v>1399</v>
      </c>
      <c r="F905" s="84" t="s">
        <v>30</v>
      </c>
      <c r="G905" s="87">
        <f t="shared" si="249"/>
        <v>2086610</v>
      </c>
      <c r="H905" s="87">
        <f t="shared" si="249"/>
        <v>0</v>
      </c>
      <c r="I905" s="87">
        <f t="shared" si="249"/>
        <v>0</v>
      </c>
      <c r="J905" s="173"/>
      <c r="K905" s="194"/>
      <c r="L905" s="194"/>
      <c r="M905" s="194"/>
      <c r="N905" s="194"/>
      <c r="O905" s="194"/>
      <c r="P905" s="194"/>
      <c r="Q905" s="194"/>
      <c r="R905" s="194"/>
    </row>
    <row r="906" spans="1:22" s="3" customFormat="1">
      <c r="A906" s="82" t="s">
        <v>31</v>
      </c>
      <c r="B906" s="145">
        <v>774</v>
      </c>
      <c r="C906" s="84" t="s">
        <v>25</v>
      </c>
      <c r="D906" s="84" t="s">
        <v>27</v>
      </c>
      <c r="E906" s="84" t="s">
        <v>1399</v>
      </c>
      <c r="F906" s="84" t="s">
        <v>32</v>
      </c>
      <c r="G906" s="87">
        <f>прил4!G1041</f>
        <v>2086610</v>
      </c>
      <c r="H906" s="87">
        <f>прил4!H1041</f>
        <v>0</v>
      </c>
      <c r="I906" s="87">
        <f>прил4!I1041</f>
        <v>0</v>
      </c>
      <c r="J906" s="173"/>
      <c r="K906" s="194"/>
      <c r="L906" s="194"/>
      <c r="M906" s="194"/>
      <c r="N906" s="194"/>
      <c r="O906" s="194"/>
      <c r="P906" s="194"/>
      <c r="Q906" s="194"/>
      <c r="R906" s="194"/>
    </row>
    <row r="907" spans="1:22" s="3" customFormat="1" ht="61.5" customHeight="1">
      <c r="A907" s="82" t="s">
        <v>1328</v>
      </c>
      <c r="B907" s="145">
        <v>774</v>
      </c>
      <c r="C907" s="84" t="s">
        <v>25</v>
      </c>
      <c r="D907" s="84" t="s">
        <v>27</v>
      </c>
      <c r="E907" s="84" t="s">
        <v>1329</v>
      </c>
      <c r="F907" s="84"/>
      <c r="G907" s="87">
        <f t="shared" ref="G907:I908" si="250">G908</f>
        <v>1695231.87</v>
      </c>
      <c r="H907" s="87">
        <f t="shared" si="250"/>
        <v>0</v>
      </c>
      <c r="I907" s="87">
        <f t="shared" si="250"/>
        <v>0</v>
      </c>
      <c r="J907" s="173"/>
      <c r="K907" s="194"/>
      <c r="L907" s="194"/>
      <c r="M907" s="194"/>
      <c r="N907" s="194"/>
      <c r="O907" s="194"/>
      <c r="P907" s="194"/>
      <c r="Q907" s="194"/>
      <c r="R907" s="194"/>
    </row>
    <row r="908" spans="1:22" s="3" customFormat="1" ht="26.4">
      <c r="A908" s="82" t="s">
        <v>29</v>
      </c>
      <c r="B908" s="145">
        <v>774</v>
      </c>
      <c r="C908" s="84" t="s">
        <v>25</v>
      </c>
      <c r="D908" s="84" t="s">
        <v>27</v>
      </c>
      <c r="E908" s="84" t="s">
        <v>1329</v>
      </c>
      <c r="F908" s="84" t="s">
        <v>30</v>
      </c>
      <c r="G908" s="87">
        <f t="shared" si="250"/>
        <v>1695231.87</v>
      </c>
      <c r="H908" s="87">
        <f t="shared" si="250"/>
        <v>0</v>
      </c>
      <c r="I908" s="87">
        <f t="shared" si="250"/>
        <v>0</v>
      </c>
      <c r="J908" s="173"/>
      <c r="K908" s="194"/>
      <c r="L908" s="194"/>
      <c r="M908" s="194"/>
      <c r="N908" s="194"/>
      <c r="O908" s="194"/>
      <c r="P908" s="194"/>
      <c r="Q908" s="194"/>
      <c r="R908" s="194"/>
    </row>
    <row r="909" spans="1:22" s="3" customFormat="1">
      <c r="A909" s="82" t="s">
        <v>31</v>
      </c>
      <c r="B909" s="145">
        <v>774</v>
      </c>
      <c r="C909" s="84" t="s">
        <v>25</v>
      </c>
      <c r="D909" s="84" t="s">
        <v>27</v>
      </c>
      <c r="E909" s="84" t="s">
        <v>1329</v>
      </c>
      <c r="F909" s="84" t="s">
        <v>32</v>
      </c>
      <c r="G909" s="87">
        <f>прил4!G1044</f>
        <v>1695231.87</v>
      </c>
      <c r="H909" s="87">
        <v>0</v>
      </c>
      <c r="I909" s="87">
        <v>0</v>
      </c>
      <c r="J909" s="173"/>
      <c r="K909" s="194"/>
      <c r="L909" s="194"/>
      <c r="M909" s="194"/>
      <c r="N909" s="194"/>
      <c r="O909" s="194"/>
      <c r="P909" s="194"/>
      <c r="Q909" s="194"/>
      <c r="R909" s="194"/>
    </row>
    <row r="910" spans="1:22" s="18" customFormat="1" ht="21.75" customHeight="1">
      <c r="A910" s="13" t="s">
        <v>116</v>
      </c>
      <c r="B910" s="15" t="s">
        <v>50</v>
      </c>
      <c r="C910" s="15" t="s">
        <v>25</v>
      </c>
      <c r="D910" s="15" t="s">
        <v>25</v>
      </c>
      <c r="E910" s="15" t="s">
        <v>184</v>
      </c>
      <c r="F910" s="15"/>
      <c r="G910" s="70">
        <f>G913+G946+G949+G950+G914+G917+G953+G958+G963+G968+G971+G920+G974+G977+G923</f>
        <v>6127688.79</v>
      </c>
      <c r="H910" s="70">
        <f>H913+H946+H949+H950+H914+H917+H953+H958+H963+H968+H971+H920+H974+H933</f>
        <v>5670475.4000000004</v>
      </c>
      <c r="I910" s="70">
        <f>I913+I946+I949+I950+I914+I917+I953+I958+I963+I968+I971+I920+I974+I933</f>
        <v>5877303.2400000002</v>
      </c>
      <c r="J910" s="17"/>
      <c r="P910" s="17"/>
      <c r="Q910" s="17"/>
      <c r="R910" s="17"/>
      <c r="S910" s="17"/>
      <c r="T910" s="17"/>
      <c r="V910" s="17"/>
    </row>
    <row r="911" spans="1:22" s="18" customFormat="1" ht="72.75" customHeight="1">
      <c r="A911" s="104" t="s">
        <v>1047</v>
      </c>
      <c r="B911" s="15" t="s">
        <v>92</v>
      </c>
      <c r="C911" s="15" t="s">
        <v>25</v>
      </c>
      <c r="D911" s="15" t="s">
        <v>25</v>
      </c>
      <c r="E911" s="15" t="s">
        <v>185</v>
      </c>
      <c r="F911" s="15"/>
      <c r="G911" s="70">
        <f t="shared" ref="G911:I912" si="251">G912</f>
        <v>4971604.92</v>
      </c>
      <c r="H911" s="70">
        <f t="shared" si="251"/>
        <v>5170475.4000000004</v>
      </c>
      <c r="I911" s="70">
        <f t="shared" si="251"/>
        <v>5377303.2400000002</v>
      </c>
      <c r="J911" s="17"/>
      <c r="P911" s="17"/>
      <c r="Q911" s="17"/>
      <c r="R911" s="17"/>
      <c r="S911" s="17"/>
      <c r="T911" s="17"/>
      <c r="V911" s="17"/>
    </row>
    <row r="912" spans="1:22" s="18" customFormat="1" ht="33" customHeight="1">
      <c r="A912" s="16" t="s">
        <v>29</v>
      </c>
      <c r="B912" s="15" t="s">
        <v>92</v>
      </c>
      <c r="C912" s="15" t="s">
        <v>25</v>
      </c>
      <c r="D912" s="15" t="s">
        <v>25</v>
      </c>
      <c r="E912" s="15" t="s">
        <v>185</v>
      </c>
      <c r="F912" s="15" t="s">
        <v>30</v>
      </c>
      <c r="G912" s="70">
        <f t="shared" si="251"/>
        <v>4971604.92</v>
      </c>
      <c r="H912" s="70">
        <f t="shared" si="251"/>
        <v>5170475.4000000004</v>
      </c>
      <c r="I912" s="70">
        <f t="shared" si="251"/>
        <v>5377303.2400000002</v>
      </c>
      <c r="J912" s="17"/>
      <c r="P912" s="17"/>
      <c r="Q912" s="17"/>
      <c r="R912" s="17"/>
      <c r="S912" s="17"/>
      <c r="T912" s="17"/>
    </row>
    <row r="913" spans="1:20" s="18" customFormat="1">
      <c r="A913" s="16" t="s">
        <v>31</v>
      </c>
      <c r="B913" s="15" t="s">
        <v>92</v>
      </c>
      <c r="C913" s="15" t="s">
        <v>25</v>
      </c>
      <c r="D913" s="15" t="s">
        <v>25</v>
      </c>
      <c r="E913" s="15" t="s">
        <v>185</v>
      </c>
      <c r="F913" s="15" t="s">
        <v>32</v>
      </c>
      <c r="G913" s="70">
        <f>прил4!G1262+прил4!G150</f>
        <v>4971604.92</v>
      </c>
      <c r="H913" s="70">
        <f>прил4!H1262+прил4!H150</f>
        <v>5170475.4000000004</v>
      </c>
      <c r="I913" s="70">
        <f>прил4!I1262+прил4!I150</f>
        <v>5377303.2400000002</v>
      </c>
      <c r="J913" s="17"/>
      <c r="P913" s="17"/>
      <c r="Q913" s="17"/>
      <c r="R913" s="17"/>
      <c r="S913" s="17"/>
      <c r="T913" s="17"/>
    </row>
    <row r="914" spans="1:20" s="18" customFormat="1" ht="26.4" hidden="1">
      <c r="A914" s="16" t="s">
        <v>624</v>
      </c>
      <c r="B914" s="15" t="s">
        <v>92</v>
      </c>
      <c r="C914" s="15" t="s">
        <v>25</v>
      </c>
      <c r="D914" s="15" t="s">
        <v>25</v>
      </c>
      <c r="E914" s="15" t="s">
        <v>623</v>
      </c>
      <c r="F914" s="15"/>
      <c r="G914" s="70">
        <f>G915</f>
        <v>0</v>
      </c>
      <c r="H914" s="70">
        <f>H915</f>
        <v>0</v>
      </c>
      <c r="I914" s="70">
        <f>I915</f>
        <v>0</v>
      </c>
      <c r="P914" s="17"/>
      <c r="Q914" s="17"/>
      <c r="R914" s="17"/>
      <c r="S914" s="17"/>
      <c r="T914" s="17"/>
    </row>
    <row r="915" spans="1:20" s="18" customFormat="1" ht="26.4" hidden="1">
      <c r="A915" s="16" t="s">
        <v>29</v>
      </c>
      <c r="B915" s="15" t="s">
        <v>92</v>
      </c>
      <c r="C915" s="15" t="s">
        <v>25</v>
      </c>
      <c r="D915" s="15" t="s">
        <v>25</v>
      </c>
      <c r="E915" s="15" t="s">
        <v>623</v>
      </c>
      <c r="F915" s="15" t="s">
        <v>30</v>
      </c>
      <c r="G915" s="70">
        <f>G916</f>
        <v>0</v>
      </c>
      <c r="H915" s="70"/>
      <c r="I915" s="70"/>
      <c r="P915" s="17"/>
      <c r="Q915" s="17"/>
      <c r="R915" s="17"/>
      <c r="S915" s="17"/>
      <c r="T915" s="17"/>
    </row>
    <row r="916" spans="1:20" s="18" customFormat="1" hidden="1">
      <c r="A916" s="16" t="s">
        <v>31</v>
      </c>
      <c r="B916" s="15" t="s">
        <v>92</v>
      </c>
      <c r="C916" s="15" t="s">
        <v>25</v>
      </c>
      <c r="D916" s="15" t="s">
        <v>25</v>
      </c>
      <c r="E916" s="15" t="s">
        <v>623</v>
      </c>
      <c r="F916" s="15" t="s">
        <v>32</v>
      </c>
      <c r="G916" s="70">
        <f>прил4!G1271</f>
        <v>0</v>
      </c>
      <c r="H916" s="70">
        <f>H917</f>
        <v>0</v>
      </c>
      <c r="I916" s="70">
        <f>I917</f>
        <v>0</v>
      </c>
      <c r="P916" s="17"/>
      <c r="Q916" s="17"/>
      <c r="R916" s="17"/>
      <c r="S916" s="17"/>
      <c r="T916" s="17"/>
    </row>
    <row r="917" spans="1:20" s="3" customFormat="1" ht="26.4" hidden="1">
      <c r="A917" s="16" t="s">
        <v>292</v>
      </c>
      <c r="B917" s="14">
        <v>774</v>
      </c>
      <c r="C917" s="15" t="s">
        <v>25</v>
      </c>
      <c r="D917" s="15" t="s">
        <v>25</v>
      </c>
      <c r="E917" s="15" t="s">
        <v>558</v>
      </c>
      <c r="F917" s="15"/>
      <c r="G917" s="70">
        <f t="shared" ref="G917:I918" si="252">G918</f>
        <v>0</v>
      </c>
      <c r="H917" s="70">
        <f t="shared" si="252"/>
        <v>0</v>
      </c>
      <c r="I917" s="70">
        <f t="shared" si="252"/>
        <v>0</v>
      </c>
      <c r="J917" s="173"/>
      <c r="K917" s="194"/>
      <c r="L917" s="194"/>
      <c r="M917" s="194"/>
      <c r="N917" s="194"/>
      <c r="O917" s="194"/>
      <c r="P917" s="194"/>
      <c r="Q917" s="194"/>
      <c r="R917" s="194"/>
    </row>
    <row r="918" spans="1:20" s="3" customFormat="1" ht="26.4" hidden="1">
      <c r="A918" s="16" t="s">
        <v>29</v>
      </c>
      <c r="B918" s="14">
        <v>774</v>
      </c>
      <c r="C918" s="15" t="s">
        <v>25</v>
      </c>
      <c r="D918" s="15" t="s">
        <v>25</v>
      </c>
      <c r="E918" s="15" t="s">
        <v>558</v>
      </c>
      <c r="F918" s="15" t="s">
        <v>30</v>
      </c>
      <c r="G918" s="70">
        <f t="shared" si="252"/>
        <v>0</v>
      </c>
      <c r="H918" s="70">
        <f t="shared" si="252"/>
        <v>0</v>
      </c>
      <c r="I918" s="70">
        <f t="shared" si="252"/>
        <v>0</v>
      </c>
      <c r="J918" s="173"/>
      <c r="K918" s="194"/>
      <c r="L918" s="194"/>
      <c r="M918" s="194"/>
      <c r="N918" s="194"/>
      <c r="O918" s="194"/>
      <c r="P918" s="194"/>
      <c r="Q918" s="194"/>
      <c r="R918" s="194"/>
    </row>
    <row r="919" spans="1:20" s="3" customFormat="1" hidden="1">
      <c r="A919" s="16" t="s">
        <v>31</v>
      </c>
      <c r="B919" s="14">
        <v>774</v>
      </c>
      <c r="C919" s="15" t="s">
        <v>25</v>
      </c>
      <c r="D919" s="15" t="s">
        <v>25</v>
      </c>
      <c r="E919" s="15" t="s">
        <v>558</v>
      </c>
      <c r="F919" s="15" t="s">
        <v>32</v>
      </c>
      <c r="G919" s="70"/>
      <c r="H919" s="70">
        <v>0</v>
      </c>
      <c r="I919" s="70">
        <v>0</v>
      </c>
      <c r="J919" s="173"/>
      <c r="K919" s="194"/>
      <c r="L919" s="194"/>
      <c r="M919" s="194"/>
      <c r="N919" s="194"/>
      <c r="O919" s="194"/>
      <c r="P919" s="194"/>
      <c r="Q919" s="194"/>
      <c r="R919" s="194"/>
    </row>
    <row r="920" spans="1:20" s="3" customFormat="1" ht="52.8" hidden="1">
      <c r="A920" s="16" t="s">
        <v>412</v>
      </c>
      <c r="B920" s="14">
        <v>774</v>
      </c>
      <c r="C920" s="15" t="s">
        <v>25</v>
      </c>
      <c r="D920" s="15" t="s">
        <v>25</v>
      </c>
      <c r="E920" s="15" t="s">
        <v>411</v>
      </c>
      <c r="F920" s="15"/>
      <c r="G920" s="70">
        <f t="shared" ref="G920:I921" si="253">G921</f>
        <v>0</v>
      </c>
      <c r="H920" s="70">
        <f t="shared" si="253"/>
        <v>0</v>
      </c>
      <c r="I920" s="70">
        <f t="shared" si="253"/>
        <v>0</v>
      </c>
      <c r="J920" s="173"/>
      <c r="K920" s="194"/>
      <c r="L920" s="194"/>
      <c r="M920" s="194"/>
      <c r="N920" s="194"/>
      <c r="O920" s="194"/>
      <c r="P920" s="194"/>
      <c r="Q920" s="194"/>
      <c r="R920" s="194"/>
    </row>
    <row r="921" spans="1:20" s="3" customFormat="1" ht="26.4" hidden="1">
      <c r="A921" s="16" t="s">
        <v>29</v>
      </c>
      <c r="B921" s="14">
        <v>774</v>
      </c>
      <c r="C921" s="15" t="s">
        <v>25</v>
      </c>
      <c r="D921" s="15" t="s">
        <v>25</v>
      </c>
      <c r="E921" s="15" t="s">
        <v>411</v>
      </c>
      <c r="F921" s="15" t="s">
        <v>30</v>
      </c>
      <c r="G921" s="70">
        <f t="shared" si="253"/>
        <v>0</v>
      </c>
      <c r="H921" s="70">
        <f t="shared" si="253"/>
        <v>0</v>
      </c>
      <c r="I921" s="70">
        <f t="shared" si="253"/>
        <v>0</v>
      </c>
      <c r="J921" s="173"/>
      <c r="K921" s="194"/>
      <c r="L921" s="194"/>
      <c r="M921" s="194"/>
      <c r="N921" s="194"/>
      <c r="O921" s="194"/>
      <c r="P921" s="194"/>
      <c r="Q921" s="194"/>
      <c r="R921" s="194"/>
    </row>
    <row r="922" spans="1:20" s="3" customFormat="1" hidden="1">
      <c r="A922" s="16" t="s">
        <v>31</v>
      </c>
      <c r="B922" s="14">
        <v>774</v>
      </c>
      <c r="C922" s="15" t="s">
        <v>25</v>
      </c>
      <c r="D922" s="15" t="s">
        <v>25</v>
      </c>
      <c r="E922" s="15" t="s">
        <v>411</v>
      </c>
      <c r="F922" s="15" t="s">
        <v>32</v>
      </c>
      <c r="G922" s="70">
        <f>прил4!G1281</f>
        <v>0</v>
      </c>
      <c r="H922" s="70">
        <f>прил4!H1281</f>
        <v>0</v>
      </c>
      <c r="I922" s="70">
        <f>прил4!I1281</f>
        <v>0</v>
      </c>
      <c r="J922" s="173"/>
      <c r="K922" s="194"/>
      <c r="L922" s="194"/>
      <c r="M922" s="194"/>
      <c r="N922" s="194"/>
      <c r="O922" s="194"/>
      <c r="P922" s="194"/>
      <c r="Q922" s="194"/>
      <c r="R922" s="194"/>
    </row>
    <row r="923" spans="1:20" s="18" customFormat="1" ht="34.5" customHeight="1">
      <c r="A923" s="13" t="s">
        <v>1388</v>
      </c>
      <c r="B923" s="15" t="s">
        <v>92</v>
      </c>
      <c r="C923" s="15" t="s">
        <v>25</v>
      </c>
      <c r="D923" s="15" t="s">
        <v>25</v>
      </c>
      <c r="E923" s="15" t="s">
        <v>1387</v>
      </c>
      <c r="F923" s="15"/>
      <c r="G923" s="70">
        <f>G932+G934</f>
        <v>50786.869999999995</v>
      </c>
      <c r="H923" s="70">
        <f>H932</f>
        <v>0</v>
      </c>
      <c r="I923" s="70">
        <f>I932</f>
        <v>0</v>
      </c>
      <c r="J923" s="17"/>
      <c r="P923" s="17"/>
      <c r="Q923" s="17"/>
      <c r="R923" s="17"/>
      <c r="S923" s="17"/>
      <c r="T923" s="17"/>
    </row>
    <row r="924" spans="1:20" s="18" customFormat="1" ht="26.4" hidden="1">
      <c r="A924" s="16" t="s">
        <v>35</v>
      </c>
      <c r="B924" s="15" t="s">
        <v>92</v>
      </c>
      <c r="C924" s="15" t="s">
        <v>25</v>
      </c>
      <c r="D924" s="15" t="s">
        <v>25</v>
      </c>
      <c r="E924" s="15" t="s">
        <v>186</v>
      </c>
      <c r="F924" s="15" t="s">
        <v>36</v>
      </c>
      <c r="G924" s="70">
        <f>G925</f>
        <v>6102744.6200000001</v>
      </c>
      <c r="H924" s="70">
        <f>H925</f>
        <v>0</v>
      </c>
      <c r="I924" s="70">
        <f>I925</f>
        <v>0</v>
      </c>
      <c r="J924" s="17"/>
      <c r="P924" s="17"/>
      <c r="Q924" s="17"/>
      <c r="R924" s="17"/>
      <c r="S924" s="17"/>
      <c r="T924" s="17"/>
    </row>
    <row r="925" spans="1:20" s="18" customFormat="1" ht="26.4" hidden="1">
      <c r="A925" s="16" t="s">
        <v>37</v>
      </c>
      <c r="B925" s="15" t="s">
        <v>92</v>
      </c>
      <c r="C925" s="15" t="s">
        <v>25</v>
      </c>
      <c r="D925" s="15" t="s">
        <v>25</v>
      </c>
      <c r="E925" s="15" t="s">
        <v>186</v>
      </c>
      <c r="F925" s="15" t="s">
        <v>38</v>
      </c>
      <c r="G925" s="70">
        <f>прил4!G1256</f>
        <v>6102744.6200000001</v>
      </c>
      <c r="H925" s="70">
        <f>прил4!AH1256</f>
        <v>0</v>
      </c>
      <c r="I925" s="70">
        <f>прил4!AI1256</f>
        <v>0</v>
      </c>
      <c r="J925" s="17"/>
      <c r="P925" s="17"/>
      <c r="Q925" s="17"/>
      <c r="R925" s="17"/>
      <c r="S925" s="17"/>
      <c r="T925" s="17"/>
    </row>
    <row r="926" spans="1:20" s="18" customFormat="1" ht="14.25" hidden="1" customHeight="1">
      <c r="A926" s="16" t="s">
        <v>144</v>
      </c>
      <c r="B926" s="15" t="s">
        <v>92</v>
      </c>
      <c r="C926" s="15" t="s">
        <v>25</v>
      </c>
      <c r="D926" s="15" t="s">
        <v>25</v>
      </c>
      <c r="E926" s="15" t="s">
        <v>186</v>
      </c>
      <c r="F926" s="15" t="s">
        <v>145</v>
      </c>
      <c r="G926" s="70">
        <f>G927</f>
        <v>0</v>
      </c>
      <c r="H926" s="70">
        <f>H927</f>
        <v>0</v>
      </c>
      <c r="I926" s="70">
        <f>I927</f>
        <v>0</v>
      </c>
      <c r="J926" s="17"/>
      <c r="P926" s="17"/>
      <c r="Q926" s="17"/>
      <c r="R926" s="17"/>
      <c r="S926" s="17"/>
      <c r="T926" s="17"/>
    </row>
    <row r="927" spans="1:20" s="18" customFormat="1" ht="27" hidden="1" customHeight="1">
      <c r="A927" s="16" t="s">
        <v>146</v>
      </c>
      <c r="B927" s="15" t="s">
        <v>92</v>
      </c>
      <c r="C927" s="15" t="s">
        <v>25</v>
      </c>
      <c r="D927" s="15" t="s">
        <v>25</v>
      </c>
      <c r="E927" s="15" t="s">
        <v>186</v>
      </c>
      <c r="F927" s="15" t="s">
        <v>147</v>
      </c>
      <c r="G927" s="70"/>
      <c r="H927" s="70"/>
      <c r="I927" s="70"/>
      <c r="J927" s="17"/>
      <c r="P927" s="17"/>
      <c r="Q927" s="17"/>
      <c r="R927" s="17"/>
      <c r="S927" s="17"/>
      <c r="T927" s="17"/>
    </row>
    <row r="928" spans="1:20" s="18" customFormat="1" hidden="1">
      <c r="A928" s="16" t="s">
        <v>144</v>
      </c>
      <c r="B928" s="15" t="s">
        <v>92</v>
      </c>
      <c r="C928" s="15" t="s">
        <v>25</v>
      </c>
      <c r="D928" s="15" t="s">
        <v>25</v>
      </c>
      <c r="E928" s="15" t="s">
        <v>186</v>
      </c>
      <c r="F928" s="15" t="s">
        <v>145</v>
      </c>
      <c r="G928" s="70">
        <f>G929</f>
        <v>4971604.92</v>
      </c>
      <c r="H928" s="70">
        <f>H929</f>
        <v>0</v>
      </c>
      <c r="I928" s="70">
        <f>I929</f>
        <v>0</v>
      </c>
      <c r="J928" s="17"/>
      <c r="P928" s="17"/>
      <c r="Q928" s="17"/>
      <c r="R928" s="17"/>
      <c r="S928" s="17"/>
      <c r="T928" s="17"/>
    </row>
    <row r="929" spans="1:20" s="18" customFormat="1" ht="26.4" hidden="1">
      <c r="A929" s="16" t="s">
        <v>146</v>
      </c>
      <c r="B929" s="15" t="s">
        <v>92</v>
      </c>
      <c r="C929" s="15" t="s">
        <v>25</v>
      </c>
      <c r="D929" s="15" t="s">
        <v>25</v>
      </c>
      <c r="E929" s="15" t="s">
        <v>186</v>
      </c>
      <c r="F929" s="15" t="s">
        <v>147</v>
      </c>
      <c r="G929" s="70">
        <f>прил4!G1258</f>
        <v>4971604.92</v>
      </c>
      <c r="H929" s="70">
        <f>прил4!AH1258</f>
        <v>0</v>
      </c>
      <c r="I929" s="70">
        <f>прил4!AI1258</f>
        <v>0</v>
      </c>
      <c r="J929" s="17"/>
      <c r="P929" s="17"/>
      <c r="Q929" s="17"/>
      <c r="R929" s="17"/>
      <c r="S929" s="17"/>
      <c r="T929" s="17"/>
    </row>
    <row r="930" spans="1:20" s="18" customFormat="1" ht="26.4" hidden="1">
      <c r="A930" s="16" t="s">
        <v>29</v>
      </c>
      <c r="B930" s="15" t="s">
        <v>92</v>
      </c>
      <c r="C930" s="15" t="s">
        <v>25</v>
      </c>
      <c r="D930" s="15" t="s">
        <v>25</v>
      </c>
      <c r="E930" s="15" t="s">
        <v>186</v>
      </c>
      <c r="F930" s="15" t="s">
        <v>30</v>
      </c>
      <c r="G930" s="70">
        <f>G931</f>
        <v>0</v>
      </c>
      <c r="H930" s="70">
        <f>H931</f>
        <v>0</v>
      </c>
      <c r="I930" s="70">
        <f>I931</f>
        <v>0</v>
      </c>
      <c r="J930" s="17"/>
      <c r="P930" s="17"/>
      <c r="Q930" s="17"/>
      <c r="R930" s="17"/>
      <c r="S930" s="17"/>
      <c r="T930" s="17"/>
    </row>
    <row r="931" spans="1:20" s="18" customFormat="1" hidden="1">
      <c r="A931" s="16" t="s">
        <v>31</v>
      </c>
      <c r="B931" s="15" t="s">
        <v>92</v>
      </c>
      <c r="C931" s="15" t="s">
        <v>25</v>
      </c>
      <c r="D931" s="15" t="s">
        <v>25</v>
      </c>
      <c r="E931" s="15" t="s">
        <v>186</v>
      </c>
      <c r="F931" s="15" t="s">
        <v>32</v>
      </c>
      <c r="G931" s="70">
        <f>прил4!G1260</f>
        <v>0</v>
      </c>
      <c r="H931" s="70">
        <f>прил4!AH1260</f>
        <v>0</v>
      </c>
      <c r="I931" s="70">
        <f>прил4!AI1260</f>
        <v>0</v>
      </c>
      <c r="J931" s="17"/>
      <c r="P931" s="17"/>
      <c r="Q931" s="17"/>
      <c r="R931" s="17"/>
      <c r="S931" s="17"/>
      <c r="T931" s="17"/>
    </row>
    <row r="932" spans="1:20" s="18" customFormat="1" ht="28.5" customHeight="1">
      <c r="A932" s="16" t="s">
        <v>35</v>
      </c>
      <c r="B932" s="15" t="s">
        <v>92</v>
      </c>
      <c r="C932" s="15" t="s">
        <v>25</v>
      </c>
      <c r="D932" s="15" t="s">
        <v>25</v>
      </c>
      <c r="E932" s="15" t="s">
        <v>1387</v>
      </c>
      <c r="F932" s="15" t="s">
        <v>36</v>
      </c>
      <c r="G932" s="70">
        <f>G933</f>
        <v>25842.699999999997</v>
      </c>
      <c r="H932" s="70">
        <f t="shared" ref="H932:I932" si="254">H933</f>
        <v>0</v>
      </c>
      <c r="I932" s="70">
        <f t="shared" si="254"/>
        <v>0</v>
      </c>
      <c r="J932" s="17"/>
      <c r="P932" s="17"/>
      <c r="Q932" s="17"/>
      <c r="R932" s="17"/>
      <c r="S932" s="17"/>
      <c r="T932" s="17"/>
    </row>
    <row r="933" spans="1:20" s="18" customFormat="1" ht="26.4">
      <c r="A933" s="16" t="s">
        <v>37</v>
      </c>
      <c r="B933" s="15" t="s">
        <v>92</v>
      </c>
      <c r="C933" s="15" t="s">
        <v>25</v>
      </c>
      <c r="D933" s="15" t="s">
        <v>25</v>
      </c>
      <c r="E933" s="15" t="s">
        <v>1387</v>
      </c>
      <c r="F933" s="15" t="s">
        <v>38</v>
      </c>
      <c r="G933" s="70">
        <f>прил4!G1265</f>
        <v>25842.699999999997</v>
      </c>
      <c r="H933" s="70">
        <f>прил4!H1265</f>
        <v>0</v>
      </c>
      <c r="I933" s="70">
        <f>прил4!I1265</f>
        <v>0</v>
      </c>
      <c r="J933" s="17"/>
      <c r="P933" s="17"/>
      <c r="Q933" s="17"/>
      <c r="R933" s="17"/>
      <c r="S933" s="17"/>
      <c r="T933" s="17"/>
    </row>
    <row r="934" spans="1:20" s="18" customFormat="1" ht="33" customHeight="1">
      <c r="A934" s="16" t="s">
        <v>29</v>
      </c>
      <c r="B934" s="15" t="s">
        <v>92</v>
      </c>
      <c r="C934" s="15" t="s">
        <v>25</v>
      </c>
      <c r="D934" s="15" t="s">
        <v>25</v>
      </c>
      <c r="E934" s="15" t="s">
        <v>1387</v>
      </c>
      <c r="F934" s="15" t="s">
        <v>30</v>
      </c>
      <c r="G934" s="70">
        <f t="shared" ref="G934:I934" si="255">G935</f>
        <v>24944.17</v>
      </c>
      <c r="H934" s="70">
        <f t="shared" si="255"/>
        <v>200050</v>
      </c>
      <c r="I934" s="70">
        <f t="shared" si="255"/>
        <v>200050</v>
      </c>
      <c r="J934" s="17"/>
      <c r="P934" s="17"/>
      <c r="Q934" s="17"/>
      <c r="R934" s="17"/>
      <c r="S934" s="17"/>
      <c r="T934" s="17"/>
    </row>
    <row r="935" spans="1:20" s="18" customFormat="1">
      <c r="A935" s="16" t="s">
        <v>31</v>
      </c>
      <c r="B935" s="15" t="s">
        <v>92</v>
      </c>
      <c r="C935" s="15" t="s">
        <v>25</v>
      </c>
      <c r="D935" s="15" t="s">
        <v>25</v>
      </c>
      <c r="E935" s="15" t="s">
        <v>1387</v>
      </c>
      <c r="F935" s="15" t="s">
        <v>32</v>
      </c>
      <c r="G935" s="70">
        <v>24944.17</v>
      </c>
      <c r="H935" s="70">
        <f>прил4!H1284+прил4!H172</f>
        <v>200050</v>
      </c>
      <c r="I935" s="70">
        <f>прил4!I1284+прил4!I172</f>
        <v>200050</v>
      </c>
      <c r="J935" s="17"/>
      <c r="P935" s="17"/>
      <c r="Q935" s="17"/>
      <c r="R935" s="17"/>
      <c r="S935" s="17"/>
      <c r="T935" s="17"/>
    </row>
    <row r="936" spans="1:20" s="18" customFormat="1" ht="75" customHeight="1">
      <c r="A936" s="13" t="s">
        <v>126</v>
      </c>
      <c r="B936" s="15" t="s">
        <v>92</v>
      </c>
      <c r="C936" s="15" t="s">
        <v>25</v>
      </c>
      <c r="D936" s="15" t="s">
        <v>25</v>
      </c>
      <c r="E936" s="15" t="s">
        <v>186</v>
      </c>
      <c r="F936" s="15"/>
      <c r="G936" s="70">
        <f>G937+G943+G939+G942+G945</f>
        <v>1890741.96</v>
      </c>
      <c r="H936" s="70">
        <f t="shared" ref="H936:I936" si="256">H937+H943+H939+H942+H945</f>
        <v>500000</v>
      </c>
      <c r="I936" s="70">
        <f t="shared" si="256"/>
        <v>500000</v>
      </c>
      <c r="J936" s="17"/>
      <c r="P936" s="17"/>
      <c r="Q936" s="17"/>
      <c r="R936" s="17"/>
      <c r="S936" s="17"/>
      <c r="T936" s="17"/>
    </row>
    <row r="937" spans="1:20" s="18" customFormat="1" ht="26.4" hidden="1">
      <c r="A937" s="16" t="s">
        <v>35</v>
      </c>
      <c r="B937" s="15" t="s">
        <v>92</v>
      </c>
      <c r="C937" s="15" t="s">
        <v>25</v>
      </c>
      <c r="D937" s="15" t="s">
        <v>25</v>
      </c>
      <c r="E937" s="15" t="s">
        <v>186</v>
      </c>
      <c r="F937" s="15" t="s">
        <v>36</v>
      </c>
      <c r="G937" s="70">
        <f>G938</f>
        <v>0</v>
      </c>
      <c r="H937" s="87">
        <f>H938</f>
        <v>0</v>
      </c>
      <c r="I937" s="87">
        <f>I938</f>
        <v>0</v>
      </c>
      <c r="J937" s="17"/>
      <c r="P937" s="17"/>
      <c r="Q937" s="17"/>
      <c r="R937" s="17"/>
      <c r="S937" s="17"/>
      <c r="T937" s="17"/>
    </row>
    <row r="938" spans="1:20" s="18" customFormat="1" ht="26.4" hidden="1">
      <c r="A938" s="16" t="s">
        <v>37</v>
      </c>
      <c r="B938" s="15" t="s">
        <v>92</v>
      </c>
      <c r="C938" s="15" t="s">
        <v>25</v>
      </c>
      <c r="D938" s="15" t="s">
        <v>25</v>
      </c>
      <c r="E938" s="15" t="s">
        <v>186</v>
      </c>
      <c r="F938" s="15" t="s">
        <v>38</v>
      </c>
      <c r="G938" s="70">
        <f>прил4!G1270</f>
        <v>0</v>
      </c>
      <c r="H938" s="87">
        <f>прил4!AH1270</f>
        <v>0</v>
      </c>
      <c r="I938" s="87">
        <f>прил4!AI1270</f>
        <v>0</v>
      </c>
      <c r="J938" s="17"/>
      <c r="P938" s="17"/>
      <c r="Q938" s="17"/>
      <c r="R938" s="17"/>
      <c r="S938" s="17"/>
      <c r="T938" s="17"/>
    </row>
    <row r="939" spans="1:20" s="18" customFormat="1" ht="14.25" hidden="1" customHeight="1">
      <c r="A939" s="16" t="s">
        <v>144</v>
      </c>
      <c r="B939" s="15" t="s">
        <v>92</v>
      </c>
      <c r="C939" s="15" t="s">
        <v>25</v>
      </c>
      <c r="D939" s="15" t="s">
        <v>25</v>
      </c>
      <c r="E939" s="15" t="s">
        <v>186</v>
      </c>
      <c r="F939" s="15" t="s">
        <v>145</v>
      </c>
      <c r="G939" s="70">
        <f>G940</f>
        <v>0</v>
      </c>
      <c r="H939" s="87">
        <f>H940</f>
        <v>0</v>
      </c>
      <c r="I939" s="87">
        <f>I940</f>
        <v>0</v>
      </c>
      <c r="J939" s="17"/>
      <c r="P939" s="17"/>
      <c r="Q939" s="17"/>
      <c r="R939" s="17"/>
      <c r="S939" s="17"/>
      <c r="T939" s="17"/>
    </row>
    <row r="940" spans="1:20" s="18" customFormat="1" ht="27" hidden="1" customHeight="1">
      <c r="A940" s="16" t="s">
        <v>146</v>
      </c>
      <c r="B940" s="15" t="s">
        <v>92</v>
      </c>
      <c r="C940" s="15" t="s">
        <v>25</v>
      </c>
      <c r="D940" s="15" t="s">
        <v>25</v>
      </c>
      <c r="E940" s="15" t="s">
        <v>186</v>
      </c>
      <c r="F940" s="15" t="s">
        <v>147</v>
      </c>
      <c r="G940" s="70"/>
      <c r="H940" s="87"/>
      <c r="I940" s="87"/>
      <c r="J940" s="17"/>
      <c r="P940" s="17"/>
      <c r="Q940" s="17"/>
      <c r="R940" s="17"/>
      <c r="S940" s="17"/>
      <c r="T940" s="17"/>
    </row>
    <row r="941" spans="1:20" s="18" customFormat="1" hidden="1">
      <c r="A941" s="16" t="s">
        <v>144</v>
      </c>
      <c r="B941" s="15" t="s">
        <v>92</v>
      </c>
      <c r="C941" s="15" t="s">
        <v>25</v>
      </c>
      <c r="D941" s="15" t="s">
        <v>25</v>
      </c>
      <c r="E941" s="15" t="s">
        <v>186</v>
      </c>
      <c r="F941" s="15" t="s">
        <v>145</v>
      </c>
      <c r="G941" s="70">
        <f>G942</f>
        <v>785444.96</v>
      </c>
      <c r="H941" s="87">
        <f>H942</f>
        <v>0</v>
      </c>
      <c r="I941" s="87">
        <f>I942</f>
        <v>0</v>
      </c>
      <c r="J941" s="17"/>
      <c r="P941" s="17"/>
      <c r="Q941" s="17"/>
      <c r="R941" s="17"/>
      <c r="S941" s="17"/>
      <c r="T941" s="17"/>
    </row>
    <row r="942" spans="1:20" s="18" customFormat="1" ht="26.4" hidden="1">
      <c r="A942" s="16" t="s">
        <v>146</v>
      </c>
      <c r="B942" s="15" t="s">
        <v>92</v>
      </c>
      <c r="C942" s="15" t="s">
        <v>25</v>
      </c>
      <c r="D942" s="15" t="s">
        <v>25</v>
      </c>
      <c r="E942" s="15" t="s">
        <v>186</v>
      </c>
      <c r="F942" s="15" t="s">
        <v>147</v>
      </c>
      <c r="G942" s="70">
        <f>прил4!G1272</f>
        <v>785444.96</v>
      </c>
      <c r="H942" s="87">
        <f>прил4!AH1272</f>
        <v>0</v>
      </c>
      <c r="I942" s="87">
        <f>прил4!AI1272</f>
        <v>0</v>
      </c>
      <c r="J942" s="17"/>
      <c r="P942" s="17"/>
      <c r="Q942" s="17"/>
      <c r="R942" s="17"/>
      <c r="S942" s="17"/>
      <c r="T942" s="17"/>
    </row>
    <row r="943" spans="1:20" s="18" customFormat="1" ht="26.4" hidden="1">
      <c r="A943" s="16" t="s">
        <v>29</v>
      </c>
      <c r="B943" s="15" t="s">
        <v>92</v>
      </c>
      <c r="C943" s="15" t="s">
        <v>25</v>
      </c>
      <c r="D943" s="15" t="s">
        <v>25</v>
      </c>
      <c r="E943" s="15" t="s">
        <v>186</v>
      </c>
      <c r="F943" s="15" t="s">
        <v>30</v>
      </c>
      <c r="G943" s="70">
        <f>G944</f>
        <v>785444.96</v>
      </c>
      <c r="H943" s="87">
        <f>H944</f>
        <v>0</v>
      </c>
      <c r="I943" s="87">
        <f>I944</f>
        <v>0</v>
      </c>
      <c r="J943" s="17"/>
      <c r="P943" s="17"/>
      <c r="Q943" s="17"/>
      <c r="R943" s="17"/>
      <c r="S943" s="17"/>
      <c r="T943" s="17"/>
    </row>
    <row r="944" spans="1:20" s="18" customFormat="1" hidden="1">
      <c r="A944" s="16" t="s">
        <v>31</v>
      </c>
      <c r="B944" s="15" t="s">
        <v>92</v>
      </c>
      <c r="C944" s="15" t="s">
        <v>25</v>
      </c>
      <c r="D944" s="15" t="s">
        <v>25</v>
      </c>
      <c r="E944" s="15" t="s">
        <v>186</v>
      </c>
      <c r="F944" s="15" t="s">
        <v>32</v>
      </c>
      <c r="G944" s="70">
        <f>прил4!G1274</f>
        <v>785444.96</v>
      </c>
      <c r="H944" s="87">
        <f>прил4!AH1274</f>
        <v>0</v>
      </c>
      <c r="I944" s="87">
        <f>прил4!AI1274</f>
        <v>0</v>
      </c>
      <c r="J944" s="17"/>
      <c r="P944" s="17"/>
      <c r="Q944" s="17"/>
      <c r="R944" s="17"/>
      <c r="S944" s="17"/>
      <c r="T944" s="17"/>
    </row>
    <row r="945" spans="1:20" s="18" customFormat="1" ht="26.4">
      <c r="A945" s="16" t="s">
        <v>29</v>
      </c>
      <c r="B945" s="15" t="s">
        <v>92</v>
      </c>
      <c r="C945" s="15" t="s">
        <v>25</v>
      </c>
      <c r="D945" s="15" t="s">
        <v>25</v>
      </c>
      <c r="E945" s="15" t="s">
        <v>186</v>
      </c>
      <c r="F945" s="15" t="s">
        <v>30</v>
      </c>
      <c r="G945" s="70">
        <f>G946</f>
        <v>319852.03999999998</v>
      </c>
      <c r="H945" s="70">
        <f t="shared" ref="H945:I945" si="257">H946</f>
        <v>500000</v>
      </c>
      <c r="I945" s="70">
        <f t="shared" si="257"/>
        <v>500000</v>
      </c>
      <c r="J945" s="17"/>
      <c r="P945" s="17"/>
      <c r="Q945" s="17"/>
      <c r="R945" s="17"/>
      <c r="S945" s="17"/>
      <c r="T945" s="17"/>
    </row>
    <row r="946" spans="1:20" s="18" customFormat="1">
      <c r="A946" s="16" t="s">
        <v>31</v>
      </c>
      <c r="B946" s="15" t="s">
        <v>92</v>
      </c>
      <c r="C946" s="15" t="s">
        <v>25</v>
      </c>
      <c r="D946" s="15" t="s">
        <v>25</v>
      </c>
      <c r="E946" s="15" t="s">
        <v>186</v>
      </c>
      <c r="F946" s="15" t="s">
        <v>32</v>
      </c>
      <c r="G946" s="70">
        <f>прил4!G1268+прил4!G153</f>
        <v>319852.03999999998</v>
      </c>
      <c r="H946" s="70">
        <f>прил4!H1268+прил4!H153</f>
        <v>500000</v>
      </c>
      <c r="I946" s="70">
        <f>прил4!I1268+прил4!I153</f>
        <v>500000</v>
      </c>
      <c r="J946" s="17"/>
      <c r="P946" s="17"/>
      <c r="Q946" s="17"/>
      <c r="R946" s="17"/>
      <c r="S946" s="17"/>
      <c r="T946" s="17"/>
    </row>
    <row r="947" spans="1:20" s="3" customFormat="1" ht="39.6" hidden="1">
      <c r="A947" s="141" t="s">
        <v>504</v>
      </c>
      <c r="B947" s="14">
        <v>774</v>
      </c>
      <c r="C947" s="15" t="s">
        <v>25</v>
      </c>
      <c r="D947" s="15" t="s">
        <v>25</v>
      </c>
      <c r="E947" s="15" t="s">
        <v>537</v>
      </c>
      <c r="F947" s="15"/>
      <c r="G947" s="70">
        <f t="shared" ref="G947:I948" si="258">G948</f>
        <v>0</v>
      </c>
      <c r="H947" s="70">
        <f t="shared" si="258"/>
        <v>0</v>
      </c>
      <c r="I947" s="70">
        <f t="shared" si="258"/>
        <v>0</v>
      </c>
      <c r="P947" s="111"/>
      <c r="Q947" s="111"/>
      <c r="R947" s="111"/>
      <c r="S947" s="111"/>
      <c r="T947" s="111"/>
    </row>
    <row r="948" spans="1:20" s="3" customFormat="1" ht="26.4" hidden="1">
      <c r="A948" s="16" t="s">
        <v>29</v>
      </c>
      <c r="B948" s="14">
        <v>774</v>
      </c>
      <c r="C948" s="15" t="s">
        <v>25</v>
      </c>
      <c r="D948" s="15" t="s">
        <v>25</v>
      </c>
      <c r="E948" s="15" t="s">
        <v>537</v>
      </c>
      <c r="F948" s="15" t="s">
        <v>30</v>
      </c>
      <c r="G948" s="70">
        <f t="shared" si="258"/>
        <v>0</v>
      </c>
      <c r="H948" s="70">
        <f t="shared" si="258"/>
        <v>0</v>
      </c>
      <c r="I948" s="70">
        <f t="shared" si="258"/>
        <v>0</v>
      </c>
      <c r="P948" s="111"/>
      <c r="Q948" s="111"/>
      <c r="R948" s="111"/>
      <c r="S948" s="111"/>
      <c r="T948" s="111"/>
    </row>
    <row r="949" spans="1:20" s="3" customFormat="1" hidden="1">
      <c r="A949" s="16" t="s">
        <v>31</v>
      </c>
      <c r="B949" s="14">
        <v>774</v>
      </c>
      <c r="C949" s="15" t="s">
        <v>25</v>
      </c>
      <c r="D949" s="15" t="s">
        <v>25</v>
      </c>
      <c r="E949" s="15" t="s">
        <v>537</v>
      </c>
      <c r="F949" s="15" t="s">
        <v>32</v>
      </c>
      <c r="G949" s="70"/>
      <c r="H949" s="70">
        <v>0</v>
      </c>
      <c r="I949" s="70">
        <v>0</v>
      </c>
      <c r="P949" s="111"/>
      <c r="Q949" s="111"/>
      <c r="R949" s="111"/>
      <c r="S949" s="111"/>
      <c r="T949" s="111"/>
    </row>
    <row r="950" spans="1:20" s="3" customFormat="1" ht="26.4" hidden="1">
      <c r="A950" s="16" t="s">
        <v>292</v>
      </c>
      <c r="B950" s="14">
        <v>774</v>
      </c>
      <c r="C950" s="15" t="s">
        <v>25</v>
      </c>
      <c r="D950" s="15" t="s">
        <v>25</v>
      </c>
      <c r="E950" s="15" t="s">
        <v>558</v>
      </c>
      <c r="F950" s="15"/>
      <c r="G950" s="70">
        <f t="shared" ref="G950:I951" si="259">G951</f>
        <v>0</v>
      </c>
      <c r="H950" s="70">
        <f t="shared" si="259"/>
        <v>0</v>
      </c>
      <c r="I950" s="70">
        <f t="shared" si="259"/>
        <v>0</v>
      </c>
      <c r="P950" s="111"/>
      <c r="Q950" s="111"/>
      <c r="R950" s="111"/>
      <c r="S950" s="111"/>
      <c r="T950" s="111"/>
    </row>
    <row r="951" spans="1:20" s="3" customFormat="1" ht="26.4" hidden="1">
      <c r="A951" s="16" t="s">
        <v>29</v>
      </c>
      <c r="B951" s="14">
        <v>774</v>
      </c>
      <c r="C951" s="15" t="s">
        <v>25</v>
      </c>
      <c r="D951" s="15" t="s">
        <v>25</v>
      </c>
      <c r="E951" s="15" t="s">
        <v>558</v>
      </c>
      <c r="F951" s="15" t="s">
        <v>30</v>
      </c>
      <c r="G951" s="70">
        <f t="shared" si="259"/>
        <v>0</v>
      </c>
      <c r="H951" s="70">
        <f t="shared" si="259"/>
        <v>0</v>
      </c>
      <c r="I951" s="70">
        <f t="shared" si="259"/>
        <v>0</v>
      </c>
      <c r="P951" s="111"/>
      <c r="Q951" s="111"/>
      <c r="R951" s="111"/>
      <c r="S951" s="111"/>
      <c r="T951" s="111"/>
    </row>
    <row r="952" spans="1:20" s="3" customFormat="1" hidden="1">
      <c r="A952" s="16" t="s">
        <v>31</v>
      </c>
      <c r="B952" s="14">
        <v>774</v>
      </c>
      <c r="C952" s="15" t="s">
        <v>25</v>
      </c>
      <c r="D952" s="15" t="s">
        <v>25</v>
      </c>
      <c r="E952" s="15" t="s">
        <v>558</v>
      </c>
      <c r="F952" s="15" t="s">
        <v>32</v>
      </c>
      <c r="G952" s="70"/>
      <c r="H952" s="70">
        <v>0</v>
      </c>
      <c r="I952" s="70">
        <v>0</v>
      </c>
      <c r="P952" s="111"/>
      <c r="Q952" s="111"/>
      <c r="R952" s="111"/>
      <c r="S952" s="111"/>
      <c r="T952" s="111"/>
    </row>
    <row r="953" spans="1:20" s="18" customFormat="1" ht="52.5" hidden="1" customHeight="1">
      <c r="A953" s="132" t="s">
        <v>729</v>
      </c>
      <c r="B953" s="15" t="s">
        <v>92</v>
      </c>
      <c r="C953" s="15" t="s">
        <v>25</v>
      </c>
      <c r="D953" s="15" t="s">
        <v>25</v>
      </c>
      <c r="E953" s="15" t="s">
        <v>728</v>
      </c>
      <c r="F953" s="15"/>
      <c r="G953" s="70">
        <f>G954+G956</f>
        <v>0</v>
      </c>
      <c r="H953" s="70">
        <f>H954+H956</f>
        <v>0</v>
      </c>
      <c r="I953" s="70">
        <f>I954+I956</f>
        <v>0</v>
      </c>
      <c r="P953" s="17"/>
      <c r="Q953" s="17"/>
      <c r="R953" s="17"/>
      <c r="S953" s="17"/>
      <c r="T953" s="17"/>
    </row>
    <row r="954" spans="1:20" s="18" customFormat="1" ht="26.4" hidden="1">
      <c r="A954" s="82" t="s">
        <v>35</v>
      </c>
      <c r="B954" s="15" t="s">
        <v>92</v>
      </c>
      <c r="C954" s="15" t="s">
        <v>25</v>
      </c>
      <c r="D954" s="15" t="s">
        <v>25</v>
      </c>
      <c r="E954" s="15" t="s">
        <v>132</v>
      </c>
      <c r="F954" s="15" t="s">
        <v>36</v>
      </c>
      <c r="G954" s="70">
        <f>G955</f>
        <v>0</v>
      </c>
      <c r="H954" s="70">
        <f>H955</f>
        <v>0</v>
      </c>
      <c r="I954" s="70">
        <f>I955</f>
        <v>0</v>
      </c>
      <c r="P954" s="17"/>
      <c r="Q954" s="17"/>
      <c r="R954" s="17"/>
      <c r="S954" s="17"/>
      <c r="T954" s="17"/>
    </row>
    <row r="955" spans="1:20" s="18" customFormat="1" ht="26.4" hidden="1">
      <c r="A955" s="82" t="s">
        <v>37</v>
      </c>
      <c r="B955" s="15" t="s">
        <v>92</v>
      </c>
      <c r="C955" s="15" t="s">
        <v>25</v>
      </c>
      <c r="D955" s="15" t="s">
        <v>25</v>
      </c>
      <c r="E955" s="15" t="s">
        <v>132</v>
      </c>
      <c r="F955" s="15" t="s">
        <v>38</v>
      </c>
      <c r="G955" s="70"/>
      <c r="H955" s="70"/>
      <c r="I955" s="70"/>
      <c r="P955" s="17"/>
      <c r="Q955" s="17"/>
      <c r="R955" s="17"/>
      <c r="S955" s="17"/>
      <c r="T955" s="17"/>
    </row>
    <row r="956" spans="1:20" s="18" customFormat="1" hidden="1">
      <c r="A956" s="82" t="s">
        <v>62</v>
      </c>
      <c r="B956" s="15" t="s">
        <v>92</v>
      </c>
      <c r="C956" s="15" t="s">
        <v>25</v>
      </c>
      <c r="D956" s="15" t="s">
        <v>25</v>
      </c>
      <c r="E956" s="15" t="s">
        <v>728</v>
      </c>
      <c r="F956" s="15" t="s">
        <v>63</v>
      </c>
      <c r="G956" s="70">
        <f>G957</f>
        <v>0</v>
      </c>
      <c r="H956" s="70">
        <f>H957</f>
        <v>0</v>
      </c>
      <c r="I956" s="70">
        <f>I957</f>
        <v>0</v>
      </c>
      <c r="P956" s="17"/>
      <c r="Q956" s="17"/>
      <c r="R956" s="17"/>
      <c r="S956" s="17"/>
      <c r="T956" s="17"/>
    </row>
    <row r="957" spans="1:20" s="18" customFormat="1" ht="13.5" hidden="1" customHeight="1">
      <c r="A957" s="82" t="s">
        <v>174</v>
      </c>
      <c r="B957" s="15" t="s">
        <v>92</v>
      </c>
      <c r="C957" s="15" t="s">
        <v>25</v>
      </c>
      <c r="D957" s="15" t="s">
        <v>25</v>
      </c>
      <c r="E957" s="15" t="s">
        <v>728</v>
      </c>
      <c r="F957" s="15" t="s">
        <v>175</v>
      </c>
      <c r="G957" s="70">
        <f>прил4!G1286</f>
        <v>0</v>
      </c>
      <c r="H957" s="70"/>
      <c r="I957" s="70"/>
      <c r="P957" s="17"/>
      <c r="Q957" s="17"/>
      <c r="R957" s="17"/>
      <c r="S957" s="17"/>
      <c r="T957" s="17"/>
    </row>
    <row r="958" spans="1:20" s="18" customFormat="1" ht="38.25" hidden="1" customHeight="1">
      <c r="A958" s="132" t="s">
        <v>731</v>
      </c>
      <c r="B958" s="15" t="s">
        <v>92</v>
      </c>
      <c r="C958" s="15" t="s">
        <v>25</v>
      </c>
      <c r="D958" s="15" t="s">
        <v>25</v>
      </c>
      <c r="E958" s="15" t="s">
        <v>730</v>
      </c>
      <c r="F958" s="15"/>
      <c r="G958" s="70">
        <f>G959+G961</f>
        <v>0</v>
      </c>
      <c r="H958" s="70">
        <f>H959+H961</f>
        <v>0</v>
      </c>
      <c r="I958" s="70">
        <f>I959+I961</f>
        <v>0</v>
      </c>
      <c r="P958" s="17"/>
      <c r="Q958" s="17"/>
      <c r="R958" s="17"/>
      <c r="S958" s="17"/>
      <c r="T958" s="17"/>
    </row>
    <row r="959" spans="1:20" s="18" customFormat="1" ht="26.4" hidden="1">
      <c r="A959" s="82" t="s">
        <v>35</v>
      </c>
      <c r="B959" s="15" t="s">
        <v>92</v>
      </c>
      <c r="C959" s="15" t="s">
        <v>25</v>
      </c>
      <c r="D959" s="15" t="s">
        <v>25</v>
      </c>
      <c r="E959" s="15" t="s">
        <v>132</v>
      </c>
      <c r="F959" s="15" t="s">
        <v>36</v>
      </c>
      <c r="G959" s="70">
        <f>G960</f>
        <v>0</v>
      </c>
      <c r="H959" s="70">
        <f>H960</f>
        <v>0</v>
      </c>
      <c r="I959" s="70">
        <f>I960</f>
        <v>0</v>
      </c>
      <c r="P959" s="17"/>
      <c r="Q959" s="17"/>
      <c r="R959" s="17"/>
      <c r="S959" s="17"/>
      <c r="T959" s="17"/>
    </row>
    <row r="960" spans="1:20" s="18" customFormat="1" ht="26.4" hidden="1">
      <c r="A960" s="82" t="s">
        <v>37</v>
      </c>
      <c r="B960" s="15" t="s">
        <v>92</v>
      </c>
      <c r="C960" s="15" t="s">
        <v>25</v>
      </c>
      <c r="D960" s="15" t="s">
        <v>25</v>
      </c>
      <c r="E960" s="15" t="s">
        <v>132</v>
      </c>
      <c r="F960" s="15" t="s">
        <v>38</v>
      </c>
      <c r="G960" s="70"/>
      <c r="H960" s="70"/>
      <c r="I960" s="70"/>
      <c r="P960" s="17"/>
      <c r="Q960" s="17"/>
      <c r="R960" s="17"/>
      <c r="S960" s="17"/>
      <c r="T960" s="17"/>
    </row>
    <row r="961" spans="1:20" s="18" customFormat="1" ht="26.4" hidden="1">
      <c r="A961" s="16" t="s">
        <v>29</v>
      </c>
      <c r="B961" s="15" t="s">
        <v>92</v>
      </c>
      <c r="C961" s="15" t="s">
        <v>25</v>
      </c>
      <c r="D961" s="15" t="s">
        <v>25</v>
      </c>
      <c r="E961" s="15" t="s">
        <v>730</v>
      </c>
      <c r="F961" s="15" t="s">
        <v>30</v>
      </c>
      <c r="G961" s="70">
        <f>G962</f>
        <v>0</v>
      </c>
      <c r="H961" s="70">
        <f>H962</f>
        <v>0</v>
      </c>
      <c r="I961" s="70">
        <f>I962</f>
        <v>0</v>
      </c>
      <c r="P961" s="17"/>
      <c r="Q961" s="17"/>
      <c r="R961" s="17"/>
      <c r="S961" s="17"/>
      <c r="T961" s="17"/>
    </row>
    <row r="962" spans="1:20" s="18" customFormat="1" ht="13.5" hidden="1" customHeight="1">
      <c r="A962" s="16" t="s">
        <v>31</v>
      </c>
      <c r="B962" s="15" t="s">
        <v>92</v>
      </c>
      <c r="C962" s="15" t="s">
        <v>25</v>
      </c>
      <c r="D962" s="15" t="s">
        <v>25</v>
      </c>
      <c r="E962" s="15" t="s">
        <v>730</v>
      </c>
      <c r="F962" s="15" t="s">
        <v>32</v>
      </c>
      <c r="G962" s="70">
        <f>прил4!G1294</f>
        <v>0</v>
      </c>
      <c r="H962" s="70"/>
      <c r="I962" s="70"/>
      <c r="P962" s="17"/>
      <c r="Q962" s="17"/>
      <c r="R962" s="17"/>
      <c r="S962" s="17"/>
      <c r="T962" s="17"/>
    </row>
    <row r="963" spans="1:20" s="18" customFormat="1" ht="56.25" hidden="1" customHeight="1">
      <c r="A963" s="132" t="s">
        <v>733</v>
      </c>
      <c r="B963" s="15" t="s">
        <v>92</v>
      </c>
      <c r="C963" s="15" t="s">
        <v>25</v>
      </c>
      <c r="D963" s="15" t="s">
        <v>25</v>
      </c>
      <c r="E963" s="15" t="s">
        <v>732</v>
      </c>
      <c r="F963" s="15"/>
      <c r="G963" s="70">
        <f>G964+G966</f>
        <v>0</v>
      </c>
      <c r="H963" s="70">
        <f>H964+H966</f>
        <v>0</v>
      </c>
      <c r="I963" s="70">
        <f>I964+I966</f>
        <v>0</v>
      </c>
      <c r="P963" s="17"/>
      <c r="Q963" s="17"/>
      <c r="R963" s="17"/>
      <c r="S963" s="17"/>
      <c r="T963" s="17"/>
    </row>
    <row r="964" spans="1:20" s="18" customFormat="1" ht="26.4" hidden="1">
      <c r="A964" s="82" t="s">
        <v>35</v>
      </c>
      <c r="B964" s="15" t="s">
        <v>92</v>
      </c>
      <c r="C964" s="15" t="s">
        <v>25</v>
      </c>
      <c r="D964" s="15" t="s">
        <v>25</v>
      </c>
      <c r="E964" s="15" t="s">
        <v>132</v>
      </c>
      <c r="F964" s="15" t="s">
        <v>36</v>
      </c>
      <c r="G964" s="70">
        <f>G965</f>
        <v>0</v>
      </c>
      <c r="H964" s="70">
        <f>H965</f>
        <v>0</v>
      </c>
      <c r="I964" s="70">
        <f>I965</f>
        <v>0</v>
      </c>
      <c r="P964" s="17"/>
      <c r="Q964" s="17"/>
      <c r="R964" s="17"/>
      <c r="S964" s="17"/>
      <c r="T964" s="17"/>
    </row>
    <row r="965" spans="1:20" s="18" customFormat="1" ht="26.4" hidden="1">
      <c r="A965" s="82" t="s">
        <v>37</v>
      </c>
      <c r="B965" s="15" t="s">
        <v>92</v>
      </c>
      <c r="C965" s="15" t="s">
        <v>25</v>
      </c>
      <c r="D965" s="15" t="s">
        <v>25</v>
      </c>
      <c r="E965" s="15" t="s">
        <v>132</v>
      </c>
      <c r="F965" s="15" t="s">
        <v>38</v>
      </c>
      <c r="G965" s="70"/>
      <c r="H965" s="70"/>
      <c r="I965" s="70"/>
      <c r="P965" s="17"/>
      <c r="Q965" s="17"/>
      <c r="R965" s="17"/>
      <c r="S965" s="17"/>
      <c r="T965" s="17"/>
    </row>
    <row r="966" spans="1:20" s="18" customFormat="1" hidden="1">
      <c r="A966" s="82" t="s">
        <v>62</v>
      </c>
      <c r="B966" s="15" t="s">
        <v>92</v>
      </c>
      <c r="C966" s="15" t="s">
        <v>25</v>
      </c>
      <c r="D966" s="15" t="s">
        <v>25</v>
      </c>
      <c r="E966" s="15" t="s">
        <v>732</v>
      </c>
      <c r="F966" s="15" t="s">
        <v>63</v>
      </c>
      <c r="G966" s="70">
        <f>G967</f>
        <v>0</v>
      </c>
      <c r="H966" s="70">
        <f>H967</f>
        <v>0</v>
      </c>
      <c r="I966" s="70">
        <f>I967</f>
        <v>0</v>
      </c>
      <c r="P966" s="17"/>
      <c r="Q966" s="17"/>
      <c r="R966" s="17"/>
      <c r="S966" s="17"/>
      <c r="T966" s="17"/>
    </row>
    <row r="967" spans="1:20" s="18" customFormat="1" ht="13.5" hidden="1" customHeight="1">
      <c r="A967" s="82" t="s">
        <v>174</v>
      </c>
      <c r="B967" s="15" t="s">
        <v>92</v>
      </c>
      <c r="C967" s="15" t="s">
        <v>25</v>
      </c>
      <c r="D967" s="15" t="s">
        <v>25</v>
      </c>
      <c r="E967" s="15" t="s">
        <v>732</v>
      </c>
      <c r="F967" s="15" t="s">
        <v>175</v>
      </c>
      <c r="G967" s="70">
        <f>прил4!G1299</f>
        <v>0</v>
      </c>
      <c r="H967" s="70"/>
      <c r="I967" s="70"/>
      <c r="P967" s="17"/>
      <c r="Q967" s="17"/>
      <c r="R967" s="17"/>
      <c r="S967" s="17"/>
      <c r="T967" s="17"/>
    </row>
    <row r="968" spans="1:20" s="18" customFormat="1" ht="61.5" hidden="1" customHeight="1">
      <c r="A968" s="132" t="s">
        <v>412</v>
      </c>
      <c r="B968" s="15" t="s">
        <v>92</v>
      </c>
      <c r="C968" s="15" t="s">
        <v>25</v>
      </c>
      <c r="D968" s="15" t="s">
        <v>25</v>
      </c>
      <c r="E968" s="15" t="s">
        <v>411</v>
      </c>
      <c r="F968" s="15"/>
      <c r="G968" s="70">
        <f>G969</f>
        <v>0</v>
      </c>
      <c r="H968" s="70">
        <f t="shared" ref="H968:I968" si="260">H969</f>
        <v>0</v>
      </c>
      <c r="I968" s="70">
        <f t="shared" si="260"/>
        <v>0</v>
      </c>
      <c r="P968" s="17"/>
      <c r="Q968" s="17"/>
      <c r="R968" s="17"/>
      <c r="S968" s="17"/>
      <c r="T968" s="17"/>
    </row>
    <row r="969" spans="1:20" s="18" customFormat="1" ht="26.4" hidden="1">
      <c r="A969" s="16" t="s">
        <v>29</v>
      </c>
      <c r="B969" s="15" t="s">
        <v>92</v>
      </c>
      <c r="C969" s="15" t="s">
        <v>25</v>
      </c>
      <c r="D969" s="15" t="s">
        <v>25</v>
      </c>
      <c r="E969" s="15" t="s">
        <v>411</v>
      </c>
      <c r="F969" s="15" t="s">
        <v>30</v>
      </c>
      <c r="G969" s="70">
        <f>G970</f>
        <v>0</v>
      </c>
      <c r="H969" s="70">
        <f>H970</f>
        <v>0</v>
      </c>
      <c r="I969" s="70">
        <f>I970</f>
        <v>0</v>
      </c>
      <c r="P969" s="17"/>
      <c r="Q969" s="17"/>
      <c r="R969" s="17"/>
      <c r="S969" s="17"/>
      <c r="T969" s="17"/>
    </row>
    <row r="970" spans="1:20" s="18" customFormat="1" hidden="1">
      <c r="A970" s="16" t="s">
        <v>31</v>
      </c>
      <c r="B970" s="15" t="s">
        <v>92</v>
      </c>
      <c r="C970" s="15" t="s">
        <v>25</v>
      </c>
      <c r="D970" s="15" t="s">
        <v>25</v>
      </c>
      <c r="E970" s="15" t="s">
        <v>411</v>
      </c>
      <c r="F970" s="15" t="s">
        <v>32</v>
      </c>
      <c r="G970" s="70"/>
      <c r="H970" s="70"/>
      <c r="I970" s="70"/>
      <c r="P970" s="17"/>
      <c r="Q970" s="17"/>
      <c r="R970" s="17"/>
      <c r="S970" s="17"/>
      <c r="T970" s="17"/>
    </row>
    <row r="971" spans="1:20" s="18" customFormat="1" ht="61.5" hidden="1" customHeight="1">
      <c r="A971" s="132" t="s">
        <v>874</v>
      </c>
      <c r="B971" s="15" t="s">
        <v>92</v>
      </c>
      <c r="C971" s="15" t="s">
        <v>25</v>
      </c>
      <c r="D971" s="15" t="s">
        <v>25</v>
      </c>
      <c r="E971" s="15" t="s">
        <v>873</v>
      </c>
      <c r="F971" s="15"/>
      <c r="G971" s="70">
        <f>G972</f>
        <v>0</v>
      </c>
      <c r="H971" s="70">
        <f t="shared" ref="H971:I971" si="261">H972</f>
        <v>0</v>
      </c>
      <c r="I971" s="70">
        <f t="shared" si="261"/>
        <v>0</v>
      </c>
      <c r="J971" s="172"/>
    </row>
    <row r="972" spans="1:20" s="18" customFormat="1" hidden="1">
      <c r="A972" s="82" t="s">
        <v>62</v>
      </c>
      <c r="B972" s="15" t="s">
        <v>92</v>
      </c>
      <c r="C972" s="15" t="s">
        <v>25</v>
      </c>
      <c r="D972" s="15" t="s">
        <v>25</v>
      </c>
      <c r="E972" s="15" t="s">
        <v>873</v>
      </c>
      <c r="F972" s="15" t="s">
        <v>63</v>
      </c>
      <c r="G972" s="70">
        <f>G973</f>
        <v>0</v>
      </c>
      <c r="H972" s="70">
        <f>H973</f>
        <v>0</v>
      </c>
      <c r="I972" s="70">
        <f>I973</f>
        <v>0</v>
      </c>
      <c r="J972" s="172"/>
    </row>
    <row r="973" spans="1:20" s="18" customFormat="1" hidden="1">
      <c r="A973" s="82" t="s">
        <v>174</v>
      </c>
      <c r="B973" s="15" t="s">
        <v>92</v>
      </c>
      <c r="C973" s="15" t="s">
        <v>25</v>
      </c>
      <c r="D973" s="15" t="s">
        <v>25</v>
      </c>
      <c r="E973" s="15" t="s">
        <v>873</v>
      </c>
      <c r="F973" s="15" t="s">
        <v>175</v>
      </c>
      <c r="G973" s="70">
        <f>прил4!G1308</f>
        <v>0</v>
      </c>
      <c r="H973" s="70">
        <v>0</v>
      </c>
      <c r="I973" s="70">
        <v>0</v>
      </c>
      <c r="J973" s="172"/>
    </row>
    <row r="974" spans="1:20" s="3" customFormat="1" ht="66" hidden="1">
      <c r="A974" s="82" t="s">
        <v>1245</v>
      </c>
      <c r="B974" s="145">
        <v>774</v>
      </c>
      <c r="C974" s="84" t="s">
        <v>25</v>
      </c>
      <c r="D974" s="84" t="s">
        <v>25</v>
      </c>
      <c r="E974" s="84" t="s">
        <v>1247</v>
      </c>
      <c r="F974" s="84"/>
      <c r="G974" s="87">
        <f t="shared" ref="G974:I975" si="262">G975</f>
        <v>0</v>
      </c>
      <c r="H974" s="87">
        <f t="shared" si="262"/>
        <v>0</v>
      </c>
      <c r="I974" s="87">
        <f t="shared" si="262"/>
        <v>0</v>
      </c>
      <c r="J974" s="173"/>
      <c r="K974" s="194"/>
      <c r="L974" s="194"/>
      <c r="M974" s="194"/>
      <c r="N974" s="194"/>
      <c r="O974" s="194"/>
      <c r="P974" s="194"/>
      <c r="Q974" s="194"/>
      <c r="R974" s="194"/>
    </row>
    <row r="975" spans="1:20" s="3" customFormat="1" ht="26.4" hidden="1">
      <c r="A975" s="82" t="s">
        <v>29</v>
      </c>
      <c r="B975" s="145">
        <v>774</v>
      </c>
      <c r="C975" s="84" t="s">
        <v>25</v>
      </c>
      <c r="D975" s="84" t="s">
        <v>25</v>
      </c>
      <c r="E975" s="84" t="s">
        <v>1247</v>
      </c>
      <c r="F975" s="84" t="s">
        <v>30</v>
      </c>
      <c r="G975" s="87">
        <f t="shared" si="262"/>
        <v>0</v>
      </c>
      <c r="H975" s="87">
        <f t="shared" si="262"/>
        <v>0</v>
      </c>
      <c r="I975" s="87">
        <f t="shared" si="262"/>
        <v>0</v>
      </c>
      <c r="J975" s="173"/>
      <c r="K975" s="194"/>
      <c r="L975" s="194"/>
      <c r="M975" s="194"/>
      <c r="N975" s="194"/>
      <c r="O975" s="194"/>
      <c r="P975" s="194"/>
      <c r="Q975" s="194"/>
      <c r="R975" s="194"/>
    </row>
    <row r="976" spans="1:20" s="3" customFormat="1" hidden="1">
      <c r="A976" s="82" t="s">
        <v>31</v>
      </c>
      <c r="B976" s="145">
        <v>774</v>
      </c>
      <c r="C976" s="84" t="s">
        <v>25</v>
      </c>
      <c r="D976" s="84" t="s">
        <v>25</v>
      </c>
      <c r="E976" s="84" t="s">
        <v>1247</v>
      </c>
      <c r="F976" s="84" t="s">
        <v>32</v>
      </c>
      <c r="G976" s="87">
        <f>прил4!G1302</f>
        <v>0</v>
      </c>
      <c r="H976" s="87">
        <f>прил4!H1302</f>
        <v>0</v>
      </c>
      <c r="I976" s="87">
        <f>прил4!I1302</f>
        <v>0</v>
      </c>
      <c r="J976" s="173"/>
      <c r="K976" s="194"/>
      <c r="L976" s="194"/>
      <c r="M976" s="194"/>
      <c r="N976" s="194"/>
      <c r="O976" s="194"/>
      <c r="P976" s="194"/>
      <c r="Q976" s="194"/>
      <c r="R976" s="194"/>
    </row>
    <row r="977" spans="1:22" s="18" customFormat="1" ht="52.8">
      <c r="A977" s="82" t="s">
        <v>412</v>
      </c>
      <c r="B977" s="84" t="s">
        <v>92</v>
      </c>
      <c r="C977" s="84" t="s">
        <v>25</v>
      </c>
      <c r="D977" s="84" t="s">
        <v>25</v>
      </c>
      <c r="E977" s="84" t="s">
        <v>411</v>
      </c>
      <c r="F977" s="84"/>
      <c r="G977" s="87">
        <f>G978</f>
        <v>785444.96</v>
      </c>
      <c r="H977" s="87"/>
      <c r="I977" s="87"/>
      <c r="J977" s="173"/>
      <c r="K977" s="195"/>
      <c r="L977" s="195"/>
      <c r="M977" s="195"/>
      <c r="N977" s="195"/>
      <c r="O977" s="195"/>
      <c r="P977" s="195"/>
      <c r="Q977" s="195"/>
      <c r="R977" s="195"/>
    </row>
    <row r="978" spans="1:22" s="18" customFormat="1" ht="26.4">
      <c r="A978" s="82" t="s">
        <v>29</v>
      </c>
      <c r="B978" s="84" t="s">
        <v>92</v>
      </c>
      <c r="C978" s="84" t="s">
        <v>25</v>
      </c>
      <c r="D978" s="84" t="s">
        <v>25</v>
      </c>
      <c r="E978" s="84" t="s">
        <v>411</v>
      </c>
      <c r="F978" s="84" t="s">
        <v>30</v>
      </c>
      <c r="G978" s="87">
        <f>G979</f>
        <v>785444.96</v>
      </c>
      <c r="H978" s="87">
        <f>H979</f>
        <v>0</v>
      </c>
      <c r="I978" s="87">
        <f>I979</f>
        <v>0</v>
      </c>
      <c r="J978" s="173"/>
      <c r="K978" s="195"/>
      <c r="L978" s="195"/>
      <c r="M978" s="195"/>
      <c r="N978" s="195"/>
      <c r="O978" s="195"/>
      <c r="P978" s="195"/>
      <c r="Q978" s="195"/>
      <c r="R978" s="195"/>
    </row>
    <row r="979" spans="1:22" s="18" customFormat="1">
      <c r="A979" s="82" t="s">
        <v>31</v>
      </c>
      <c r="B979" s="84" t="s">
        <v>92</v>
      </c>
      <c r="C979" s="84" t="s">
        <v>25</v>
      </c>
      <c r="D979" s="84" t="s">
        <v>25</v>
      </c>
      <c r="E979" s="84" t="s">
        <v>411</v>
      </c>
      <c r="F979" s="84" t="s">
        <v>32</v>
      </c>
      <c r="G979" s="87">
        <f>прил4!G1274</f>
        <v>785444.96</v>
      </c>
      <c r="H979" s="87"/>
      <c r="I979" s="87"/>
      <c r="J979" s="173"/>
      <c r="K979" s="195"/>
      <c r="L979" s="195"/>
      <c r="M979" s="195"/>
      <c r="N979" s="195"/>
      <c r="O979" s="195"/>
      <c r="P979" s="195"/>
      <c r="Q979" s="195"/>
      <c r="R979" s="195"/>
    </row>
    <row r="980" spans="1:22" s="3" customFormat="1" ht="29.25" customHeight="1">
      <c r="A980" s="16" t="s">
        <v>137</v>
      </c>
      <c r="B980" s="14">
        <v>774</v>
      </c>
      <c r="C980" s="15" t="s">
        <v>25</v>
      </c>
      <c r="D980" s="15" t="s">
        <v>27</v>
      </c>
      <c r="E980" s="15" t="s">
        <v>218</v>
      </c>
      <c r="F980" s="15"/>
      <c r="G980" s="70">
        <f>G981</f>
        <v>1446142.75</v>
      </c>
      <c r="H980" s="70">
        <f t="shared" ref="H980:I980" si="263">H981</f>
        <v>1466702.1</v>
      </c>
      <c r="I980" s="70">
        <f t="shared" si="263"/>
        <v>1466702.1</v>
      </c>
      <c r="J980" s="111"/>
      <c r="P980" s="111"/>
      <c r="Q980" s="111"/>
      <c r="R980" s="111"/>
      <c r="S980" s="111"/>
      <c r="T980" s="111"/>
      <c r="V980" s="111"/>
    </row>
    <row r="981" spans="1:22" s="3" customFormat="1" ht="32.25" customHeight="1">
      <c r="A981" s="16" t="s">
        <v>138</v>
      </c>
      <c r="B981" s="14">
        <v>774</v>
      </c>
      <c r="C981" s="15" t="s">
        <v>25</v>
      </c>
      <c r="D981" s="15" t="s">
        <v>27</v>
      </c>
      <c r="E981" s="15" t="s">
        <v>219</v>
      </c>
      <c r="F981" s="15"/>
      <c r="G981" s="87">
        <f>G982</f>
        <v>1446142.75</v>
      </c>
      <c r="H981" s="87">
        <f t="shared" ref="H981:I981" si="264">H982</f>
        <v>1466702.1</v>
      </c>
      <c r="I981" s="87">
        <f t="shared" si="264"/>
        <v>1466702.1</v>
      </c>
      <c r="J981" s="111"/>
      <c r="P981" s="111"/>
      <c r="Q981" s="111"/>
      <c r="R981" s="111"/>
      <c r="S981" s="111"/>
      <c r="T981" s="111"/>
    </row>
    <row r="982" spans="1:22" s="18" customFormat="1" ht="26.4">
      <c r="A982" s="16" t="s">
        <v>29</v>
      </c>
      <c r="B982" s="15" t="s">
        <v>92</v>
      </c>
      <c r="C982" s="15" t="s">
        <v>25</v>
      </c>
      <c r="D982" s="15" t="s">
        <v>27</v>
      </c>
      <c r="E982" s="15" t="s">
        <v>219</v>
      </c>
      <c r="F982" s="15" t="s">
        <v>30</v>
      </c>
      <c r="G982" s="87">
        <f>G983</f>
        <v>1446142.75</v>
      </c>
      <c r="H982" s="87">
        <f t="shared" ref="H982:O982" si="265">H983</f>
        <v>1466702.1</v>
      </c>
      <c r="I982" s="87">
        <f t="shared" si="265"/>
        <v>1466702.1</v>
      </c>
      <c r="J982" s="87">
        <f t="shared" si="265"/>
        <v>0</v>
      </c>
      <c r="K982" s="87">
        <f t="shared" si="265"/>
        <v>0</v>
      </c>
      <c r="L982" s="87">
        <f t="shared" si="265"/>
        <v>0</v>
      </c>
      <c r="M982" s="87">
        <f t="shared" si="265"/>
        <v>0</v>
      </c>
      <c r="N982" s="87">
        <f t="shared" si="265"/>
        <v>0</v>
      </c>
      <c r="O982" s="87">
        <f t="shared" si="265"/>
        <v>0</v>
      </c>
      <c r="P982" s="17"/>
      <c r="Q982" s="17"/>
      <c r="R982" s="17"/>
      <c r="S982" s="17"/>
      <c r="T982" s="17"/>
    </row>
    <row r="983" spans="1:22" s="18" customFormat="1">
      <c r="A983" s="16" t="s">
        <v>31</v>
      </c>
      <c r="B983" s="15" t="s">
        <v>92</v>
      </c>
      <c r="C983" s="15" t="s">
        <v>25</v>
      </c>
      <c r="D983" s="15" t="s">
        <v>27</v>
      </c>
      <c r="E983" s="15" t="s">
        <v>219</v>
      </c>
      <c r="F983" s="15" t="s">
        <v>32</v>
      </c>
      <c r="G983" s="87">
        <f>прил4!G1052+прил4!G1198</f>
        <v>1446142.75</v>
      </c>
      <c r="H983" s="87">
        <f>прил4!H1052+прил4!H1198</f>
        <v>1466702.1</v>
      </c>
      <c r="I983" s="87">
        <f>прил4!I1052+прил4!I1198</f>
        <v>1466702.1</v>
      </c>
      <c r="J983" s="17"/>
      <c r="P983" s="17"/>
      <c r="Q983" s="17"/>
      <c r="R983" s="17"/>
      <c r="S983" s="17"/>
      <c r="T983" s="17"/>
    </row>
    <row r="984" spans="1:22" s="18" customFormat="1" ht="32.25" customHeight="1">
      <c r="A984" s="16" t="s">
        <v>139</v>
      </c>
      <c r="B984" s="15" t="s">
        <v>92</v>
      </c>
      <c r="C984" s="15" t="s">
        <v>25</v>
      </c>
      <c r="D984" s="15" t="s">
        <v>120</v>
      </c>
      <c r="E984" s="15" t="s">
        <v>221</v>
      </c>
      <c r="F984" s="15"/>
      <c r="G984" s="70">
        <f>G985+G1001+G1007</f>
        <v>19358879.530000005</v>
      </c>
      <c r="H984" s="70">
        <f>H985+H1001</f>
        <v>19734258.759999998</v>
      </c>
      <c r="I984" s="70">
        <f>I985+I1001</f>
        <v>20496620.77</v>
      </c>
      <c r="J984" s="17"/>
      <c r="P984" s="17"/>
      <c r="Q984" s="17"/>
      <c r="R984" s="17"/>
      <c r="S984" s="17"/>
      <c r="T984" s="17"/>
      <c r="V984" s="385"/>
    </row>
    <row r="985" spans="1:22" s="18" customFormat="1" ht="26.4">
      <c r="A985" s="16" t="s">
        <v>75</v>
      </c>
      <c r="B985" s="15" t="s">
        <v>92</v>
      </c>
      <c r="C985" s="15" t="s">
        <v>25</v>
      </c>
      <c r="D985" s="15" t="s">
        <v>120</v>
      </c>
      <c r="E985" s="15" t="s">
        <v>222</v>
      </c>
      <c r="F985" s="15"/>
      <c r="G985" s="87">
        <f>G986+G988+G990</f>
        <v>19146143.710000005</v>
      </c>
      <c r="H985" s="87">
        <f t="shared" ref="H985:I985" si="266">H986+H988+H990</f>
        <v>19734258.759999998</v>
      </c>
      <c r="I985" s="87">
        <f t="shared" si="266"/>
        <v>20496620.77</v>
      </c>
      <c r="J985" s="17"/>
      <c r="P985" s="17"/>
      <c r="Q985" s="17"/>
      <c r="R985" s="17"/>
      <c r="S985" s="17"/>
      <c r="T985" s="17"/>
      <c r="V985" s="17"/>
    </row>
    <row r="986" spans="1:22" ht="52.8">
      <c r="A986" s="16" t="s">
        <v>54</v>
      </c>
      <c r="B986" s="15" t="s">
        <v>92</v>
      </c>
      <c r="C986" s="15" t="s">
        <v>25</v>
      </c>
      <c r="D986" s="15" t="s">
        <v>120</v>
      </c>
      <c r="E986" s="15" t="s">
        <v>222</v>
      </c>
      <c r="F986" s="15" t="s">
        <v>57</v>
      </c>
      <c r="G986" s="87">
        <f>G987</f>
        <v>18651910.040000003</v>
      </c>
      <c r="H986" s="87">
        <f t="shared" ref="H986:I986" si="267">H987</f>
        <v>19281180.399999999</v>
      </c>
      <c r="I986" s="87">
        <f t="shared" si="267"/>
        <v>20043542.41</v>
      </c>
    </row>
    <row r="987" spans="1:22" ht="26.4">
      <c r="A987" s="16" t="s">
        <v>55</v>
      </c>
      <c r="B987" s="15" t="s">
        <v>92</v>
      </c>
      <c r="C987" s="15" t="s">
        <v>25</v>
      </c>
      <c r="D987" s="15" t="s">
        <v>120</v>
      </c>
      <c r="E987" s="15" t="s">
        <v>222</v>
      </c>
      <c r="F987" s="15" t="s">
        <v>58</v>
      </c>
      <c r="G987" s="70">
        <f>прил4!G1336</f>
        <v>18651910.040000003</v>
      </c>
      <c r="H987" s="70">
        <f>прил4!H1336</f>
        <v>19281180.399999999</v>
      </c>
      <c r="I987" s="70">
        <f>прил4!I1336</f>
        <v>20043542.41</v>
      </c>
    </row>
    <row r="988" spans="1:22" ht="26.4">
      <c r="A988" s="16" t="s">
        <v>35</v>
      </c>
      <c r="B988" s="15" t="s">
        <v>92</v>
      </c>
      <c r="C988" s="15" t="s">
        <v>25</v>
      </c>
      <c r="D988" s="15" t="s">
        <v>120</v>
      </c>
      <c r="E988" s="15" t="s">
        <v>222</v>
      </c>
      <c r="F988" s="15" t="s">
        <v>36</v>
      </c>
      <c r="G988" s="70">
        <f>G989</f>
        <v>494233.67</v>
      </c>
      <c r="H988" s="70">
        <f t="shared" ref="H988:I988" si="268">H989</f>
        <v>453078.36</v>
      </c>
      <c r="I988" s="70">
        <f t="shared" si="268"/>
        <v>453078.36</v>
      </c>
    </row>
    <row r="989" spans="1:22" ht="26.4">
      <c r="A989" s="16" t="s">
        <v>37</v>
      </c>
      <c r="B989" s="15" t="s">
        <v>92</v>
      </c>
      <c r="C989" s="15" t="s">
        <v>25</v>
      </c>
      <c r="D989" s="15" t="s">
        <v>120</v>
      </c>
      <c r="E989" s="15" t="s">
        <v>222</v>
      </c>
      <c r="F989" s="15" t="s">
        <v>38</v>
      </c>
      <c r="G989" s="70">
        <f>прил4!G1338</f>
        <v>494233.67</v>
      </c>
      <c r="H989" s="70">
        <f>прил4!H1338</f>
        <v>453078.36</v>
      </c>
      <c r="I989" s="70">
        <f>прил4!I1338</f>
        <v>453078.36</v>
      </c>
    </row>
    <row r="990" spans="1:22" hidden="1">
      <c r="A990" s="141" t="s">
        <v>62</v>
      </c>
      <c r="B990" s="15" t="s">
        <v>92</v>
      </c>
      <c r="C990" s="15" t="s">
        <v>25</v>
      </c>
      <c r="D990" s="15" t="s">
        <v>120</v>
      </c>
      <c r="E990" s="15" t="s">
        <v>222</v>
      </c>
      <c r="F990" s="15" t="s">
        <v>63</v>
      </c>
      <c r="G990" s="27">
        <f>G992+G991</f>
        <v>0</v>
      </c>
      <c r="H990" s="27">
        <f>H992</f>
        <v>0</v>
      </c>
      <c r="I990" s="27">
        <f>I992</f>
        <v>0</v>
      </c>
      <c r="J990" s="1"/>
    </row>
    <row r="991" spans="1:22" hidden="1">
      <c r="A991" s="16" t="s">
        <v>321</v>
      </c>
      <c r="B991" s="15" t="s">
        <v>92</v>
      </c>
      <c r="C991" s="15" t="s">
        <v>25</v>
      </c>
      <c r="D991" s="15" t="s">
        <v>120</v>
      </c>
      <c r="E991" s="15" t="s">
        <v>222</v>
      </c>
      <c r="F991" s="15" t="s">
        <v>320</v>
      </c>
      <c r="G991" s="27"/>
      <c r="H991" s="27">
        <v>0</v>
      </c>
      <c r="I991" s="27">
        <v>0</v>
      </c>
      <c r="J991" s="1"/>
    </row>
    <row r="992" spans="1:22" hidden="1">
      <c r="A992" s="16" t="s">
        <v>65</v>
      </c>
      <c r="B992" s="15" t="s">
        <v>92</v>
      </c>
      <c r="C992" s="15" t="s">
        <v>25</v>
      </c>
      <c r="D992" s="15" t="s">
        <v>120</v>
      </c>
      <c r="E992" s="15" t="s">
        <v>222</v>
      </c>
      <c r="F992" s="15" t="s">
        <v>66</v>
      </c>
      <c r="G992" s="27"/>
      <c r="H992" s="27">
        <v>0</v>
      </c>
      <c r="I992" s="27">
        <v>0</v>
      </c>
      <c r="J992" s="1"/>
    </row>
    <row r="993" spans="1:20" s="108" customFormat="1" ht="54" hidden="1" customHeight="1">
      <c r="A993" s="107" t="s">
        <v>450</v>
      </c>
      <c r="B993" s="86">
        <v>795</v>
      </c>
      <c r="C993" s="105" t="s">
        <v>167</v>
      </c>
      <c r="D993" s="105" t="s">
        <v>69</v>
      </c>
      <c r="E993" s="105" t="s">
        <v>135</v>
      </c>
      <c r="F993" s="105"/>
      <c r="G993" s="106">
        <f>G997+G994</f>
        <v>0</v>
      </c>
      <c r="H993" s="106">
        <f t="shared" ref="H993:I993" si="269">H997+H994</f>
        <v>0</v>
      </c>
      <c r="I993" s="106">
        <f t="shared" si="269"/>
        <v>0</v>
      </c>
      <c r="J993" s="114">
        <v>634136</v>
      </c>
      <c r="P993" s="114"/>
      <c r="Q993" s="114"/>
      <c r="R993" s="114"/>
      <c r="S993" s="114"/>
      <c r="T993" s="114"/>
    </row>
    <row r="994" spans="1:20" s="22" customFormat="1" ht="36" hidden="1" customHeight="1">
      <c r="A994" s="16" t="s">
        <v>616</v>
      </c>
      <c r="B994" s="14">
        <v>795</v>
      </c>
      <c r="C994" s="15" t="s">
        <v>167</v>
      </c>
      <c r="D994" s="15" t="s">
        <v>69</v>
      </c>
      <c r="E994" s="15" t="s">
        <v>617</v>
      </c>
      <c r="F994" s="36"/>
      <c r="G994" s="70">
        <f>G995</f>
        <v>0</v>
      </c>
      <c r="H994" s="70">
        <f t="shared" ref="H994:I995" si="270">H995</f>
        <v>0</v>
      </c>
      <c r="I994" s="70">
        <f t="shared" si="270"/>
        <v>0</v>
      </c>
      <c r="P994" s="21"/>
      <c r="Q994" s="21"/>
      <c r="R994" s="21"/>
      <c r="S994" s="21"/>
      <c r="T994" s="21"/>
    </row>
    <row r="995" spans="1:20" s="22" customFormat="1" ht="24" hidden="1" customHeight="1">
      <c r="A995" s="16" t="s">
        <v>152</v>
      </c>
      <c r="B995" s="14">
        <v>795</v>
      </c>
      <c r="C995" s="15" t="s">
        <v>167</v>
      </c>
      <c r="D995" s="15" t="s">
        <v>69</v>
      </c>
      <c r="E995" s="15" t="s">
        <v>617</v>
      </c>
      <c r="F995" s="15" t="s">
        <v>153</v>
      </c>
      <c r="G995" s="70">
        <f>G996</f>
        <v>0</v>
      </c>
      <c r="H995" s="70">
        <f t="shared" si="270"/>
        <v>0</v>
      </c>
      <c r="I995" s="70">
        <f t="shared" si="270"/>
        <v>0</v>
      </c>
      <c r="P995" s="21"/>
      <c r="Q995" s="21"/>
      <c r="R995" s="21"/>
      <c r="S995" s="21"/>
      <c r="T995" s="21"/>
    </row>
    <row r="996" spans="1:20" s="22" customFormat="1" ht="24" hidden="1" customHeight="1">
      <c r="A996" s="16" t="s">
        <v>172</v>
      </c>
      <c r="B996" s="14">
        <v>795</v>
      </c>
      <c r="C996" s="15" t="s">
        <v>167</v>
      </c>
      <c r="D996" s="15" t="s">
        <v>69</v>
      </c>
      <c r="E996" s="15" t="s">
        <v>617</v>
      </c>
      <c r="F996" s="15" t="s">
        <v>173</v>
      </c>
      <c r="G996" s="70">
        <v>0</v>
      </c>
      <c r="H996" s="70">
        <v>0</v>
      </c>
      <c r="I996" s="70">
        <v>0</v>
      </c>
      <c r="P996" s="21"/>
      <c r="Q996" s="21"/>
      <c r="R996" s="21"/>
      <c r="S996" s="21"/>
      <c r="T996" s="21"/>
    </row>
    <row r="997" spans="1:20" ht="51.75" hidden="1" customHeight="1">
      <c r="A997" s="16" t="s">
        <v>390</v>
      </c>
      <c r="B997" s="49">
        <v>795</v>
      </c>
      <c r="C997" s="15" t="s">
        <v>167</v>
      </c>
      <c r="D997" s="15" t="s">
        <v>69</v>
      </c>
      <c r="E997" s="15" t="s">
        <v>389</v>
      </c>
      <c r="F997" s="15"/>
      <c r="G997" s="87">
        <f t="shared" ref="G997:I997" si="271">G998</f>
        <v>0</v>
      </c>
      <c r="H997" s="87">
        <f t="shared" si="271"/>
        <v>0</v>
      </c>
      <c r="I997" s="87">
        <f t="shared" si="271"/>
        <v>0</v>
      </c>
    </row>
    <row r="998" spans="1:20" ht="30.75" hidden="1" customHeight="1">
      <c r="A998" s="16" t="s">
        <v>152</v>
      </c>
      <c r="B998" s="14">
        <v>793</v>
      </c>
      <c r="C998" s="15" t="s">
        <v>68</v>
      </c>
      <c r="D998" s="15" t="s">
        <v>69</v>
      </c>
      <c r="E998" s="15" t="s">
        <v>389</v>
      </c>
      <c r="F998" s="15" t="s">
        <v>153</v>
      </c>
      <c r="G998" s="70">
        <f>G999</f>
        <v>0</v>
      </c>
      <c r="H998" s="70">
        <f t="shared" ref="H998:I998" si="272">H999</f>
        <v>0</v>
      </c>
      <c r="I998" s="70">
        <f t="shared" si="272"/>
        <v>0</v>
      </c>
    </row>
    <row r="999" spans="1:20" ht="30.75" hidden="1" customHeight="1">
      <c r="A999" s="16" t="s">
        <v>172</v>
      </c>
      <c r="B999" s="14">
        <v>793</v>
      </c>
      <c r="C999" s="15" t="s">
        <v>68</v>
      </c>
      <c r="D999" s="15" t="s">
        <v>69</v>
      </c>
      <c r="E999" s="15" t="s">
        <v>389</v>
      </c>
      <c r="F999" s="15" t="s">
        <v>173</v>
      </c>
      <c r="G999" s="70">
        <f>прил4!G3121</f>
        <v>0</v>
      </c>
      <c r="H999" s="70">
        <f>прил4!H3121</f>
        <v>0</v>
      </c>
      <c r="I999" s="70">
        <f>прил4!I3121</f>
        <v>0</v>
      </c>
    </row>
    <row r="1000" spans="1:20" s="18" customFormat="1" ht="39.6" hidden="1">
      <c r="A1000" s="177" t="s">
        <v>839</v>
      </c>
      <c r="B1000" s="15" t="s">
        <v>92</v>
      </c>
      <c r="C1000" s="15" t="s">
        <v>25</v>
      </c>
      <c r="D1000" s="15" t="s">
        <v>120</v>
      </c>
      <c r="E1000" s="15" t="s">
        <v>871</v>
      </c>
      <c r="F1000" s="15"/>
      <c r="G1000" s="70">
        <f t="shared" ref="G1000:I1000" si="273">G1001</f>
        <v>0</v>
      </c>
      <c r="H1000" s="70">
        <f t="shared" si="273"/>
        <v>0</v>
      </c>
      <c r="I1000" s="70">
        <f t="shared" si="273"/>
        <v>0</v>
      </c>
      <c r="J1000" s="172"/>
    </row>
    <row r="1001" spans="1:20" s="18" customFormat="1" ht="39.6" hidden="1">
      <c r="A1001" s="80" t="s">
        <v>839</v>
      </c>
      <c r="B1001" s="15" t="s">
        <v>92</v>
      </c>
      <c r="C1001" s="15" t="s">
        <v>25</v>
      </c>
      <c r="D1001" s="15" t="s">
        <v>120</v>
      </c>
      <c r="E1001" s="15" t="s">
        <v>870</v>
      </c>
      <c r="F1001" s="15"/>
      <c r="G1001" s="70">
        <f t="shared" ref="G1001:I1002" si="274">G1002</f>
        <v>0</v>
      </c>
      <c r="H1001" s="70">
        <f t="shared" si="274"/>
        <v>0</v>
      </c>
      <c r="I1001" s="70">
        <f t="shared" si="274"/>
        <v>0</v>
      </c>
      <c r="J1001" s="172"/>
    </row>
    <row r="1002" spans="1:20" s="18" customFormat="1" hidden="1">
      <c r="A1002" s="16" t="s">
        <v>144</v>
      </c>
      <c r="B1002" s="15" t="s">
        <v>92</v>
      </c>
      <c r="C1002" s="15" t="s">
        <v>25</v>
      </c>
      <c r="D1002" s="15" t="s">
        <v>120</v>
      </c>
      <c r="E1002" s="15" t="s">
        <v>870</v>
      </c>
      <c r="F1002" s="15" t="s">
        <v>145</v>
      </c>
      <c r="G1002" s="70">
        <f t="shared" si="274"/>
        <v>0</v>
      </c>
      <c r="H1002" s="70">
        <f t="shared" si="274"/>
        <v>0</v>
      </c>
      <c r="I1002" s="70">
        <f t="shared" si="274"/>
        <v>0</v>
      </c>
      <c r="J1002" s="172"/>
    </row>
    <row r="1003" spans="1:20" s="18" customFormat="1" hidden="1">
      <c r="A1003" s="16" t="s">
        <v>875</v>
      </c>
      <c r="B1003" s="15" t="s">
        <v>92</v>
      </c>
      <c r="C1003" s="15" t="s">
        <v>25</v>
      </c>
      <c r="D1003" s="15" t="s">
        <v>120</v>
      </c>
      <c r="E1003" s="15" t="s">
        <v>870</v>
      </c>
      <c r="F1003" s="15" t="s">
        <v>872</v>
      </c>
      <c r="G1003" s="70">
        <f>прил4!G1351</f>
        <v>0</v>
      </c>
      <c r="H1003" s="70">
        <f>прил4!H1351</f>
        <v>0</v>
      </c>
      <c r="I1003" s="70">
        <f>прил4!I1351</f>
        <v>0</v>
      </c>
      <c r="J1003" s="172"/>
    </row>
    <row r="1004" spans="1:20" ht="33" hidden="1" customHeight="1">
      <c r="A1004" s="16" t="s">
        <v>928</v>
      </c>
      <c r="B1004" s="15" t="s">
        <v>92</v>
      </c>
      <c r="C1004" s="15" t="s">
        <v>25</v>
      </c>
      <c r="D1004" s="15" t="s">
        <v>120</v>
      </c>
      <c r="E1004" s="15" t="s">
        <v>912</v>
      </c>
      <c r="F1004" s="15"/>
      <c r="G1004" s="70">
        <f>G1005</f>
        <v>0</v>
      </c>
      <c r="H1004" s="70">
        <f t="shared" ref="H1004:I1004" si="275">H1005</f>
        <v>0</v>
      </c>
      <c r="I1004" s="70">
        <f t="shared" si="275"/>
        <v>0</v>
      </c>
      <c r="J1004" s="173"/>
      <c r="K1004" s="181"/>
      <c r="L1004" s="181"/>
      <c r="M1004" s="181"/>
      <c r="N1004" s="181"/>
      <c r="O1004" s="181"/>
      <c r="P1004" s="181"/>
      <c r="Q1004" s="181"/>
      <c r="R1004" s="181"/>
      <c r="S1004" s="1"/>
      <c r="T1004" s="1"/>
    </row>
    <row r="1005" spans="1:20" ht="24.75" hidden="1" customHeight="1">
      <c r="A1005" s="16" t="s">
        <v>35</v>
      </c>
      <c r="B1005" s="15" t="s">
        <v>92</v>
      </c>
      <c r="C1005" s="15" t="s">
        <v>25</v>
      </c>
      <c r="D1005" s="15" t="s">
        <v>120</v>
      </c>
      <c r="E1005" s="15" t="s">
        <v>912</v>
      </c>
      <c r="F1005" s="15" t="s">
        <v>36</v>
      </c>
      <c r="G1005" s="70">
        <f>G1006</f>
        <v>0</v>
      </c>
      <c r="H1005" s="70">
        <f t="shared" ref="H1005:I1005" si="276">H1006</f>
        <v>0</v>
      </c>
      <c r="I1005" s="70">
        <f t="shared" si="276"/>
        <v>0</v>
      </c>
      <c r="J1005" s="173"/>
      <c r="K1005" s="181"/>
      <c r="L1005" s="181"/>
      <c r="M1005" s="181"/>
      <c r="N1005" s="181"/>
      <c r="O1005" s="181"/>
      <c r="P1005" s="181"/>
      <c r="Q1005" s="181"/>
      <c r="R1005" s="181"/>
      <c r="S1005" s="1"/>
      <c r="T1005" s="1"/>
    </row>
    <row r="1006" spans="1:20" ht="42.75" hidden="1" customHeight="1">
      <c r="A1006" s="16" t="s">
        <v>37</v>
      </c>
      <c r="B1006" s="15" t="s">
        <v>92</v>
      </c>
      <c r="C1006" s="15" t="s">
        <v>25</v>
      </c>
      <c r="D1006" s="15" t="s">
        <v>120</v>
      </c>
      <c r="E1006" s="15" t="s">
        <v>912</v>
      </c>
      <c r="F1006" s="15" t="s">
        <v>38</v>
      </c>
      <c r="G1006" s="87">
        <f>прил4!G1354</f>
        <v>0</v>
      </c>
      <c r="H1006" s="70">
        <v>0</v>
      </c>
      <c r="I1006" s="70">
        <v>0</v>
      </c>
      <c r="J1006" s="173"/>
      <c r="K1006" s="181"/>
      <c r="L1006" s="181"/>
      <c r="M1006" s="181"/>
      <c r="N1006" s="181"/>
      <c r="O1006" s="181"/>
      <c r="P1006" s="181"/>
      <c r="Q1006" s="181"/>
      <c r="R1006" s="181"/>
      <c r="S1006" s="1"/>
      <c r="T1006" s="1"/>
    </row>
    <row r="1007" spans="1:20" ht="84.75" customHeight="1">
      <c r="A1007" s="82" t="s">
        <v>1435</v>
      </c>
      <c r="B1007" s="84" t="s">
        <v>92</v>
      </c>
      <c r="C1007" s="84" t="s">
        <v>25</v>
      </c>
      <c r="D1007" s="84" t="s">
        <v>120</v>
      </c>
      <c r="E1007" s="84" t="s">
        <v>1531</v>
      </c>
      <c r="F1007" s="84"/>
      <c r="G1007" s="87">
        <f>G1008</f>
        <v>212735.82</v>
      </c>
      <c r="H1007" s="87">
        <f t="shared" ref="H1007:I1007" si="277">H1008</f>
        <v>0</v>
      </c>
      <c r="I1007" s="87">
        <f t="shared" si="277"/>
        <v>0</v>
      </c>
      <c r="J1007" s="173"/>
      <c r="K1007" s="181"/>
      <c r="L1007" s="181"/>
      <c r="M1007" s="181"/>
      <c r="N1007" s="181"/>
      <c r="O1007" s="181"/>
      <c r="P1007" s="181"/>
      <c r="Q1007" s="181"/>
      <c r="R1007" s="181"/>
      <c r="S1007" s="1"/>
      <c r="T1007" s="1"/>
    </row>
    <row r="1008" spans="1:20" ht="29.25" customHeight="1">
      <c r="A1008" s="82" t="s">
        <v>54</v>
      </c>
      <c r="B1008" s="84" t="s">
        <v>92</v>
      </c>
      <c r="C1008" s="84" t="s">
        <v>25</v>
      </c>
      <c r="D1008" s="84" t="s">
        <v>120</v>
      </c>
      <c r="E1008" s="84" t="s">
        <v>1531</v>
      </c>
      <c r="F1008" s="84" t="s">
        <v>57</v>
      </c>
      <c r="G1008" s="87">
        <f>G1009</f>
        <v>212735.82</v>
      </c>
      <c r="H1008" s="87">
        <f>H1009</f>
        <v>0</v>
      </c>
      <c r="I1008" s="87">
        <f>I1009</f>
        <v>0</v>
      </c>
      <c r="J1008" s="173"/>
      <c r="K1008" s="181"/>
      <c r="L1008" s="181"/>
      <c r="M1008" s="181"/>
      <c r="N1008" s="181"/>
      <c r="O1008" s="181"/>
      <c r="P1008" s="181"/>
      <c r="Q1008" s="181"/>
      <c r="R1008" s="181"/>
      <c r="S1008" s="1"/>
      <c r="T1008" s="1"/>
    </row>
    <row r="1009" spans="1:22" ht="36.75" customHeight="1">
      <c r="A1009" s="82" t="s">
        <v>55</v>
      </c>
      <c r="B1009" s="84" t="s">
        <v>92</v>
      </c>
      <c r="C1009" s="84" t="s">
        <v>25</v>
      </c>
      <c r="D1009" s="84" t="s">
        <v>120</v>
      </c>
      <c r="E1009" s="84" t="s">
        <v>1531</v>
      </c>
      <c r="F1009" s="84" t="s">
        <v>58</v>
      </c>
      <c r="G1009" s="70">
        <f>прил4!G1357</f>
        <v>212735.82</v>
      </c>
      <c r="H1009" s="87">
        <v>0</v>
      </c>
      <c r="I1009" s="87">
        <v>0</v>
      </c>
      <c r="J1009" s="173"/>
      <c r="K1009" s="181"/>
      <c r="L1009" s="181"/>
      <c r="M1009" s="181"/>
      <c r="N1009" s="181"/>
      <c r="O1009" s="181"/>
      <c r="P1009" s="181"/>
      <c r="Q1009" s="181"/>
      <c r="R1009" s="181"/>
      <c r="S1009" s="1"/>
      <c r="T1009" s="1"/>
    </row>
    <row r="1010" spans="1:22" ht="41.25" customHeight="1">
      <c r="A1010" s="107" t="s">
        <v>1259</v>
      </c>
      <c r="B1010" s="14">
        <v>793</v>
      </c>
      <c r="C1010" s="15" t="s">
        <v>167</v>
      </c>
      <c r="D1010" s="15" t="s">
        <v>69</v>
      </c>
      <c r="E1010" s="36" t="s">
        <v>135</v>
      </c>
      <c r="F1010" s="36"/>
      <c r="G1010" s="71">
        <f>G1011+G1014+G1019</f>
        <v>18347230.202999998</v>
      </c>
      <c r="H1010" s="71">
        <f t="shared" ref="H1010:I1012" si="278">H1011</f>
        <v>18049880.109999999</v>
      </c>
      <c r="I1010" s="71">
        <f t="shared" si="278"/>
        <v>0</v>
      </c>
      <c r="J1010" s="172"/>
      <c r="K1010" s="69"/>
      <c r="L1010" s="69"/>
      <c r="M1010" s="69"/>
      <c r="N1010" s="69"/>
      <c r="O1010" s="69"/>
      <c r="P1010" s="69"/>
      <c r="Q1010" s="69"/>
      <c r="R1010" s="69"/>
      <c r="S1010" s="1"/>
      <c r="T1010" s="2">
        <f>прил4!G2431</f>
        <v>18347230.202999998</v>
      </c>
      <c r="V1010" s="2"/>
    </row>
    <row r="1011" spans="1:22" ht="44.25" customHeight="1">
      <c r="A1011" s="50" t="s">
        <v>1258</v>
      </c>
      <c r="B1011" s="14">
        <v>793</v>
      </c>
      <c r="C1011" s="15" t="s">
        <v>167</v>
      </c>
      <c r="D1011" s="15" t="s">
        <v>69</v>
      </c>
      <c r="E1011" s="15" t="s">
        <v>389</v>
      </c>
      <c r="F1011" s="15"/>
      <c r="G1011" s="70">
        <f>G1012</f>
        <v>16827483.129999999</v>
      </c>
      <c r="H1011" s="70">
        <f t="shared" si="278"/>
        <v>18049880.109999999</v>
      </c>
      <c r="I1011" s="70">
        <f t="shared" si="278"/>
        <v>0</v>
      </c>
      <c r="J1011" s="172"/>
      <c r="K1011" s="69"/>
      <c r="L1011" s="69"/>
      <c r="M1011" s="69"/>
      <c r="N1011" s="69"/>
      <c r="O1011" s="69"/>
      <c r="P1011" s="69"/>
      <c r="Q1011" s="69"/>
      <c r="R1011" s="69"/>
      <c r="S1011" s="1"/>
      <c r="T1011" s="1"/>
    </row>
    <row r="1012" spans="1:22" ht="32.25" customHeight="1">
      <c r="A1012" s="16" t="s">
        <v>35</v>
      </c>
      <c r="B1012" s="14">
        <v>793</v>
      </c>
      <c r="C1012" s="15" t="s">
        <v>167</v>
      </c>
      <c r="D1012" s="15" t="s">
        <v>69</v>
      </c>
      <c r="E1012" s="15" t="s">
        <v>389</v>
      </c>
      <c r="F1012" s="15" t="s">
        <v>36</v>
      </c>
      <c r="G1012" s="70">
        <f>G1013</f>
        <v>16827483.129999999</v>
      </c>
      <c r="H1012" s="70">
        <f t="shared" si="278"/>
        <v>18049880.109999999</v>
      </c>
      <c r="I1012" s="70">
        <f t="shared" si="278"/>
        <v>0</v>
      </c>
      <c r="J1012" s="172"/>
      <c r="K1012" s="69"/>
      <c r="L1012" s="69"/>
      <c r="M1012" s="69"/>
      <c r="N1012" s="69"/>
      <c r="O1012" s="69"/>
      <c r="P1012" s="69"/>
      <c r="Q1012" s="69"/>
      <c r="R1012" s="69"/>
      <c r="S1012" s="1"/>
      <c r="T1012" s="1"/>
    </row>
    <row r="1013" spans="1:22" ht="30.75" customHeight="1">
      <c r="A1013" s="16" t="s">
        <v>37</v>
      </c>
      <c r="B1013" s="14">
        <v>793</v>
      </c>
      <c r="C1013" s="15" t="s">
        <v>167</v>
      </c>
      <c r="D1013" s="15" t="s">
        <v>69</v>
      </c>
      <c r="E1013" s="15" t="s">
        <v>389</v>
      </c>
      <c r="F1013" s="15" t="s">
        <v>38</v>
      </c>
      <c r="G1013" s="70">
        <f>прил4!G2434</f>
        <v>16827483.129999999</v>
      </c>
      <c r="H1013" s="70">
        <f>прил4!H2434</f>
        <v>18049880.109999999</v>
      </c>
      <c r="I1013" s="70">
        <f>прил4!I2434</f>
        <v>0</v>
      </c>
      <c r="J1013" s="172"/>
      <c r="K1013" s="69"/>
      <c r="L1013" s="69"/>
      <c r="M1013" s="69"/>
      <c r="N1013" s="69"/>
      <c r="O1013" s="69"/>
      <c r="P1013" s="69"/>
      <c r="Q1013" s="69"/>
      <c r="R1013" s="69"/>
      <c r="S1013" s="1"/>
      <c r="T1013" s="1"/>
    </row>
    <row r="1014" spans="1:22" ht="63.75" customHeight="1">
      <c r="A1014" s="50" t="s">
        <v>1295</v>
      </c>
      <c r="B1014" s="14">
        <v>793</v>
      </c>
      <c r="C1014" s="15" t="s">
        <v>167</v>
      </c>
      <c r="D1014" s="15" t="s">
        <v>69</v>
      </c>
      <c r="E1014" s="15" t="s">
        <v>1294</v>
      </c>
      <c r="F1014" s="15"/>
      <c r="G1014" s="70">
        <f>G1015</f>
        <v>1250558.3230000001</v>
      </c>
      <c r="H1014" s="70">
        <f t="shared" ref="H1014:I1015" si="279">H1015</f>
        <v>0</v>
      </c>
      <c r="I1014" s="70">
        <f t="shared" si="279"/>
        <v>0</v>
      </c>
      <c r="J1014" s="172"/>
      <c r="K1014" s="69"/>
      <c r="L1014" s="69"/>
      <c r="M1014" s="69"/>
      <c r="N1014" s="69"/>
      <c r="O1014" s="69"/>
      <c r="P1014" s="69"/>
      <c r="Q1014" s="69"/>
      <c r="R1014" s="69"/>
      <c r="S1014" s="1"/>
      <c r="T1014" s="1"/>
    </row>
    <row r="1015" spans="1:22" ht="32.25" customHeight="1">
      <c r="A1015" s="16" t="s">
        <v>35</v>
      </c>
      <c r="B1015" s="14">
        <v>793</v>
      </c>
      <c r="C1015" s="15" t="s">
        <v>167</v>
      </c>
      <c r="D1015" s="15" t="s">
        <v>69</v>
      </c>
      <c r="E1015" s="15" t="s">
        <v>1294</v>
      </c>
      <c r="F1015" s="15" t="s">
        <v>36</v>
      </c>
      <c r="G1015" s="70">
        <f>G1016</f>
        <v>1250558.3230000001</v>
      </c>
      <c r="H1015" s="70">
        <f t="shared" si="279"/>
        <v>0</v>
      </c>
      <c r="I1015" s="70">
        <f t="shared" si="279"/>
        <v>0</v>
      </c>
      <c r="J1015" s="172"/>
      <c r="K1015" s="69"/>
      <c r="L1015" s="69"/>
      <c r="M1015" s="69"/>
      <c r="N1015" s="69"/>
      <c r="O1015" s="69"/>
      <c r="P1015" s="69"/>
      <c r="Q1015" s="69"/>
      <c r="R1015" s="69"/>
      <c r="S1015" s="1"/>
      <c r="T1015" s="1"/>
    </row>
    <row r="1016" spans="1:22" ht="30.75" customHeight="1">
      <c r="A1016" s="16" t="s">
        <v>37</v>
      </c>
      <c r="B1016" s="14">
        <v>793</v>
      </c>
      <c r="C1016" s="15" t="s">
        <v>167</v>
      </c>
      <c r="D1016" s="15" t="s">
        <v>69</v>
      </c>
      <c r="E1016" s="15" t="s">
        <v>1294</v>
      </c>
      <c r="F1016" s="15" t="s">
        <v>38</v>
      </c>
      <c r="G1016" s="70">
        <f>прил4!G2440</f>
        <v>1250558.3230000001</v>
      </c>
      <c r="H1016" s="70">
        <v>0</v>
      </c>
      <c r="I1016" s="70">
        <v>0</v>
      </c>
      <c r="J1016" s="172"/>
      <c r="K1016" s="69"/>
      <c r="L1016" s="69"/>
      <c r="M1016" s="69"/>
      <c r="N1016" s="69"/>
      <c r="O1016" s="69"/>
      <c r="P1016" s="69"/>
      <c r="Q1016" s="69"/>
      <c r="R1016" s="69"/>
      <c r="S1016" s="1"/>
      <c r="T1016" s="1"/>
    </row>
    <row r="1017" spans="1:22" ht="44.25" customHeight="1">
      <c r="A1017" s="50" t="s">
        <v>1297</v>
      </c>
      <c r="B1017" s="14">
        <v>793</v>
      </c>
      <c r="C1017" s="15" t="s">
        <v>167</v>
      </c>
      <c r="D1017" s="15" t="s">
        <v>69</v>
      </c>
      <c r="E1017" s="15" t="s">
        <v>1296</v>
      </c>
      <c r="F1017" s="15"/>
      <c r="G1017" s="70">
        <f>G1018</f>
        <v>269188.75</v>
      </c>
      <c r="H1017" s="70">
        <f t="shared" ref="H1017:I1018" si="280">H1018</f>
        <v>0</v>
      </c>
      <c r="I1017" s="70">
        <f t="shared" si="280"/>
        <v>0</v>
      </c>
      <c r="J1017" s="172"/>
      <c r="K1017" s="69"/>
      <c r="L1017" s="69"/>
      <c r="M1017" s="69"/>
      <c r="N1017" s="69"/>
      <c r="O1017" s="69"/>
      <c r="P1017" s="69"/>
      <c r="Q1017" s="69"/>
      <c r="R1017" s="69"/>
      <c r="S1017" s="1"/>
      <c r="T1017" s="1"/>
    </row>
    <row r="1018" spans="1:22" ht="32.25" customHeight="1">
      <c r="A1018" s="16" t="s">
        <v>35</v>
      </c>
      <c r="B1018" s="14">
        <v>793</v>
      </c>
      <c r="C1018" s="15" t="s">
        <v>167</v>
      </c>
      <c r="D1018" s="15" t="s">
        <v>69</v>
      </c>
      <c r="E1018" s="15" t="s">
        <v>1296</v>
      </c>
      <c r="F1018" s="15" t="s">
        <v>36</v>
      </c>
      <c r="G1018" s="70">
        <f>G1019</f>
        <v>269188.75</v>
      </c>
      <c r="H1018" s="70">
        <f t="shared" si="280"/>
        <v>0</v>
      </c>
      <c r="I1018" s="70">
        <f t="shared" si="280"/>
        <v>0</v>
      </c>
      <c r="J1018" s="172"/>
      <c r="K1018" s="69"/>
      <c r="L1018" s="69"/>
      <c r="M1018" s="69"/>
      <c r="N1018" s="69"/>
      <c r="O1018" s="69"/>
      <c r="P1018" s="69"/>
      <c r="Q1018" s="69"/>
      <c r="R1018" s="69"/>
      <c r="S1018" s="1"/>
      <c r="T1018" s="1"/>
    </row>
    <row r="1019" spans="1:22" ht="30.75" customHeight="1">
      <c r="A1019" s="16" t="s">
        <v>37</v>
      </c>
      <c r="B1019" s="14">
        <v>793</v>
      </c>
      <c r="C1019" s="15" t="s">
        <v>167</v>
      </c>
      <c r="D1019" s="15" t="s">
        <v>69</v>
      </c>
      <c r="E1019" s="15" t="s">
        <v>1296</v>
      </c>
      <c r="F1019" s="15" t="s">
        <v>38</v>
      </c>
      <c r="G1019" s="70">
        <f>прил4!G2437</f>
        <v>269188.75</v>
      </c>
      <c r="H1019" s="70">
        <v>0</v>
      </c>
      <c r="I1019" s="70">
        <v>0</v>
      </c>
      <c r="J1019" s="172"/>
      <c r="K1019" s="69"/>
      <c r="L1019" s="69"/>
      <c r="M1019" s="69"/>
      <c r="N1019" s="69"/>
      <c r="O1019" s="69"/>
      <c r="P1019" s="69"/>
      <c r="Q1019" s="69"/>
      <c r="R1019" s="69"/>
      <c r="S1019" s="1"/>
      <c r="T1019" s="1"/>
    </row>
    <row r="1020" spans="1:22" s="32" customFormat="1" ht="29.25" customHeight="1">
      <c r="A1020" s="342" t="s">
        <v>1134</v>
      </c>
      <c r="B1020" s="35">
        <v>757</v>
      </c>
      <c r="C1020" s="36" t="s">
        <v>43</v>
      </c>
      <c r="D1020" s="36" t="s">
        <v>53</v>
      </c>
      <c r="E1020" s="36" t="s">
        <v>196</v>
      </c>
      <c r="F1020" s="36"/>
      <c r="G1020" s="71">
        <f>G1021+G1026+G1029+G1037+G1033</f>
        <v>122966.67</v>
      </c>
      <c r="H1020" s="71">
        <f t="shared" ref="H1020:I1020" si="281">H1021+H1026+H1029+H1037</f>
        <v>161100</v>
      </c>
      <c r="I1020" s="71">
        <f t="shared" si="281"/>
        <v>161100</v>
      </c>
      <c r="J1020" s="31"/>
      <c r="P1020" s="31"/>
      <c r="Q1020" s="31"/>
      <c r="R1020" s="31"/>
      <c r="S1020" s="31"/>
      <c r="T1020" s="31">
        <f>прил4!G31</f>
        <v>122966.67</v>
      </c>
      <c r="V1020" s="31"/>
    </row>
    <row r="1021" spans="1:22" s="32" customFormat="1" ht="27.75" customHeight="1">
      <c r="A1021" s="30" t="s">
        <v>1183</v>
      </c>
      <c r="B1021" s="14">
        <v>757</v>
      </c>
      <c r="C1021" s="15" t="s">
        <v>43</v>
      </c>
      <c r="D1021" s="15" t="s">
        <v>18</v>
      </c>
      <c r="E1021" s="15" t="s">
        <v>197</v>
      </c>
      <c r="F1021" s="15"/>
      <c r="G1021" s="87">
        <f>G1024+G1022</f>
        <v>122966.67</v>
      </c>
      <c r="H1021" s="87">
        <f t="shared" ref="H1021:I1021" si="282">H1024+H1022</f>
        <v>161100</v>
      </c>
      <c r="I1021" s="87">
        <f t="shared" si="282"/>
        <v>161100</v>
      </c>
      <c r="J1021" s="31"/>
      <c r="P1021" s="31"/>
      <c r="Q1021" s="31"/>
      <c r="R1021" s="31"/>
      <c r="S1021" s="31"/>
      <c r="T1021" s="31"/>
    </row>
    <row r="1022" spans="1:22" ht="29.25" hidden="1" customHeight="1">
      <c r="A1022" s="16" t="s">
        <v>35</v>
      </c>
      <c r="B1022" s="14">
        <v>757</v>
      </c>
      <c r="C1022" s="15" t="s">
        <v>53</v>
      </c>
      <c r="D1022" s="15" t="s">
        <v>87</v>
      </c>
      <c r="E1022" s="15" t="s">
        <v>197</v>
      </c>
      <c r="F1022" s="84" t="s">
        <v>36</v>
      </c>
      <c r="G1022" s="87">
        <f>G1023</f>
        <v>0</v>
      </c>
      <c r="H1022" s="70">
        <f t="shared" ref="H1022:I1022" si="283">H1023</f>
        <v>0</v>
      </c>
      <c r="I1022" s="70">
        <f t="shared" si="283"/>
        <v>0</v>
      </c>
      <c r="J1022" s="1"/>
    </row>
    <row r="1023" spans="1:22" ht="38.25" hidden="1" customHeight="1">
      <c r="A1023" s="16" t="s">
        <v>37</v>
      </c>
      <c r="B1023" s="14">
        <v>757</v>
      </c>
      <c r="C1023" s="15" t="s">
        <v>53</v>
      </c>
      <c r="D1023" s="15" t="s">
        <v>87</v>
      </c>
      <c r="E1023" s="15" t="s">
        <v>197</v>
      </c>
      <c r="F1023" s="84" t="s">
        <v>38</v>
      </c>
      <c r="G1023" s="8">
        <f>прил4!G34</f>
        <v>0</v>
      </c>
      <c r="H1023" s="8">
        <f>прил4!H34</f>
        <v>0</v>
      </c>
      <c r="I1023" s="8">
        <f>прил4!I34</f>
        <v>0</v>
      </c>
      <c r="J1023" s="1"/>
    </row>
    <row r="1024" spans="1:22" ht="32.25" customHeight="1">
      <c r="A1024" s="16" t="s">
        <v>29</v>
      </c>
      <c r="B1024" s="14">
        <v>757</v>
      </c>
      <c r="C1024" s="15" t="s">
        <v>43</v>
      </c>
      <c r="D1024" s="15" t="s">
        <v>18</v>
      </c>
      <c r="E1024" s="15" t="s">
        <v>197</v>
      </c>
      <c r="F1024" s="15" t="s">
        <v>30</v>
      </c>
      <c r="G1024" s="85">
        <f t="shared" ref="G1024:I1024" si="284">G1025</f>
        <v>122966.67</v>
      </c>
      <c r="H1024" s="85">
        <f t="shared" si="284"/>
        <v>161100</v>
      </c>
      <c r="I1024" s="85">
        <f t="shared" si="284"/>
        <v>161100</v>
      </c>
    </row>
    <row r="1025" spans="1:22">
      <c r="A1025" s="16" t="s">
        <v>31</v>
      </c>
      <c r="B1025" s="14">
        <v>757</v>
      </c>
      <c r="C1025" s="15" t="s">
        <v>43</v>
      </c>
      <c r="D1025" s="15" t="s">
        <v>18</v>
      </c>
      <c r="E1025" s="15" t="s">
        <v>197</v>
      </c>
      <c r="F1025" s="15" t="s">
        <v>32</v>
      </c>
      <c r="G1025" s="85">
        <f>прил4!G36</f>
        <v>122966.67</v>
      </c>
      <c r="H1025" s="85">
        <f>прил4!H36</f>
        <v>161100</v>
      </c>
      <c r="I1025" s="85">
        <f>прил4!I36</f>
        <v>161100</v>
      </c>
      <c r="J1025" s="2">
        <v>50000</v>
      </c>
    </row>
    <row r="1026" spans="1:22" ht="15" hidden="1" customHeight="1">
      <c r="A1026" s="141" t="s">
        <v>474</v>
      </c>
      <c r="B1026" s="14">
        <v>757</v>
      </c>
      <c r="C1026" s="15" t="s">
        <v>53</v>
      </c>
      <c r="D1026" s="15" t="s">
        <v>87</v>
      </c>
      <c r="E1026" s="84" t="s">
        <v>473</v>
      </c>
      <c r="F1026" s="84"/>
      <c r="G1026" s="87">
        <f>G1027</f>
        <v>0</v>
      </c>
      <c r="H1026" s="87">
        <f t="shared" ref="H1026:I1027" si="285">H1027</f>
        <v>0</v>
      </c>
      <c r="I1026" s="87">
        <f t="shared" si="285"/>
        <v>0</v>
      </c>
      <c r="J1026" s="1"/>
    </row>
    <row r="1027" spans="1:22" ht="27.75" hidden="1" customHeight="1">
      <c r="A1027" s="16" t="s">
        <v>35</v>
      </c>
      <c r="B1027" s="14">
        <v>757</v>
      </c>
      <c r="C1027" s="15" t="s">
        <v>53</v>
      </c>
      <c r="D1027" s="15" t="s">
        <v>87</v>
      </c>
      <c r="E1027" s="84" t="s">
        <v>473</v>
      </c>
      <c r="F1027" s="84" t="s">
        <v>36</v>
      </c>
      <c r="G1027" s="87">
        <f>G1028</f>
        <v>0</v>
      </c>
      <c r="H1027" s="87">
        <f t="shared" si="285"/>
        <v>0</v>
      </c>
      <c r="I1027" s="87">
        <f t="shared" si="285"/>
        <v>0</v>
      </c>
      <c r="J1027" s="1"/>
    </row>
    <row r="1028" spans="1:22" ht="30.75" hidden="1" customHeight="1">
      <c r="A1028" s="16" t="s">
        <v>37</v>
      </c>
      <c r="B1028" s="14">
        <v>757</v>
      </c>
      <c r="C1028" s="15" t="s">
        <v>53</v>
      </c>
      <c r="D1028" s="15" t="s">
        <v>87</v>
      </c>
      <c r="E1028" s="84" t="s">
        <v>473</v>
      </c>
      <c r="F1028" s="84" t="s">
        <v>38</v>
      </c>
      <c r="G1028" s="87">
        <f>прил4!G39</f>
        <v>0</v>
      </c>
      <c r="H1028" s="87">
        <v>0</v>
      </c>
      <c r="I1028" s="87">
        <v>0</v>
      </c>
      <c r="J1028" s="1"/>
    </row>
    <row r="1029" spans="1:22" s="18" customFormat="1" ht="32.25" hidden="1" customHeight="1">
      <c r="A1029" s="16" t="s">
        <v>110</v>
      </c>
      <c r="B1029" s="49">
        <v>795</v>
      </c>
      <c r="C1029" s="15" t="s">
        <v>53</v>
      </c>
      <c r="D1029" s="15" t="s">
        <v>120</v>
      </c>
      <c r="E1029" s="15" t="s">
        <v>196</v>
      </c>
      <c r="F1029" s="15"/>
      <c r="G1029" s="70">
        <f t="shared" ref="G1029:I1031" si="286">G1030</f>
        <v>0</v>
      </c>
      <c r="H1029" s="70">
        <f t="shared" si="286"/>
        <v>0</v>
      </c>
      <c r="I1029" s="70">
        <f t="shared" si="286"/>
        <v>0</v>
      </c>
      <c r="P1029" s="17"/>
      <c r="Q1029" s="17"/>
      <c r="R1029" s="17"/>
      <c r="S1029" s="17"/>
      <c r="T1029" s="17"/>
    </row>
    <row r="1030" spans="1:22" s="18" customFormat="1" ht="62.25" hidden="1" customHeight="1">
      <c r="A1030" s="16" t="s">
        <v>756</v>
      </c>
      <c r="B1030" s="49">
        <v>795</v>
      </c>
      <c r="C1030" s="15" t="s">
        <v>53</v>
      </c>
      <c r="D1030" s="15" t="s">
        <v>120</v>
      </c>
      <c r="E1030" s="15" t="s">
        <v>405</v>
      </c>
      <c r="F1030" s="15"/>
      <c r="G1030" s="70">
        <f t="shared" si="286"/>
        <v>0</v>
      </c>
      <c r="H1030" s="70">
        <f t="shared" si="286"/>
        <v>0</v>
      </c>
      <c r="I1030" s="70">
        <f t="shared" si="286"/>
        <v>0</v>
      </c>
      <c r="P1030" s="17"/>
      <c r="Q1030" s="17"/>
      <c r="R1030" s="17"/>
      <c r="S1030" s="17"/>
      <c r="T1030" s="17"/>
    </row>
    <row r="1031" spans="1:22" s="18" customFormat="1" ht="39" hidden="1" customHeight="1">
      <c r="A1031" s="16" t="s">
        <v>94</v>
      </c>
      <c r="B1031" s="49">
        <v>795</v>
      </c>
      <c r="C1031" s="15" t="s">
        <v>53</v>
      </c>
      <c r="D1031" s="15" t="s">
        <v>120</v>
      </c>
      <c r="E1031" s="15" t="s">
        <v>405</v>
      </c>
      <c r="F1031" s="15" t="s">
        <v>338</v>
      </c>
      <c r="G1031" s="70">
        <f t="shared" si="286"/>
        <v>0</v>
      </c>
      <c r="H1031" s="70">
        <f t="shared" si="286"/>
        <v>0</v>
      </c>
      <c r="I1031" s="70">
        <f t="shared" si="286"/>
        <v>0</v>
      </c>
      <c r="P1031" s="17"/>
      <c r="Q1031" s="17"/>
      <c r="R1031" s="17"/>
      <c r="S1031" s="17"/>
      <c r="T1031" s="17"/>
    </row>
    <row r="1032" spans="1:22" s="18" customFormat="1" ht="15.75" hidden="1" customHeight="1">
      <c r="A1032" s="16" t="s">
        <v>339</v>
      </c>
      <c r="B1032" s="49">
        <v>795</v>
      </c>
      <c r="C1032" s="15" t="s">
        <v>53</v>
      </c>
      <c r="D1032" s="15" t="s">
        <v>120</v>
      </c>
      <c r="E1032" s="15" t="s">
        <v>405</v>
      </c>
      <c r="F1032" s="15" t="s">
        <v>340</v>
      </c>
      <c r="G1032" s="70">
        <f>прил4!G2970</f>
        <v>0</v>
      </c>
      <c r="H1032" s="70">
        <v>0</v>
      </c>
      <c r="I1032" s="70">
        <v>0</v>
      </c>
      <c r="P1032" s="17"/>
      <c r="Q1032" s="17"/>
      <c r="R1032" s="17"/>
      <c r="S1032" s="17"/>
      <c r="T1032" s="17"/>
    </row>
    <row r="1033" spans="1:22" s="18" customFormat="1" ht="70.5" hidden="1" customHeight="1">
      <c r="A1033" s="16" t="s">
        <v>756</v>
      </c>
      <c r="B1033" s="14">
        <v>793</v>
      </c>
      <c r="C1033" s="15" t="s">
        <v>53</v>
      </c>
      <c r="D1033" s="15" t="s">
        <v>120</v>
      </c>
      <c r="E1033" s="15" t="s">
        <v>405</v>
      </c>
      <c r="F1033" s="15"/>
      <c r="G1033" s="70">
        <f t="shared" ref="G1033:I1034" si="287">G1034</f>
        <v>0</v>
      </c>
      <c r="H1033" s="70">
        <f t="shared" si="287"/>
        <v>0</v>
      </c>
      <c r="I1033" s="70">
        <f t="shared" si="287"/>
        <v>0</v>
      </c>
      <c r="J1033" s="173"/>
      <c r="K1033" s="195"/>
      <c r="L1033" s="195"/>
      <c r="M1033" s="195"/>
      <c r="N1033" s="195"/>
      <c r="O1033" s="195"/>
      <c r="P1033" s="195"/>
      <c r="Q1033" s="195"/>
      <c r="R1033" s="195"/>
    </row>
    <row r="1034" spans="1:22" s="18" customFormat="1" ht="39" hidden="1" customHeight="1">
      <c r="A1034" s="16" t="s">
        <v>94</v>
      </c>
      <c r="B1034" s="14">
        <v>793</v>
      </c>
      <c r="C1034" s="15" t="s">
        <v>53</v>
      </c>
      <c r="D1034" s="15" t="s">
        <v>120</v>
      </c>
      <c r="E1034" s="15" t="s">
        <v>405</v>
      </c>
      <c r="F1034" s="15" t="s">
        <v>338</v>
      </c>
      <c r="G1034" s="70">
        <f t="shared" si="287"/>
        <v>0</v>
      </c>
      <c r="H1034" s="70">
        <f t="shared" si="287"/>
        <v>0</v>
      </c>
      <c r="I1034" s="70">
        <f t="shared" si="287"/>
        <v>0</v>
      </c>
      <c r="J1034" s="173"/>
      <c r="K1034" s="195"/>
      <c r="L1034" s="195"/>
      <c r="M1034" s="195"/>
      <c r="N1034" s="195"/>
      <c r="O1034" s="195"/>
      <c r="P1034" s="195"/>
      <c r="Q1034" s="195"/>
      <c r="R1034" s="195"/>
    </row>
    <row r="1035" spans="1:22" s="18" customFormat="1" ht="15.75" hidden="1" customHeight="1">
      <c r="A1035" s="16" t="s">
        <v>339</v>
      </c>
      <c r="B1035" s="14">
        <v>793</v>
      </c>
      <c r="C1035" s="15" t="s">
        <v>53</v>
      </c>
      <c r="D1035" s="15" t="s">
        <v>120</v>
      </c>
      <c r="E1035" s="15" t="s">
        <v>405</v>
      </c>
      <c r="F1035" s="15" t="s">
        <v>340</v>
      </c>
      <c r="G1035" s="70">
        <f>прил4!G2002</f>
        <v>0</v>
      </c>
      <c r="H1035" s="70">
        <f>прил4!H2002</f>
        <v>0</v>
      </c>
      <c r="I1035" s="70">
        <f>прил4!I2002</f>
        <v>0</v>
      </c>
      <c r="J1035" s="173"/>
      <c r="K1035" s="195"/>
      <c r="L1035" s="195"/>
      <c r="M1035" s="195"/>
      <c r="N1035" s="195"/>
      <c r="O1035" s="195"/>
      <c r="P1035" s="195"/>
      <c r="Q1035" s="195"/>
      <c r="R1035" s="195"/>
    </row>
    <row r="1036" spans="1:22" s="18" customFormat="1" ht="32.25" hidden="1" customHeight="1">
      <c r="A1036" s="16" t="s">
        <v>897</v>
      </c>
      <c r="B1036" s="14">
        <v>793</v>
      </c>
      <c r="C1036" s="15" t="s">
        <v>53</v>
      </c>
      <c r="D1036" s="15" t="s">
        <v>120</v>
      </c>
      <c r="E1036" s="15" t="s">
        <v>896</v>
      </c>
      <c r="F1036" s="15"/>
      <c r="G1036" s="70">
        <f>G1037</f>
        <v>0</v>
      </c>
      <c r="H1036" s="70">
        <f t="shared" ref="H1036:I1036" si="288">H1037</f>
        <v>0</v>
      </c>
      <c r="I1036" s="70">
        <f t="shared" si="288"/>
        <v>0</v>
      </c>
      <c r="J1036" s="173"/>
      <c r="K1036" s="195"/>
      <c r="L1036" s="195"/>
      <c r="M1036" s="195"/>
      <c r="N1036" s="195"/>
      <c r="O1036" s="195"/>
      <c r="P1036" s="195"/>
      <c r="Q1036" s="195"/>
      <c r="R1036" s="195"/>
    </row>
    <row r="1037" spans="1:22" s="18" customFormat="1" ht="87" hidden="1" customHeight="1">
      <c r="A1037" s="16" t="s">
        <v>898</v>
      </c>
      <c r="B1037" s="49">
        <v>795</v>
      </c>
      <c r="C1037" s="15" t="s">
        <v>53</v>
      </c>
      <c r="D1037" s="15" t="s">
        <v>120</v>
      </c>
      <c r="E1037" s="15" t="s">
        <v>899</v>
      </c>
      <c r="F1037" s="15"/>
      <c r="G1037" s="70">
        <f t="shared" ref="G1037:I1038" si="289">G1038</f>
        <v>0</v>
      </c>
      <c r="H1037" s="70">
        <f t="shared" si="289"/>
        <v>0</v>
      </c>
      <c r="I1037" s="70">
        <f t="shared" si="289"/>
        <v>0</v>
      </c>
      <c r="P1037" s="17"/>
      <c r="Q1037" s="17"/>
      <c r="R1037" s="17"/>
      <c r="S1037" s="17"/>
      <c r="T1037" s="17"/>
    </row>
    <row r="1038" spans="1:22" s="18" customFormat="1" ht="39" hidden="1" customHeight="1">
      <c r="A1038" s="16" t="s">
        <v>94</v>
      </c>
      <c r="B1038" s="49">
        <v>795</v>
      </c>
      <c r="C1038" s="15" t="s">
        <v>53</v>
      </c>
      <c r="D1038" s="15" t="s">
        <v>120</v>
      </c>
      <c r="E1038" s="15" t="s">
        <v>899</v>
      </c>
      <c r="F1038" s="15" t="s">
        <v>338</v>
      </c>
      <c r="G1038" s="70">
        <f t="shared" si="289"/>
        <v>0</v>
      </c>
      <c r="H1038" s="70">
        <f t="shared" si="289"/>
        <v>0</v>
      </c>
      <c r="I1038" s="70">
        <f t="shared" si="289"/>
        <v>0</v>
      </c>
      <c r="P1038" s="17"/>
      <c r="Q1038" s="17"/>
      <c r="R1038" s="17"/>
      <c r="S1038" s="17"/>
      <c r="T1038" s="17"/>
    </row>
    <row r="1039" spans="1:22" s="18" customFormat="1" ht="15.75" hidden="1" customHeight="1">
      <c r="A1039" s="16" t="s">
        <v>339</v>
      </c>
      <c r="B1039" s="49">
        <v>795</v>
      </c>
      <c r="C1039" s="15" t="s">
        <v>53</v>
      </c>
      <c r="D1039" s="15" t="s">
        <v>120</v>
      </c>
      <c r="E1039" s="15" t="s">
        <v>899</v>
      </c>
      <c r="F1039" s="15" t="s">
        <v>340</v>
      </c>
      <c r="G1039" s="70">
        <f>прил4!G2006</f>
        <v>0</v>
      </c>
      <c r="H1039" s="70">
        <f>прил4!H2006</f>
        <v>0</v>
      </c>
      <c r="I1039" s="70">
        <f>прил4!I2006</f>
        <v>0</v>
      </c>
      <c r="P1039" s="17"/>
      <c r="Q1039" s="17"/>
      <c r="R1039" s="17"/>
      <c r="S1039" s="17"/>
      <c r="T1039" s="17"/>
    </row>
    <row r="1040" spans="1:22" s="22" customFormat="1" ht="54" customHeight="1">
      <c r="A1040" s="107" t="s">
        <v>1135</v>
      </c>
      <c r="B1040" s="19">
        <v>795</v>
      </c>
      <c r="C1040" s="36" t="s">
        <v>157</v>
      </c>
      <c r="D1040" s="36" t="s">
        <v>167</v>
      </c>
      <c r="E1040" s="36" t="s">
        <v>256</v>
      </c>
      <c r="F1040" s="36"/>
      <c r="G1040" s="71">
        <f>G1044+G1053+G1057+G1060+G1072+G1075+G1078+G1081+G1086+G1089+G1095+G1093+G1080+G1092+G1098+G1045+G1101+G1067+G1104+G1064+G1048+G1107+G1063+G1111</f>
        <v>4107515.9000000004</v>
      </c>
      <c r="H1040" s="71">
        <f t="shared" ref="H1040:I1040" si="290">H1044+H1053+H1057+H1060+H1072+H1075+H1078+H1081+H1086+H1089+H1095+H1093+H1080+H1092+H1098+H1045+H1101</f>
        <v>321582.24</v>
      </c>
      <c r="I1040" s="71">
        <f t="shared" si="290"/>
        <v>25000</v>
      </c>
      <c r="J1040" s="21">
        <v>300000</v>
      </c>
      <c r="P1040" s="21">
        <f>G1053+G1057+G1060+G1066+G1110</f>
        <v>2641569.7400000002</v>
      </c>
      <c r="Q1040" s="21"/>
      <c r="R1040" s="21"/>
      <c r="S1040" s="21"/>
      <c r="T1040" s="21">
        <f>прил4!G2620</f>
        <v>4107515.9000000004</v>
      </c>
      <c r="V1040" s="21"/>
    </row>
    <row r="1041" spans="1:20" s="3" customFormat="1" ht="38.25" hidden="1" customHeight="1">
      <c r="A1041" s="16" t="s">
        <v>505</v>
      </c>
      <c r="B1041" s="49">
        <v>795</v>
      </c>
      <c r="C1041" s="15" t="s">
        <v>157</v>
      </c>
      <c r="D1041" s="15" t="s">
        <v>167</v>
      </c>
      <c r="E1041" s="15" t="s">
        <v>506</v>
      </c>
      <c r="F1041" s="15"/>
      <c r="G1041" s="70">
        <f>G1043</f>
        <v>0</v>
      </c>
      <c r="H1041" s="25">
        <v>0</v>
      </c>
      <c r="I1041" s="25">
        <v>0</v>
      </c>
      <c r="P1041" s="111"/>
      <c r="Q1041" s="111"/>
      <c r="R1041" s="111"/>
      <c r="S1041" s="111"/>
      <c r="T1041" s="111"/>
    </row>
    <row r="1042" spans="1:20" s="3" customFormat="1" ht="38.25" hidden="1" customHeight="1">
      <c r="A1042" s="16"/>
      <c r="B1042" s="49"/>
      <c r="C1042" s="15"/>
      <c r="D1042" s="15"/>
      <c r="E1042" s="15"/>
      <c r="F1042" s="15"/>
      <c r="G1042" s="70"/>
      <c r="H1042" s="117"/>
      <c r="I1042" s="118"/>
      <c r="P1042" s="111"/>
      <c r="Q1042" s="111"/>
      <c r="R1042" s="111"/>
      <c r="S1042" s="111"/>
      <c r="T1042" s="111"/>
    </row>
    <row r="1043" spans="1:20" s="3" customFormat="1" ht="38.25" hidden="1" customHeight="1">
      <c r="A1043" s="16" t="s">
        <v>35</v>
      </c>
      <c r="B1043" s="49">
        <v>795</v>
      </c>
      <c r="C1043" s="15" t="s">
        <v>157</v>
      </c>
      <c r="D1043" s="15" t="s">
        <v>167</v>
      </c>
      <c r="E1043" s="15" t="s">
        <v>506</v>
      </c>
      <c r="F1043" s="15" t="s">
        <v>36</v>
      </c>
      <c r="G1043" s="70">
        <f>G1044</f>
        <v>0</v>
      </c>
      <c r="H1043" s="25">
        <v>0</v>
      </c>
      <c r="I1043" s="25">
        <v>0</v>
      </c>
      <c r="P1043" s="111"/>
      <c r="Q1043" s="111"/>
      <c r="R1043" s="111"/>
      <c r="S1043" s="111"/>
      <c r="T1043" s="111"/>
    </row>
    <row r="1044" spans="1:20" s="3" customFormat="1" ht="38.25" hidden="1" customHeight="1">
      <c r="A1044" s="16" t="s">
        <v>37</v>
      </c>
      <c r="B1044" s="49">
        <v>795</v>
      </c>
      <c r="C1044" s="15" t="s">
        <v>157</v>
      </c>
      <c r="D1044" s="15" t="s">
        <v>167</v>
      </c>
      <c r="E1044" s="15" t="s">
        <v>506</v>
      </c>
      <c r="F1044" s="15" t="s">
        <v>38</v>
      </c>
      <c r="G1044" s="70">
        <f>прил4!G3155</f>
        <v>0</v>
      </c>
      <c r="H1044" s="25">
        <v>0</v>
      </c>
      <c r="I1044" s="25">
        <v>0</v>
      </c>
      <c r="P1044" s="111"/>
      <c r="Q1044" s="111"/>
      <c r="R1044" s="111"/>
      <c r="S1044" s="111"/>
      <c r="T1044" s="111"/>
    </row>
    <row r="1045" spans="1:20" s="3" customFormat="1" ht="38.25" hidden="1" customHeight="1">
      <c r="A1045" s="16" t="s">
        <v>723</v>
      </c>
      <c r="B1045" s="49">
        <v>795</v>
      </c>
      <c r="C1045" s="15" t="s">
        <v>157</v>
      </c>
      <c r="D1045" s="15" t="s">
        <v>167</v>
      </c>
      <c r="E1045" s="15" t="s">
        <v>722</v>
      </c>
      <c r="F1045" s="15"/>
      <c r="G1045" s="70">
        <f t="shared" ref="G1045:I1046" si="291">G1046</f>
        <v>0</v>
      </c>
      <c r="H1045" s="70">
        <f t="shared" si="291"/>
        <v>0</v>
      </c>
      <c r="I1045" s="70">
        <f t="shared" si="291"/>
        <v>0</v>
      </c>
      <c r="P1045" s="111"/>
      <c r="Q1045" s="111"/>
      <c r="R1045" s="111"/>
      <c r="S1045" s="111"/>
      <c r="T1045" s="111"/>
    </row>
    <row r="1046" spans="1:20" s="3" customFormat="1" ht="38.25" hidden="1" customHeight="1">
      <c r="A1046" s="16" t="s">
        <v>35</v>
      </c>
      <c r="B1046" s="49">
        <v>795</v>
      </c>
      <c r="C1046" s="15" t="s">
        <v>157</v>
      </c>
      <c r="D1046" s="15" t="s">
        <v>167</v>
      </c>
      <c r="E1046" s="15" t="s">
        <v>722</v>
      </c>
      <c r="F1046" s="15" t="s">
        <v>36</v>
      </c>
      <c r="G1046" s="70">
        <f t="shared" si="291"/>
        <v>0</v>
      </c>
      <c r="H1046" s="70">
        <f t="shared" si="291"/>
        <v>0</v>
      </c>
      <c r="I1046" s="70">
        <f t="shared" si="291"/>
        <v>0</v>
      </c>
      <c r="P1046" s="111"/>
      <c r="Q1046" s="111"/>
      <c r="R1046" s="111"/>
      <c r="S1046" s="111"/>
      <c r="T1046" s="111"/>
    </row>
    <row r="1047" spans="1:20" s="3" customFormat="1" ht="38.25" hidden="1" customHeight="1">
      <c r="A1047" s="16" t="s">
        <v>37</v>
      </c>
      <c r="B1047" s="49">
        <v>795</v>
      </c>
      <c r="C1047" s="15" t="s">
        <v>157</v>
      </c>
      <c r="D1047" s="15" t="s">
        <v>167</v>
      </c>
      <c r="E1047" s="15" t="s">
        <v>722</v>
      </c>
      <c r="F1047" s="15" t="s">
        <v>38</v>
      </c>
      <c r="G1047" s="70">
        <f>прил4!G3158</f>
        <v>0</v>
      </c>
      <c r="H1047" s="70"/>
      <c r="I1047" s="70"/>
      <c r="P1047" s="111"/>
      <c r="Q1047" s="111"/>
      <c r="R1047" s="111"/>
      <c r="S1047" s="111"/>
      <c r="T1047" s="111"/>
    </row>
    <row r="1048" spans="1:20" s="3" customFormat="1" ht="46.5" hidden="1" customHeight="1">
      <c r="A1048" s="82" t="s">
        <v>1020</v>
      </c>
      <c r="B1048" s="83">
        <v>793</v>
      </c>
      <c r="C1048" s="84" t="s">
        <v>157</v>
      </c>
      <c r="D1048" s="84" t="s">
        <v>167</v>
      </c>
      <c r="E1048" s="84" t="s">
        <v>1019</v>
      </c>
      <c r="F1048" s="84"/>
      <c r="G1048" s="87">
        <f t="shared" ref="G1048:I1049" si="292">G1049</f>
        <v>0</v>
      </c>
      <c r="H1048" s="87">
        <f t="shared" si="292"/>
        <v>0</v>
      </c>
      <c r="I1048" s="87">
        <f t="shared" si="292"/>
        <v>0</v>
      </c>
      <c r="J1048" s="173"/>
      <c r="K1048" s="194"/>
      <c r="L1048" s="194"/>
      <c r="M1048" s="194"/>
      <c r="N1048" s="194"/>
      <c r="O1048" s="194"/>
      <c r="P1048" s="194"/>
      <c r="Q1048" s="194"/>
      <c r="R1048" s="194"/>
    </row>
    <row r="1049" spans="1:20" s="3" customFormat="1" ht="38.25" hidden="1" customHeight="1">
      <c r="A1049" s="82" t="s">
        <v>35</v>
      </c>
      <c r="B1049" s="83">
        <v>793</v>
      </c>
      <c r="C1049" s="84" t="s">
        <v>157</v>
      </c>
      <c r="D1049" s="84" t="s">
        <v>167</v>
      </c>
      <c r="E1049" s="84" t="s">
        <v>1019</v>
      </c>
      <c r="F1049" s="84" t="s">
        <v>36</v>
      </c>
      <c r="G1049" s="87">
        <f t="shared" si="292"/>
        <v>0</v>
      </c>
      <c r="H1049" s="87">
        <f t="shared" si="292"/>
        <v>0</v>
      </c>
      <c r="I1049" s="87">
        <f t="shared" si="292"/>
        <v>0</v>
      </c>
      <c r="J1049" s="173"/>
      <c r="K1049" s="194"/>
      <c r="L1049" s="194"/>
      <c r="M1049" s="194"/>
      <c r="N1049" s="194"/>
      <c r="O1049" s="194"/>
      <c r="P1049" s="194"/>
      <c r="Q1049" s="194"/>
      <c r="R1049" s="194"/>
    </row>
    <row r="1050" spans="1:20" s="3" customFormat="1" ht="38.25" hidden="1" customHeight="1">
      <c r="A1050" s="82" t="s">
        <v>37</v>
      </c>
      <c r="B1050" s="83">
        <v>793</v>
      </c>
      <c r="C1050" s="84" t="s">
        <v>157</v>
      </c>
      <c r="D1050" s="84" t="s">
        <v>167</v>
      </c>
      <c r="E1050" s="84" t="s">
        <v>1019</v>
      </c>
      <c r="F1050" s="84" t="s">
        <v>38</v>
      </c>
      <c r="G1050" s="87">
        <f>прил4!G2626</f>
        <v>0</v>
      </c>
      <c r="H1050" s="87"/>
      <c r="I1050" s="87"/>
      <c r="J1050" s="173"/>
      <c r="K1050" s="194"/>
      <c r="L1050" s="194"/>
      <c r="M1050" s="194"/>
      <c r="N1050" s="194"/>
      <c r="O1050" s="194"/>
      <c r="P1050" s="194"/>
      <c r="Q1050" s="194"/>
      <c r="R1050" s="194"/>
    </row>
    <row r="1051" spans="1:20" s="3" customFormat="1" ht="24.75" customHeight="1">
      <c r="A1051" s="16" t="s">
        <v>125</v>
      </c>
      <c r="B1051" s="49">
        <v>795</v>
      </c>
      <c r="C1051" s="15" t="s">
        <v>157</v>
      </c>
      <c r="D1051" s="15" t="s">
        <v>167</v>
      </c>
      <c r="E1051" s="15" t="s">
        <v>279</v>
      </c>
      <c r="F1051" s="15"/>
      <c r="G1051" s="70">
        <f>G1053</f>
        <v>0</v>
      </c>
      <c r="H1051" s="87">
        <f>H1053</f>
        <v>25000</v>
      </c>
      <c r="I1051" s="87">
        <f>I1053</f>
        <v>25000</v>
      </c>
      <c r="J1051" s="111">
        <v>700000</v>
      </c>
      <c r="P1051" s="111"/>
      <c r="Q1051" s="111"/>
      <c r="R1051" s="111"/>
      <c r="S1051" s="111"/>
      <c r="T1051" s="111"/>
    </row>
    <row r="1052" spans="1:20" s="3" customFormat="1" ht="28.5" customHeight="1">
      <c r="A1052" s="16" t="s">
        <v>35</v>
      </c>
      <c r="B1052" s="49">
        <v>795</v>
      </c>
      <c r="C1052" s="15" t="s">
        <v>157</v>
      </c>
      <c r="D1052" s="15" t="s">
        <v>167</v>
      </c>
      <c r="E1052" s="15" t="s">
        <v>279</v>
      </c>
      <c r="F1052" s="15" t="s">
        <v>36</v>
      </c>
      <c r="G1052" s="70">
        <f>G1053</f>
        <v>0</v>
      </c>
      <c r="H1052" s="87">
        <f>H1053</f>
        <v>25000</v>
      </c>
      <c r="I1052" s="87">
        <f>I1053</f>
        <v>25000</v>
      </c>
      <c r="J1052" s="111">
        <v>30000</v>
      </c>
      <c r="P1052" s="111">
        <f>P1040-G1110</f>
        <v>2641569.7400000002</v>
      </c>
      <c r="Q1052" s="111"/>
      <c r="R1052" s="111"/>
      <c r="S1052" s="111"/>
      <c r="T1052" s="111"/>
    </row>
    <row r="1053" spans="1:20" s="3" customFormat="1" ht="29.25" customHeight="1">
      <c r="A1053" s="16" t="s">
        <v>37</v>
      </c>
      <c r="B1053" s="49">
        <v>795</v>
      </c>
      <c r="C1053" s="15" t="s">
        <v>157</v>
      </c>
      <c r="D1053" s="15" t="s">
        <v>167</v>
      </c>
      <c r="E1053" s="15" t="s">
        <v>279</v>
      </c>
      <c r="F1053" s="15" t="s">
        <v>38</v>
      </c>
      <c r="G1053" s="70">
        <f>прил4!G2641</f>
        <v>0</v>
      </c>
      <c r="H1053" s="70">
        <f>прил4!H2641</f>
        <v>25000</v>
      </c>
      <c r="I1053" s="70">
        <f>прил4!I2641</f>
        <v>25000</v>
      </c>
      <c r="J1053" s="111">
        <f>SUM(J1040:J1052)</f>
        <v>1030000</v>
      </c>
      <c r="P1053" s="111"/>
      <c r="Q1053" s="111"/>
      <c r="R1053" s="111"/>
      <c r="S1053" s="111"/>
      <c r="T1053" s="111"/>
    </row>
    <row r="1054" spans="1:20" s="3" customFormat="1" ht="38.25" customHeight="1">
      <c r="A1054" s="16" t="s">
        <v>461</v>
      </c>
      <c r="B1054" s="49">
        <v>795</v>
      </c>
      <c r="C1054" s="15" t="s">
        <v>157</v>
      </c>
      <c r="D1054" s="15" t="s">
        <v>167</v>
      </c>
      <c r="E1054" s="15" t="s">
        <v>363</v>
      </c>
      <c r="F1054" s="15"/>
      <c r="G1054" s="70">
        <f>G1056</f>
        <v>625361</v>
      </c>
      <c r="H1054" s="87">
        <f>H1056</f>
        <v>0</v>
      </c>
      <c r="I1054" s="87">
        <f>I1056</f>
        <v>0</v>
      </c>
      <c r="J1054" s="111"/>
      <c r="P1054" s="111"/>
      <c r="Q1054" s="111"/>
      <c r="R1054" s="111"/>
      <c r="S1054" s="111"/>
      <c r="T1054" s="111"/>
    </row>
    <row r="1055" spans="1:20" s="3" customFormat="1" ht="38.25" hidden="1" customHeight="1">
      <c r="A1055" s="16"/>
      <c r="B1055" s="49"/>
      <c r="C1055" s="15"/>
      <c r="D1055" s="15"/>
      <c r="E1055" s="15"/>
      <c r="F1055" s="15"/>
      <c r="G1055" s="70"/>
      <c r="H1055" s="87"/>
      <c r="I1055" s="87"/>
      <c r="J1055" s="111"/>
      <c r="P1055" s="111"/>
      <c r="Q1055" s="111"/>
      <c r="R1055" s="111"/>
      <c r="S1055" s="111"/>
      <c r="T1055" s="111"/>
    </row>
    <row r="1056" spans="1:20" s="3" customFormat="1" ht="38.25" customHeight="1">
      <c r="A1056" s="16" t="s">
        <v>35</v>
      </c>
      <c r="B1056" s="49">
        <v>795</v>
      </c>
      <c r="C1056" s="15" t="s">
        <v>157</v>
      </c>
      <c r="D1056" s="15" t="s">
        <v>167</v>
      </c>
      <c r="E1056" s="15" t="s">
        <v>363</v>
      </c>
      <c r="F1056" s="15" t="s">
        <v>36</v>
      </c>
      <c r="G1056" s="70">
        <f>G1057</f>
        <v>625361</v>
      </c>
      <c r="H1056" s="87">
        <f>H1057</f>
        <v>0</v>
      </c>
      <c r="I1056" s="87">
        <f>I1057</f>
        <v>0</v>
      </c>
      <c r="J1056" s="111"/>
      <c r="P1056" s="111"/>
      <c r="Q1056" s="111"/>
      <c r="R1056" s="111"/>
      <c r="S1056" s="111"/>
      <c r="T1056" s="111"/>
    </row>
    <row r="1057" spans="1:20" s="3" customFormat="1" ht="38.25" customHeight="1">
      <c r="A1057" s="16" t="s">
        <v>37</v>
      </c>
      <c r="B1057" s="49">
        <v>795</v>
      </c>
      <c r="C1057" s="15" t="s">
        <v>157</v>
      </c>
      <c r="D1057" s="15" t="s">
        <v>167</v>
      </c>
      <c r="E1057" s="15" t="s">
        <v>363</v>
      </c>
      <c r="F1057" s="15" t="s">
        <v>38</v>
      </c>
      <c r="G1057" s="70">
        <f>прил4!G2629</f>
        <v>625361</v>
      </c>
      <c r="H1057" s="70">
        <f>прил4!H2629</f>
        <v>0</v>
      </c>
      <c r="I1057" s="70">
        <f>прил4!I2629</f>
        <v>0</v>
      </c>
      <c r="J1057" s="111"/>
      <c r="P1057" s="111"/>
      <c r="Q1057" s="111"/>
      <c r="R1057" s="111"/>
      <c r="S1057" s="111"/>
      <c r="T1057" s="111"/>
    </row>
    <row r="1058" spans="1:20" s="3" customFormat="1" ht="38.25" customHeight="1">
      <c r="A1058" s="50" t="s">
        <v>529</v>
      </c>
      <c r="B1058" s="49">
        <v>795</v>
      </c>
      <c r="C1058" s="15" t="s">
        <v>157</v>
      </c>
      <c r="D1058" s="15" t="s">
        <v>167</v>
      </c>
      <c r="E1058" s="15" t="s">
        <v>1206</v>
      </c>
      <c r="F1058" s="15"/>
      <c r="G1058" s="70">
        <f t="shared" ref="G1058:I1062" si="293">G1059</f>
        <v>16208.739999999991</v>
      </c>
      <c r="H1058" s="87">
        <f t="shared" si="293"/>
        <v>296582.24</v>
      </c>
      <c r="I1058" s="87">
        <f t="shared" si="293"/>
        <v>0</v>
      </c>
      <c r="J1058" s="111"/>
      <c r="P1058" s="111"/>
      <c r="Q1058" s="111"/>
      <c r="R1058" s="111"/>
      <c r="S1058" s="111"/>
      <c r="T1058" s="111"/>
    </row>
    <row r="1059" spans="1:20" s="3" customFormat="1" ht="38.25" customHeight="1">
      <c r="A1059" s="16" t="s">
        <v>35</v>
      </c>
      <c r="B1059" s="49">
        <v>795</v>
      </c>
      <c r="C1059" s="15" t="s">
        <v>157</v>
      </c>
      <c r="D1059" s="15" t="s">
        <v>167</v>
      </c>
      <c r="E1059" s="15" t="s">
        <v>1206</v>
      </c>
      <c r="F1059" s="15" t="s">
        <v>36</v>
      </c>
      <c r="G1059" s="70">
        <f t="shared" si="293"/>
        <v>16208.739999999991</v>
      </c>
      <c r="H1059" s="87">
        <f t="shared" si="293"/>
        <v>296582.24</v>
      </c>
      <c r="I1059" s="87">
        <f t="shared" si="293"/>
        <v>0</v>
      </c>
      <c r="J1059" s="111"/>
      <c r="P1059" s="111"/>
      <c r="Q1059" s="111"/>
      <c r="R1059" s="111"/>
      <c r="S1059" s="111"/>
      <c r="T1059" s="111"/>
    </row>
    <row r="1060" spans="1:20" s="3" customFormat="1" ht="38.25" customHeight="1">
      <c r="A1060" s="16" t="s">
        <v>37</v>
      </c>
      <c r="B1060" s="49">
        <v>795</v>
      </c>
      <c r="C1060" s="15" t="s">
        <v>157</v>
      </c>
      <c r="D1060" s="15" t="s">
        <v>167</v>
      </c>
      <c r="E1060" s="15" t="s">
        <v>1206</v>
      </c>
      <c r="F1060" s="15" t="s">
        <v>38</v>
      </c>
      <c r="G1060" s="70">
        <f>прил4!G2632</f>
        <v>16208.739999999991</v>
      </c>
      <c r="H1060" s="70">
        <f>прил4!H2632</f>
        <v>296582.24</v>
      </c>
      <c r="I1060" s="70">
        <f>прил4!I2632</f>
        <v>0</v>
      </c>
      <c r="J1060" s="111"/>
      <c r="P1060" s="111"/>
      <c r="Q1060" s="111"/>
      <c r="R1060" s="111"/>
      <c r="S1060" s="111"/>
      <c r="T1060" s="111"/>
    </row>
    <row r="1061" spans="1:20" s="3" customFormat="1" ht="38.25" customHeight="1">
      <c r="A1061" s="50" t="s">
        <v>1403</v>
      </c>
      <c r="B1061" s="49">
        <v>795</v>
      </c>
      <c r="C1061" s="15" t="s">
        <v>157</v>
      </c>
      <c r="D1061" s="15" t="s">
        <v>167</v>
      </c>
      <c r="E1061" s="15" t="s">
        <v>1402</v>
      </c>
      <c r="F1061" s="15"/>
      <c r="G1061" s="70">
        <f t="shared" si="293"/>
        <v>477338.71</v>
      </c>
      <c r="H1061" s="87">
        <f t="shared" si="293"/>
        <v>0</v>
      </c>
      <c r="I1061" s="87">
        <f t="shared" si="293"/>
        <v>0</v>
      </c>
      <c r="J1061" s="111"/>
      <c r="P1061" s="111"/>
      <c r="Q1061" s="111"/>
      <c r="R1061" s="111"/>
      <c r="S1061" s="111"/>
      <c r="T1061" s="111"/>
    </row>
    <row r="1062" spans="1:20" s="3" customFormat="1" ht="38.25" customHeight="1">
      <c r="A1062" s="16" t="s">
        <v>35</v>
      </c>
      <c r="B1062" s="49">
        <v>795</v>
      </c>
      <c r="C1062" s="15" t="s">
        <v>157</v>
      </c>
      <c r="D1062" s="15" t="s">
        <v>167</v>
      </c>
      <c r="E1062" s="15" t="s">
        <v>1402</v>
      </c>
      <c r="F1062" s="15" t="s">
        <v>36</v>
      </c>
      <c r="G1062" s="70">
        <f t="shared" si="293"/>
        <v>477338.71</v>
      </c>
      <c r="H1062" s="87">
        <f t="shared" si="293"/>
        <v>0</v>
      </c>
      <c r="I1062" s="87">
        <f t="shared" si="293"/>
        <v>0</v>
      </c>
      <c r="J1062" s="111"/>
      <c r="P1062" s="111"/>
      <c r="Q1062" s="111"/>
      <c r="R1062" s="111"/>
      <c r="S1062" s="111"/>
      <c r="T1062" s="111"/>
    </row>
    <row r="1063" spans="1:20" s="3" customFormat="1" ht="38.25" customHeight="1">
      <c r="A1063" s="16" t="s">
        <v>37</v>
      </c>
      <c r="B1063" s="49">
        <v>795</v>
      </c>
      <c r="C1063" s="15" t="s">
        <v>157</v>
      </c>
      <c r="D1063" s="15" t="s">
        <v>167</v>
      </c>
      <c r="E1063" s="15" t="s">
        <v>1402</v>
      </c>
      <c r="F1063" s="15" t="s">
        <v>38</v>
      </c>
      <c r="G1063" s="70">
        <f>прил4!G2635</f>
        <v>477338.71</v>
      </c>
      <c r="H1063" s="70">
        <f>прил4!H2635</f>
        <v>0</v>
      </c>
      <c r="I1063" s="70">
        <f>прил4!I2635</f>
        <v>0</v>
      </c>
      <c r="J1063" s="111"/>
      <c r="P1063" s="111"/>
      <c r="Q1063" s="111"/>
      <c r="R1063" s="111"/>
      <c r="S1063" s="111"/>
      <c r="T1063" s="111"/>
    </row>
    <row r="1064" spans="1:20" s="3" customFormat="1" ht="38.25" customHeight="1">
      <c r="A1064" s="16" t="s">
        <v>1003</v>
      </c>
      <c r="B1064" s="49">
        <v>793</v>
      </c>
      <c r="C1064" s="15" t="s">
        <v>157</v>
      </c>
      <c r="D1064" s="15" t="s">
        <v>167</v>
      </c>
      <c r="E1064" s="15" t="s">
        <v>1002</v>
      </c>
      <c r="F1064" s="15"/>
      <c r="G1064" s="70">
        <f t="shared" ref="G1064:I1065" si="294">G1065</f>
        <v>2000000.0000000002</v>
      </c>
      <c r="H1064" s="70">
        <f t="shared" si="294"/>
        <v>0</v>
      </c>
      <c r="I1064" s="70">
        <f t="shared" si="294"/>
        <v>0</v>
      </c>
      <c r="J1064" s="173"/>
      <c r="K1064" s="194"/>
      <c r="L1064" s="194"/>
      <c r="M1064" s="194"/>
      <c r="N1064" s="194"/>
      <c r="O1064" s="194"/>
      <c r="P1064" s="194"/>
      <c r="Q1064" s="194"/>
      <c r="R1064" s="194"/>
    </row>
    <row r="1065" spans="1:20" s="3" customFormat="1" ht="38.25" customHeight="1">
      <c r="A1065" s="16" t="s">
        <v>35</v>
      </c>
      <c r="B1065" s="49">
        <v>793</v>
      </c>
      <c r="C1065" s="15" t="s">
        <v>157</v>
      </c>
      <c r="D1065" s="15" t="s">
        <v>167</v>
      </c>
      <c r="E1065" s="15" t="s">
        <v>1002</v>
      </c>
      <c r="F1065" s="15" t="s">
        <v>36</v>
      </c>
      <c r="G1065" s="70">
        <f t="shared" si="294"/>
        <v>2000000.0000000002</v>
      </c>
      <c r="H1065" s="70">
        <f t="shared" si="294"/>
        <v>0</v>
      </c>
      <c r="I1065" s="70">
        <f t="shared" si="294"/>
        <v>0</v>
      </c>
      <c r="J1065" s="173"/>
      <c r="K1065" s="194"/>
      <c r="L1065" s="194"/>
      <c r="M1065" s="194"/>
      <c r="N1065" s="194"/>
      <c r="O1065" s="194"/>
      <c r="P1065" s="194"/>
      <c r="Q1065" s="194"/>
      <c r="R1065" s="194"/>
    </row>
    <row r="1066" spans="1:20" s="3" customFormat="1" ht="39.75" customHeight="1">
      <c r="A1066" s="16" t="s">
        <v>37</v>
      </c>
      <c r="B1066" s="49">
        <v>793</v>
      </c>
      <c r="C1066" s="15" t="s">
        <v>157</v>
      </c>
      <c r="D1066" s="15" t="s">
        <v>167</v>
      </c>
      <c r="E1066" s="15" t="s">
        <v>1002</v>
      </c>
      <c r="F1066" s="15" t="s">
        <v>38</v>
      </c>
      <c r="G1066" s="70">
        <f>прил4!G2638</f>
        <v>2000000.0000000002</v>
      </c>
      <c r="H1066" s="70">
        <v>0</v>
      </c>
      <c r="I1066" s="70">
        <v>0</v>
      </c>
      <c r="J1066" s="173"/>
      <c r="K1066" s="194"/>
      <c r="L1066" s="194"/>
      <c r="M1066" s="194"/>
      <c r="N1066" s="194"/>
      <c r="O1066" s="194"/>
      <c r="P1066" s="194"/>
      <c r="Q1066" s="194"/>
      <c r="R1066" s="194"/>
    </row>
    <row r="1067" spans="1:20" s="3" customFormat="1" ht="129.75" hidden="1" customHeight="1">
      <c r="A1067" s="16" t="s">
        <v>957</v>
      </c>
      <c r="B1067" s="49">
        <v>793</v>
      </c>
      <c r="C1067" s="15" t="s">
        <v>157</v>
      </c>
      <c r="D1067" s="15" t="s">
        <v>167</v>
      </c>
      <c r="E1067" s="15" t="s">
        <v>956</v>
      </c>
      <c r="F1067" s="15"/>
      <c r="G1067" s="70">
        <f>G1068</f>
        <v>0</v>
      </c>
      <c r="H1067" s="70">
        <f t="shared" ref="H1067:I1068" si="295">H1068</f>
        <v>0</v>
      </c>
      <c r="I1067" s="70">
        <f t="shared" si="295"/>
        <v>0</v>
      </c>
      <c r="J1067" s="174"/>
      <c r="K1067" s="194"/>
      <c r="L1067" s="194"/>
      <c r="M1067" s="194"/>
      <c r="N1067" s="194"/>
      <c r="O1067" s="194"/>
      <c r="P1067" s="194"/>
      <c r="Q1067" s="194"/>
      <c r="R1067" s="194"/>
    </row>
    <row r="1068" spans="1:20" s="3" customFormat="1" ht="38.25" hidden="1" customHeight="1">
      <c r="A1068" s="16" t="s">
        <v>35</v>
      </c>
      <c r="B1068" s="49">
        <v>793</v>
      </c>
      <c r="C1068" s="15" t="s">
        <v>157</v>
      </c>
      <c r="D1068" s="15" t="s">
        <v>167</v>
      </c>
      <c r="E1068" s="15" t="s">
        <v>956</v>
      </c>
      <c r="F1068" s="15" t="s">
        <v>153</v>
      </c>
      <c r="G1068" s="70">
        <f>G1069</f>
        <v>0</v>
      </c>
      <c r="H1068" s="70">
        <f t="shared" si="295"/>
        <v>0</v>
      </c>
      <c r="I1068" s="70">
        <f t="shared" si="295"/>
        <v>0</v>
      </c>
      <c r="J1068" s="174"/>
      <c r="K1068" s="194"/>
      <c r="L1068" s="194"/>
      <c r="M1068" s="194"/>
      <c r="N1068" s="194"/>
      <c r="O1068" s="194"/>
      <c r="P1068" s="194"/>
      <c r="Q1068" s="194"/>
      <c r="R1068" s="194"/>
    </row>
    <row r="1069" spans="1:20" s="3" customFormat="1" ht="38.25" hidden="1" customHeight="1">
      <c r="A1069" s="16" t="s">
        <v>37</v>
      </c>
      <c r="B1069" s="49">
        <v>793</v>
      </c>
      <c r="C1069" s="15" t="s">
        <v>157</v>
      </c>
      <c r="D1069" s="15" t="s">
        <v>167</v>
      </c>
      <c r="E1069" s="15" t="s">
        <v>956</v>
      </c>
      <c r="F1069" s="15" t="s">
        <v>173</v>
      </c>
      <c r="G1069" s="70"/>
      <c r="H1069" s="70"/>
      <c r="I1069" s="70"/>
      <c r="J1069" s="173"/>
      <c r="K1069" s="194"/>
      <c r="L1069" s="194"/>
      <c r="M1069" s="194"/>
      <c r="N1069" s="194"/>
      <c r="O1069" s="194"/>
      <c r="P1069" s="194"/>
      <c r="Q1069" s="194"/>
      <c r="R1069" s="194"/>
    </row>
    <row r="1070" spans="1:20" s="3" customFormat="1" ht="38.25" hidden="1" customHeight="1">
      <c r="A1070" s="16" t="s">
        <v>505</v>
      </c>
      <c r="B1070" s="49">
        <v>795</v>
      </c>
      <c r="C1070" s="15" t="s">
        <v>157</v>
      </c>
      <c r="D1070" s="15" t="s">
        <v>167</v>
      </c>
      <c r="E1070" s="15" t="s">
        <v>506</v>
      </c>
      <c r="F1070" s="15"/>
      <c r="G1070" s="70">
        <f>G1071</f>
        <v>0</v>
      </c>
      <c r="H1070" s="70">
        <f t="shared" ref="H1070:I1071" si="296">H1071</f>
        <v>0</v>
      </c>
      <c r="I1070" s="70">
        <f t="shared" si="296"/>
        <v>0</v>
      </c>
      <c r="J1070" s="111"/>
      <c r="P1070" s="111"/>
      <c r="Q1070" s="111"/>
      <c r="R1070" s="111"/>
      <c r="S1070" s="111"/>
      <c r="T1070" s="111"/>
    </row>
    <row r="1071" spans="1:20" s="3" customFormat="1" ht="38.25" hidden="1" customHeight="1">
      <c r="A1071" s="16" t="s">
        <v>35</v>
      </c>
      <c r="B1071" s="49">
        <v>795</v>
      </c>
      <c r="C1071" s="15" t="s">
        <v>157</v>
      </c>
      <c r="D1071" s="15" t="s">
        <v>167</v>
      </c>
      <c r="E1071" s="15" t="s">
        <v>506</v>
      </c>
      <c r="F1071" s="15" t="s">
        <v>36</v>
      </c>
      <c r="G1071" s="70">
        <f>G1072</f>
        <v>0</v>
      </c>
      <c r="H1071" s="70">
        <f t="shared" si="296"/>
        <v>0</v>
      </c>
      <c r="I1071" s="70">
        <f t="shared" si="296"/>
        <v>0</v>
      </c>
      <c r="J1071" s="111"/>
      <c r="P1071" s="111"/>
      <c r="Q1071" s="111"/>
      <c r="R1071" s="111"/>
      <c r="S1071" s="111"/>
      <c r="T1071" s="111"/>
    </row>
    <row r="1072" spans="1:20" s="3" customFormat="1" ht="38.25" hidden="1" customHeight="1">
      <c r="A1072" s="16" t="s">
        <v>37</v>
      </c>
      <c r="B1072" s="49">
        <v>795</v>
      </c>
      <c r="C1072" s="15" t="s">
        <v>157</v>
      </c>
      <c r="D1072" s="15" t="s">
        <v>167</v>
      </c>
      <c r="E1072" s="15" t="s">
        <v>506</v>
      </c>
      <c r="F1072" s="15" t="s">
        <v>38</v>
      </c>
      <c r="G1072" s="70">
        <f>прил4!G2623+прил4!G3298</f>
        <v>0</v>
      </c>
      <c r="H1072" s="70">
        <f>прил4!H2623</f>
        <v>0</v>
      </c>
      <c r="I1072" s="70">
        <f>прил4!I2623</f>
        <v>0</v>
      </c>
      <c r="J1072" s="111"/>
      <c r="P1072" s="111"/>
      <c r="Q1072" s="111"/>
      <c r="R1072" s="111"/>
      <c r="S1072" s="111"/>
      <c r="T1072" s="111"/>
    </row>
    <row r="1073" spans="1:20" s="3" customFormat="1" ht="38.25" hidden="1" customHeight="1">
      <c r="A1073" s="16" t="s">
        <v>443</v>
      </c>
      <c r="B1073" s="49">
        <v>795</v>
      </c>
      <c r="C1073" s="15" t="s">
        <v>157</v>
      </c>
      <c r="D1073" s="15" t="s">
        <v>167</v>
      </c>
      <c r="E1073" s="15" t="s">
        <v>444</v>
      </c>
      <c r="F1073" s="15"/>
      <c r="G1073" s="70">
        <f>G1074</f>
        <v>0</v>
      </c>
      <c r="H1073" s="70">
        <f t="shared" ref="H1073:I1074" si="297">H1074</f>
        <v>0</v>
      </c>
      <c r="I1073" s="70">
        <f t="shared" si="297"/>
        <v>0</v>
      </c>
      <c r="J1073" s="111"/>
      <c r="P1073" s="111"/>
      <c r="Q1073" s="111"/>
      <c r="R1073" s="111"/>
      <c r="S1073" s="111"/>
      <c r="T1073" s="111"/>
    </row>
    <row r="1074" spans="1:20" s="3" customFormat="1" ht="38.25" hidden="1" customHeight="1">
      <c r="A1074" s="16" t="s">
        <v>35</v>
      </c>
      <c r="B1074" s="49">
        <v>795</v>
      </c>
      <c r="C1074" s="15" t="s">
        <v>157</v>
      </c>
      <c r="D1074" s="15" t="s">
        <v>167</v>
      </c>
      <c r="E1074" s="15" t="s">
        <v>444</v>
      </c>
      <c r="F1074" s="15" t="s">
        <v>36</v>
      </c>
      <c r="G1074" s="70">
        <f>G1075</f>
        <v>0</v>
      </c>
      <c r="H1074" s="70">
        <f t="shared" si="297"/>
        <v>0</v>
      </c>
      <c r="I1074" s="70">
        <f t="shared" si="297"/>
        <v>0</v>
      </c>
      <c r="J1074" s="111"/>
      <c r="P1074" s="111"/>
      <c r="Q1074" s="111"/>
      <c r="R1074" s="111"/>
      <c r="S1074" s="111"/>
      <c r="T1074" s="111"/>
    </row>
    <row r="1075" spans="1:20" s="3" customFormat="1" ht="38.25" hidden="1" customHeight="1">
      <c r="A1075" s="16" t="s">
        <v>37</v>
      </c>
      <c r="B1075" s="49">
        <v>795</v>
      </c>
      <c r="C1075" s="15" t="s">
        <v>157</v>
      </c>
      <c r="D1075" s="15" t="s">
        <v>167</v>
      </c>
      <c r="E1075" s="15" t="s">
        <v>444</v>
      </c>
      <c r="F1075" s="15" t="s">
        <v>38</v>
      </c>
      <c r="G1075" s="70">
        <f>прил4!G3180</f>
        <v>0</v>
      </c>
      <c r="H1075" s="70">
        <f>прил4!H3185</f>
        <v>0</v>
      </c>
      <c r="I1075" s="70">
        <f>прил4!I3185</f>
        <v>0</v>
      </c>
      <c r="J1075" s="111"/>
      <c r="P1075" s="111"/>
      <c r="Q1075" s="111"/>
      <c r="R1075" s="111"/>
      <c r="S1075" s="111"/>
      <c r="T1075" s="111"/>
    </row>
    <row r="1076" spans="1:20" s="3" customFormat="1" ht="38.25" hidden="1" customHeight="1">
      <c r="A1076" s="16" t="s">
        <v>505</v>
      </c>
      <c r="B1076" s="49">
        <v>795</v>
      </c>
      <c r="C1076" s="15" t="s">
        <v>157</v>
      </c>
      <c r="D1076" s="15" t="s">
        <v>167</v>
      </c>
      <c r="E1076" s="15" t="s">
        <v>534</v>
      </c>
      <c r="F1076" s="15"/>
      <c r="G1076" s="70">
        <f>G1077+G1079</f>
        <v>0</v>
      </c>
      <c r="H1076" s="70">
        <f t="shared" ref="H1076:I1077" si="298">H1077</f>
        <v>0</v>
      </c>
      <c r="I1076" s="70">
        <f t="shared" si="298"/>
        <v>0</v>
      </c>
      <c r="P1076" s="111"/>
      <c r="Q1076" s="111"/>
      <c r="R1076" s="111"/>
      <c r="S1076" s="111"/>
      <c r="T1076" s="111"/>
    </row>
    <row r="1077" spans="1:20" s="3" customFormat="1" ht="38.25" hidden="1" customHeight="1">
      <c r="A1077" s="16" t="s">
        <v>35</v>
      </c>
      <c r="B1077" s="49">
        <v>795</v>
      </c>
      <c r="C1077" s="15" t="s">
        <v>157</v>
      </c>
      <c r="D1077" s="15" t="s">
        <v>167</v>
      </c>
      <c r="E1077" s="15" t="s">
        <v>534</v>
      </c>
      <c r="F1077" s="15" t="s">
        <v>36</v>
      </c>
      <c r="G1077" s="70">
        <f>G1078</f>
        <v>0</v>
      </c>
      <c r="H1077" s="70">
        <f t="shared" si="298"/>
        <v>0</v>
      </c>
      <c r="I1077" s="70">
        <f t="shared" si="298"/>
        <v>0</v>
      </c>
      <c r="P1077" s="111"/>
      <c r="Q1077" s="111"/>
      <c r="R1077" s="111"/>
      <c r="S1077" s="111"/>
      <c r="T1077" s="111"/>
    </row>
    <row r="1078" spans="1:20" s="3" customFormat="1" ht="38.25" hidden="1" customHeight="1">
      <c r="A1078" s="16" t="s">
        <v>37</v>
      </c>
      <c r="B1078" s="49">
        <v>795</v>
      </c>
      <c r="C1078" s="15" t="s">
        <v>157</v>
      </c>
      <c r="D1078" s="15" t="s">
        <v>167</v>
      </c>
      <c r="E1078" s="15" t="s">
        <v>534</v>
      </c>
      <c r="F1078" s="15" t="s">
        <v>38</v>
      </c>
      <c r="G1078" s="70">
        <f>прил4!G3173</f>
        <v>0</v>
      </c>
      <c r="H1078" s="70">
        <v>0</v>
      </c>
      <c r="I1078" s="70">
        <v>0</v>
      </c>
      <c r="P1078" s="111"/>
      <c r="Q1078" s="111"/>
      <c r="R1078" s="111"/>
      <c r="S1078" s="111"/>
      <c r="T1078" s="111"/>
    </row>
    <row r="1079" spans="1:20" s="3" customFormat="1" ht="24.75" hidden="1" customHeight="1">
      <c r="A1079" s="16" t="s">
        <v>152</v>
      </c>
      <c r="B1079" s="49">
        <v>795</v>
      </c>
      <c r="C1079" s="15" t="s">
        <v>157</v>
      </c>
      <c r="D1079" s="15" t="s">
        <v>167</v>
      </c>
      <c r="E1079" s="15" t="s">
        <v>534</v>
      </c>
      <c r="F1079" s="15" t="s">
        <v>153</v>
      </c>
      <c r="G1079" s="70">
        <f>G1080</f>
        <v>0</v>
      </c>
      <c r="H1079" s="70">
        <v>0</v>
      </c>
      <c r="I1079" s="70">
        <v>0</v>
      </c>
      <c r="P1079" s="111"/>
      <c r="Q1079" s="111"/>
      <c r="R1079" s="111"/>
      <c r="S1079" s="111"/>
      <c r="T1079" s="111"/>
    </row>
    <row r="1080" spans="1:20" s="3" customFormat="1" ht="21.75" hidden="1" customHeight="1">
      <c r="A1080" s="16" t="s">
        <v>164</v>
      </c>
      <c r="B1080" s="49">
        <v>795</v>
      </c>
      <c r="C1080" s="15" t="s">
        <v>157</v>
      </c>
      <c r="D1080" s="15" t="s">
        <v>167</v>
      </c>
      <c r="E1080" s="15" t="s">
        <v>534</v>
      </c>
      <c r="F1080" s="15" t="s">
        <v>165</v>
      </c>
      <c r="G1080" s="70">
        <f>прил4!G3175</f>
        <v>0</v>
      </c>
      <c r="H1080" s="70">
        <v>0</v>
      </c>
      <c r="I1080" s="70">
        <v>0</v>
      </c>
      <c r="P1080" s="111"/>
      <c r="Q1080" s="111"/>
      <c r="R1080" s="111"/>
      <c r="S1080" s="111"/>
      <c r="T1080" s="111"/>
    </row>
    <row r="1081" spans="1:20" s="3" customFormat="1" ht="38.25" hidden="1" customHeight="1">
      <c r="A1081" s="16" t="s">
        <v>536</v>
      </c>
      <c r="B1081" s="49">
        <v>795</v>
      </c>
      <c r="C1081" s="15" t="s">
        <v>157</v>
      </c>
      <c r="D1081" s="15" t="s">
        <v>167</v>
      </c>
      <c r="E1081" s="15" t="s">
        <v>535</v>
      </c>
      <c r="F1081" s="15"/>
      <c r="G1081" s="70">
        <f>G1082</f>
        <v>0</v>
      </c>
      <c r="H1081" s="70">
        <f t="shared" ref="H1081:I1082" si="299">H1082</f>
        <v>0</v>
      </c>
      <c r="I1081" s="70">
        <f t="shared" si="299"/>
        <v>0</v>
      </c>
      <c r="P1081" s="111"/>
      <c r="Q1081" s="111"/>
      <c r="R1081" s="111"/>
      <c r="S1081" s="111"/>
      <c r="T1081" s="111"/>
    </row>
    <row r="1082" spans="1:20" s="3" customFormat="1" ht="38.25" hidden="1" customHeight="1">
      <c r="A1082" s="16" t="s">
        <v>35</v>
      </c>
      <c r="B1082" s="49">
        <v>795</v>
      </c>
      <c r="C1082" s="15" t="s">
        <v>157</v>
      </c>
      <c r="D1082" s="15" t="s">
        <v>167</v>
      </c>
      <c r="E1082" s="15" t="s">
        <v>535</v>
      </c>
      <c r="F1082" s="15" t="s">
        <v>36</v>
      </c>
      <c r="G1082" s="70">
        <f>G1083</f>
        <v>0</v>
      </c>
      <c r="H1082" s="70">
        <f t="shared" si="299"/>
        <v>0</v>
      </c>
      <c r="I1082" s="70">
        <f t="shared" si="299"/>
        <v>0</v>
      </c>
      <c r="P1082" s="111"/>
      <c r="Q1082" s="111"/>
      <c r="R1082" s="111"/>
      <c r="S1082" s="111"/>
      <c r="T1082" s="111"/>
    </row>
    <row r="1083" spans="1:20" s="3" customFormat="1" ht="38.25" hidden="1" customHeight="1">
      <c r="A1083" s="16" t="s">
        <v>37</v>
      </c>
      <c r="B1083" s="49">
        <v>795</v>
      </c>
      <c r="C1083" s="15" t="s">
        <v>157</v>
      </c>
      <c r="D1083" s="15" t="s">
        <v>167</v>
      </c>
      <c r="E1083" s="15" t="s">
        <v>535</v>
      </c>
      <c r="F1083" s="15" t="s">
        <v>38</v>
      </c>
      <c r="G1083" s="70">
        <f>прил4!G3178</f>
        <v>0</v>
      </c>
      <c r="H1083" s="70">
        <v>0</v>
      </c>
      <c r="I1083" s="70">
        <v>0</v>
      </c>
      <c r="P1083" s="111"/>
      <c r="Q1083" s="111"/>
      <c r="R1083" s="111"/>
      <c r="S1083" s="111"/>
      <c r="T1083" s="111"/>
    </row>
    <row r="1084" spans="1:20" s="3" customFormat="1" ht="38.25" hidden="1" customHeight="1">
      <c r="A1084" s="16" t="s">
        <v>533</v>
      </c>
      <c r="B1084" s="49">
        <v>795</v>
      </c>
      <c r="C1084" s="15" t="s">
        <v>157</v>
      </c>
      <c r="D1084" s="15" t="s">
        <v>167</v>
      </c>
      <c r="E1084" s="15" t="s">
        <v>532</v>
      </c>
      <c r="F1084" s="15"/>
      <c r="G1084" s="70">
        <f>G1085</f>
        <v>0</v>
      </c>
      <c r="H1084" s="70">
        <f t="shared" ref="H1084:I1085" si="300">H1085</f>
        <v>0</v>
      </c>
      <c r="I1084" s="70">
        <f t="shared" si="300"/>
        <v>0</v>
      </c>
      <c r="P1084" s="111"/>
      <c r="Q1084" s="111"/>
      <c r="R1084" s="111"/>
      <c r="S1084" s="111"/>
      <c r="T1084" s="111"/>
    </row>
    <row r="1085" spans="1:20" s="3" customFormat="1" ht="38.25" hidden="1" customHeight="1">
      <c r="A1085" s="16" t="s">
        <v>35</v>
      </c>
      <c r="B1085" s="49">
        <v>795</v>
      </c>
      <c r="C1085" s="15" t="s">
        <v>157</v>
      </c>
      <c r="D1085" s="15" t="s">
        <v>167</v>
      </c>
      <c r="E1085" s="15" t="s">
        <v>532</v>
      </c>
      <c r="F1085" s="15" t="s">
        <v>36</v>
      </c>
      <c r="G1085" s="70">
        <f>G1086</f>
        <v>0</v>
      </c>
      <c r="H1085" s="70">
        <f t="shared" si="300"/>
        <v>0</v>
      </c>
      <c r="I1085" s="70">
        <f t="shared" si="300"/>
        <v>0</v>
      </c>
      <c r="P1085" s="111"/>
      <c r="Q1085" s="111"/>
      <c r="R1085" s="111"/>
      <c r="S1085" s="111"/>
      <c r="T1085" s="111"/>
    </row>
    <row r="1086" spans="1:20" s="3" customFormat="1" ht="38.25" hidden="1" customHeight="1">
      <c r="A1086" s="16" t="s">
        <v>37</v>
      </c>
      <c r="B1086" s="49">
        <v>795</v>
      </c>
      <c r="C1086" s="15" t="s">
        <v>157</v>
      </c>
      <c r="D1086" s="15" t="s">
        <v>167</v>
      </c>
      <c r="E1086" s="15" t="s">
        <v>532</v>
      </c>
      <c r="F1086" s="15" t="s">
        <v>38</v>
      </c>
      <c r="G1086" s="70">
        <f>прил4!G3184</f>
        <v>0</v>
      </c>
      <c r="H1086" s="70">
        <v>0</v>
      </c>
      <c r="I1086" s="70">
        <v>0</v>
      </c>
      <c r="P1086" s="111"/>
      <c r="Q1086" s="111"/>
      <c r="R1086" s="111"/>
      <c r="S1086" s="111"/>
      <c r="T1086" s="111"/>
    </row>
    <row r="1087" spans="1:20" s="3" customFormat="1" ht="38.25" hidden="1" customHeight="1">
      <c r="A1087" s="16" t="s">
        <v>531</v>
      </c>
      <c r="B1087" s="49">
        <v>795</v>
      </c>
      <c r="C1087" s="15" t="s">
        <v>157</v>
      </c>
      <c r="D1087" s="15" t="s">
        <v>167</v>
      </c>
      <c r="E1087" s="15" t="s">
        <v>530</v>
      </c>
      <c r="F1087" s="15"/>
      <c r="G1087" s="70">
        <f>G1088</f>
        <v>0</v>
      </c>
      <c r="H1087" s="70">
        <f t="shared" ref="H1087:I1088" si="301">H1088</f>
        <v>0</v>
      </c>
      <c r="I1087" s="70">
        <f t="shared" si="301"/>
        <v>0</v>
      </c>
      <c r="P1087" s="111"/>
      <c r="Q1087" s="111"/>
      <c r="R1087" s="111"/>
      <c r="S1087" s="111"/>
      <c r="T1087" s="111"/>
    </row>
    <row r="1088" spans="1:20" s="3" customFormat="1" ht="38.25" hidden="1" customHeight="1">
      <c r="A1088" s="16" t="s">
        <v>35</v>
      </c>
      <c r="B1088" s="49">
        <v>795</v>
      </c>
      <c r="C1088" s="15" t="s">
        <v>157</v>
      </c>
      <c r="D1088" s="15" t="s">
        <v>167</v>
      </c>
      <c r="E1088" s="15" t="s">
        <v>530</v>
      </c>
      <c r="F1088" s="15" t="s">
        <v>36</v>
      </c>
      <c r="G1088" s="70">
        <f>G1089</f>
        <v>0</v>
      </c>
      <c r="H1088" s="70">
        <f t="shared" si="301"/>
        <v>0</v>
      </c>
      <c r="I1088" s="70">
        <f t="shared" si="301"/>
        <v>0</v>
      </c>
      <c r="P1088" s="111"/>
      <c r="Q1088" s="111"/>
      <c r="R1088" s="111"/>
      <c r="S1088" s="111"/>
      <c r="T1088" s="111"/>
    </row>
    <row r="1089" spans="1:20" s="3" customFormat="1" ht="38.25" hidden="1" customHeight="1">
      <c r="A1089" s="16" t="s">
        <v>37</v>
      </c>
      <c r="B1089" s="49">
        <v>795</v>
      </c>
      <c r="C1089" s="15" t="s">
        <v>157</v>
      </c>
      <c r="D1089" s="15" t="s">
        <v>167</v>
      </c>
      <c r="E1089" s="15" t="s">
        <v>530</v>
      </c>
      <c r="F1089" s="15" t="s">
        <v>38</v>
      </c>
      <c r="G1089" s="70">
        <f>прил4!G3187</f>
        <v>0</v>
      </c>
      <c r="H1089" s="70">
        <v>0</v>
      </c>
      <c r="I1089" s="70">
        <v>0</v>
      </c>
      <c r="P1089" s="111"/>
      <c r="Q1089" s="111"/>
      <c r="R1089" s="111"/>
      <c r="S1089" s="111"/>
      <c r="T1089" s="111"/>
    </row>
    <row r="1090" spans="1:20" s="3" customFormat="1" ht="38.25" hidden="1" customHeight="1">
      <c r="A1090" s="16" t="s">
        <v>529</v>
      </c>
      <c r="B1090" s="49">
        <v>795</v>
      </c>
      <c r="C1090" s="15" t="s">
        <v>157</v>
      </c>
      <c r="D1090" s="15" t="s">
        <v>167</v>
      </c>
      <c r="E1090" s="15" t="s">
        <v>528</v>
      </c>
      <c r="F1090" s="15"/>
      <c r="G1090" s="70">
        <f>G1091</f>
        <v>0</v>
      </c>
      <c r="H1090" s="70">
        <f t="shared" ref="H1090:I1090" si="302">H1091</f>
        <v>0</v>
      </c>
      <c r="I1090" s="70">
        <f t="shared" si="302"/>
        <v>0</v>
      </c>
      <c r="P1090" s="111"/>
      <c r="Q1090" s="111"/>
      <c r="R1090" s="111"/>
      <c r="S1090" s="111"/>
      <c r="T1090" s="111"/>
    </row>
    <row r="1091" spans="1:20" s="3" customFormat="1" ht="23.25" hidden="1" customHeight="1">
      <c r="A1091" s="16" t="s">
        <v>152</v>
      </c>
      <c r="B1091" s="49">
        <v>795</v>
      </c>
      <c r="C1091" s="15" t="s">
        <v>157</v>
      </c>
      <c r="D1091" s="15" t="s">
        <v>167</v>
      </c>
      <c r="E1091" s="15" t="s">
        <v>528</v>
      </c>
      <c r="F1091" s="15" t="s">
        <v>153</v>
      </c>
      <c r="G1091" s="70">
        <f>G1092</f>
        <v>0</v>
      </c>
      <c r="H1091" s="70">
        <f t="shared" ref="H1091:I1091" si="303">H1092</f>
        <v>0</v>
      </c>
      <c r="I1091" s="70">
        <f t="shared" si="303"/>
        <v>0</v>
      </c>
      <c r="P1091" s="111"/>
      <c r="Q1091" s="111"/>
      <c r="R1091" s="111"/>
      <c r="S1091" s="111"/>
      <c r="T1091" s="111"/>
    </row>
    <row r="1092" spans="1:20" s="3" customFormat="1" ht="21.75" hidden="1" customHeight="1">
      <c r="A1092" s="16" t="s">
        <v>164</v>
      </c>
      <c r="B1092" s="49">
        <v>795</v>
      </c>
      <c r="C1092" s="15" t="s">
        <v>157</v>
      </c>
      <c r="D1092" s="15" t="s">
        <v>167</v>
      </c>
      <c r="E1092" s="15" t="s">
        <v>528</v>
      </c>
      <c r="F1092" s="15" t="s">
        <v>165</v>
      </c>
      <c r="G1092" s="70"/>
      <c r="H1092" s="70">
        <v>0</v>
      </c>
      <c r="I1092" s="70">
        <v>0</v>
      </c>
      <c r="P1092" s="111"/>
      <c r="Q1092" s="111"/>
      <c r="R1092" s="111"/>
      <c r="S1092" s="111"/>
      <c r="T1092" s="111"/>
    </row>
    <row r="1093" spans="1:20" s="3" customFormat="1" ht="38.25" hidden="1" customHeight="1">
      <c r="A1093" s="16" t="s">
        <v>527</v>
      </c>
      <c r="B1093" s="49">
        <v>795</v>
      </c>
      <c r="C1093" s="15" t="s">
        <v>157</v>
      </c>
      <c r="D1093" s="15" t="s">
        <v>167</v>
      </c>
      <c r="E1093" s="15" t="s">
        <v>526</v>
      </c>
      <c r="F1093" s="15"/>
      <c r="G1093" s="70">
        <f>G1094+G1096</f>
        <v>0</v>
      </c>
      <c r="H1093" s="70">
        <f t="shared" ref="H1093:I1094" si="304">H1094</f>
        <v>0</v>
      </c>
      <c r="I1093" s="70">
        <f t="shared" si="304"/>
        <v>0</v>
      </c>
      <c r="P1093" s="111"/>
      <c r="Q1093" s="111"/>
      <c r="R1093" s="111"/>
      <c r="S1093" s="111"/>
      <c r="T1093" s="111"/>
    </row>
    <row r="1094" spans="1:20" s="3" customFormat="1" ht="38.25" hidden="1" customHeight="1">
      <c r="A1094" s="16" t="s">
        <v>35</v>
      </c>
      <c r="B1094" s="49">
        <v>795</v>
      </c>
      <c r="C1094" s="15" t="s">
        <v>157</v>
      </c>
      <c r="D1094" s="15" t="s">
        <v>167</v>
      </c>
      <c r="E1094" s="15" t="s">
        <v>526</v>
      </c>
      <c r="F1094" s="15" t="s">
        <v>36</v>
      </c>
      <c r="G1094" s="70">
        <f>G1095</f>
        <v>0</v>
      </c>
      <c r="H1094" s="70">
        <f t="shared" si="304"/>
        <v>0</v>
      </c>
      <c r="I1094" s="70">
        <f t="shared" si="304"/>
        <v>0</v>
      </c>
      <c r="P1094" s="111"/>
      <c r="Q1094" s="111"/>
      <c r="R1094" s="111"/>
      <c r="S1094" s="111"/>
      <c r="T1094" s="111"/>
    </row>
    <row r="1095" spans="1:20" s="3" customFormat="1" ht="38.25" hidden="1" customHeight="1">
      <c r="A1095" s="16" t="s">
        <v>37</v>
      </c>
      <c r="B1095" s="49">
        <v>795</v>
      </c>
      <c r="C1095" s="15" t="s">
        <v>157</v>
      </c>
      <c r="D1095" s="15" t="s">
        <v>167</v>
      </c>
      <c r="E1095" s="15" t="s">
        <v>526</v>
      </c>
      <c r="F1095" s="15" t="s">
        <v>38</v>
      </c>
      <c r="G1095" s="70"/>
      <c r="H1095" s="70">
        <v>0</v>
      </c>
      <c r="I1095" s="70">
        <v>0</v>
      </c>
      <c r="P1095" s="111"/>
      <c r="Q1095" s="111"/>
      <c r="R1095" s="111"/>
      <c r="S1095" s="111"/>
      <c r="T1095" s="111"/>
    </row>
    <row r="1096" spans="1:20" s="3" customFormat="1" ht="26.25" hidden="1" customHeight="1">
      <c r="A1096" s="16" t="s">
        <v>152</v>
      </c>
      <c r="B1096" s="49">
        <v>795</v>
      </c>
      <c r="C1096" s="15" t="s">
        <v>157</v>
      </c>
      <c r="D1096" s="15" t="s">
        <v>167</v>
      </c>
      <c r="E1096" s="15" t="s">
        <v>526</v>
      </c>
      <c r="F1096" s="15" t="s">
        <v>153</v>
      </c>
      <c r="G1096" s="70">
        <f>G1097</f>
        <v>0</v>
      </c>
      <c r="H1096" s="70">
        <f t="shared" ref="H1096:I1096" si="305">H1097</f>
        <v>0</v>
      </c>
      <c r="I1096" s="70">
        <f t="shared" si="305"/>
        <v>0</v>
      </c>
      <c r="P1096" s="111"/>
      <c r="Q1096" s="111"/>
      <c r="R1096" s="111"/>
      <c r="S1096" s="111"/>
      <c r="T1096" s="111"/>
    </row>
    <row r="1097" spans="1:20" s="3" customFormat="1" ht="19.5" hidden="1" customHeight="1">
      <c r="A1097" s="16" t="s">
        <v>164</v>
      </c>
      <c r="B1097" s="49">
        <v>795</v>
      </c>
      <c r="C1097" s="15" t="s">
        <v>157</v>
      </c>
      <c r="D1097" s="15" t="s">
        <v>167</v>
      </c>
      <c r="E1097" s="15" t="s">
        <v>526</v>
      </c>
      <c r="F1097" s="15" t="s">
        <v>165</v>
      </c>
      <c r="G1097" s="70">
        <f>прил4!G3193</f>
        <v>0</v>
      </c>
      <c r="H1097" s="70">
        <v>0</v>
      </c>
      <c r="I1097" s="70">
        <v>0</v>
      </c>
      <c r="P1097" s="111"/>
      <c r="Q1097" s="111"/>
      <c r="R1097" s="111"/>
      <c r="S1097" s="111"/>
      <c r="T1097" s="111"/>
    </row>
    <row r="1098" spans="1:20" s="3" customFormat="1" ht="38.25" hidden="1" customHeight="1">
      <c r="A1098" s="16" t="s">
        <v>671</v>
      </c>
      <c r="B1098" s="49">
        <v>795</v>
      </c>
      <c r="C1098" s="15" t="s">
        <v>157</v>
      </c>
      <c r="D1098" s="15" t="s">
        <v>167</v>
      </c>
      <c r="E1098" s="15" t="s">
        <v>670</v>
      </c>
      <c r="F1098" s="15"/>
      <c r="G1098" s="70">
        <f>G1099</f>
        <v>0</v>
      </c>
      <c r="H1098" s="70">
        <f t="shared" ref="H1098:I1099" si="306">H1099</f>
        <v>0</v>
      </c>
      <c r="I1098" s="70">
        <f t="shared" si="306"/>
        <v>0</v>
      </c>
      <c r="P1098" s="111"/>
      <c r="Q1098" s="111"/>
      <c r="R1098" s="111"/>
      <c r="S1098" s="111"/>
      <c r="T1098" s="111"/>
    </row>
    <row r="1099" spans="1:20" s="3" customFormat="1" ht="38.25" hidden="1" customHeight="1">
      <c r="A1099" s="16" t="s">
        <v>35</v>
      </c>
      <c r="B1099" s="49">
        <v>795</v>
      </c>
      <c r="C1099" s="15" t="s">
        <v>157</v>
      </c>
      <c r="D1099" s="15" t="s">
        <v>167</v>
      </c>
      <c r="E1099" s="15" t="s">
        <v>670</v>
      </c>
      <c r="F1099" s="15" t="s">
        <v>36</v>
      </c>
      <c r="G1099" s="70">
        <f>G1100</f>
        <v>0</v>
      </c>
      <c r="H1099" s="70">
        <f t="shared" si="306"/>
        <v>0</v>
      </c>
      <c r="I1099" s="70">
        <f t="shared" si="306"/>
        <v>0</v>
      </c>
      <c r="P1099" s="111"/>
      <c r="Q1099" s="111"/>
      <c r="R1099" s="111"/>
      <c r="S1099" s="111"/>
      <c r="T1099" s="111"/>
    </row>
    <row r="1100" spans="1:20" s="3" customFormat="1" ht="38.25" hidden="1" customHeight="1">
      <c r="A1100" s="16" t="s">
        <v>37</v>
      </c>
      <c r="B1100" s="49">
        <v>795</v>
      </c>
      <c r="C1100" s="15" t="s">
        <v>157</v>
      </c>
      <c r="D1100" s="15" t="s">
        <v>167</v>
      </c>
      <c r="E1100" s="15" t="s">
        <v>670</v>
      </c>
      <c r="F1100" s="15" t="s">
        <v>38</v>
      </c>
      <c r="G1100" s="70"/>
      <c r="H1100" s="70"/>
      <c r="I1100" s="70"/>
      <c r="P1100" s="111"/>
      <c r="Q1100" s="111"/>
      <c r="R1100" s="111"/>
      <c r="S1100" s="111"/>
      <c r="T1100" s="111"/>
    </row>
    <row r="1101" spans="1:20" s="3" customFormat="1" ht="63" hidden="1" customHeight="1">
      <c r="A1101" s="16" t="s">
        <v>744</v>
      </c>
      <c r="B1101" s="49">
        <v>795</v>
      </c>
      <c r="C1101" s="15" t="s">
        <v>157</v>
      </c>
      <c r="D1101" s="15" t="s">
        <v>167</v>
      </c>
      <c r="E1101" s="15" t="s">
        <v>743</v>
      </c>
      <c r="F1101" s="15"/>
      <c r="G1101" s="70">
        <f>G1102</f>
        <v>0</v>
      </c>
      <c r="H1101" s="70">
        <f t="shared" ref="H1101:I1102" si="307">H1102</f>
        <v>0</v>
      </c>
      <c r="I1101" s="70">
        <f t="shared" si="307"/>
        <v>0</v>
      </c>
      <c r="P1101" s="111"/>
      <c r="Q1101" s="111"/>
      <c r="R1101" s="111"/>
      <c r="S1101" s="111"/>
      <c r="T1101" s="111"/>
    </row>
    <row r="1102" spans="1:20" s="3" customFormat="1" ht="38.25" hidden="1" customHeight="1">
      <c r="A1102" s="16" t="s">
        <v>35</v>
      </c>
      <c r="B1102" s="49">
        <v>795</v>
      </c>
      <c r="C1102" s="15" t="s">
        <v>157</v>
      </c>
      <c r="D1102" s="15" t="s">
        <v>167</v>
      </c>
      <c r="E1102" s="15" t="s">
        <v>743</v>
      </c>
      <c r="F1102" s="15" t="s">
        <v>36</v>
      </c>
      <c r="G1102" s="70">
        <f>G1103</f>
        <v>0</v>
      </c>
      <c r="H1102" s="70">
        <f t="shared" si="307"/>
        <v>0</v>
      </c>
      <c r="I1102" s="70">
        <f t="shared" si="307"/>
        <v>0</v>
      </c>
      <c r="P1102" s="111"/>
      <c r="Q1102" s="111"/>
      <c r="R1102" s="111"/>
      <c r="S1102" s="111"/>
      <c r="T1102" s="111"/>
    </row>
    <row r="1103" spans="1:20" s="3" customFormat="1" ht="38.25" hidden="1" customHeight="1">
      <c r="A1103" s="16" t="s">
        <v>37</v>
      </c>
      <c r="B1103" s="49">
        <v>795</v>
      </c>
      <c r="C1103" s="15" t="s">
        <v>157</v>
      </c>
      <c r="D1103" s="15" t="s">
        <v>167</v>
      </c>
      <c r="E1103" s="15" t="s">
        <v>743</v>
      </c>
      <c r="F1103" s="15" t="s">
        <v>38</v>
      </c>
      <c r="G1103" s="70"/>
      <c r="H1103" s="70"/>
      <c r="I1103" s="70"/>
      <c r="P1103" s="111"/>
      <c r="Q1103" s="111"/>
      <c r="R1103" s="111"/>
      <c r="S1103" s="111"/>
      <c r="T1103" s="111"/>
    </row>
    <row r="1104" spans="1:20" s="3" customFormat="1" ht="129.75" hidden="1" customHeight="1">
      <c r="A1104" s="16" t="s">
        <v>957</v>
      </c>
      <c r="B1104" s="49">
        <v>793</v>
      </c>
      <c r="C1104" s="15" t="s">
        <v>157</v>
      </c>
      <c r="D1104" s="15" t="s">
        <v>167</v>
      </c>
      <c r="E1104" s="15" t="s">
        <v>956</v>
      </c>
      <c r="F1104" s="15"/>
      <c r="G1104" s="70">
        <f>G1105</f>
        <v>0</v>
      </c>
      <c r="H1104" s="70">
        <f t="shared" ref="H1104:I1105" si="308">H1105</f>
        <v>0</v>
      </c>
      <c r="I1104" s="70">
        <f t="shared" si="308"/>
        <v>0</v>
      </c>
      <c r="J1104" s="174"/>
      <c r="K1104" s="194"/>
      <c r="L1104" s="194"/>
      <c r="M1104" s="194"/>
      <c r="N1104" s="194"/>
      <c r="O1104" s="194"/>
      <c r="P1104" s="194"/>
      <c r="Q1104" s="194"/>
      <c r="R1104" s="194"/>
    </row>
    <row r="1105" spans="1:22" s="3" customFormat="1" ht="38.25" hidden="1" customHeight="1">
      <c r="A1105" s="82" t="s">
        <v>62</v>
      </c>
      <c r="B1105" s="49">
        <v>793</v>
      </c>
      <c r="C1105" s="15" t="s">
        <v>157</v>
      </c>
      <c r="D1105" s="15" t="s">
        <v>167</v>
      </c>
      <c r="E1105" s="15" t="s">
        <v>956</v>
      </c>
      <c r="F1105" s="15" t="s">
        <v>63</v>
      </c>
      <c r="G1105" s="70">
        <f>G1106</f>
        <v>0</v>
      </c>
      <c r="H1105" s="70">
        <f t="shared" si="308"/>
        <v>0</v>
      </c>
      <c r="I1105" s="70">
        <f t="shared" si="308"/>
        <v>0</v>
      </c>
      <c r="J1105" s="174"/>
      <c r="K1105" s="194"/>
      <c r="L1105" s="194"/>
      <c r="M1105" s="194"/>
      <c r="N1105" s="194"/>
      <c r="O1105" s="194"/>
      <c r="P1105" s="194"/>
      <c r="Q1105" s="194"/>
      <c r="R1105" s="194"/>
    </row>
    <row r="1106" spans="1:22" s="3" customFormat="1" ht="38.25" hidden="1" customHeight="1">
      <c r="A1106" s="82" t="s">
        <v>174</v>
      </c>
      <c r="B1106" s="49">
        <v>793</v>
      </c>
      <c r="C1106" s="15" t="s">
        <v>157</v>
      </c>
      <c r="D1106" s="15" t="s">
        <v>167</v>
      </c>
      <c r="E1106" s="15" t="s">
        <v>956</v>
      </c>
      <c r="F1106" s="15" t="s">
        <v>175</v>
      </c>
      <c r="G1106" s="70">
        <f>прил4!G2644</f>
        <v>0</v>
      </c>
      <c r="H1106" s="70">
        <f>прил4!H2644</f>
        <v>0</v>
      </c>
      <c r="I1106" s="70">
        <f>прил4!I2644</f>
        <v>0</v>
      </c>
      <c r="J1106" s="173"/>
      <c r="K1106" s="194"/>
      <c r="L1106" s="194"/>
      <c r="M1106" s="194"/>
      <c r="N1106" s="194"/>
      <c r="O1106" s="194"/>
      <c r="P1106" s="194"/>
      <c r="Q1106" s="194"/>
      <c r="R1106" s="194"/>
    </row>
    <row r="1107" spans="1:22" s="18" customFormat="1" ht="39" hidden="1" customHeight="1">
      <c r="A1107" s="82" t="s">
        <v>1105</v>
      </c>
      <c r="B1107" s="83">
        <v>793</v>
      </c>
      <c r="C1107" s="84" t="s">
        <v>157</v>
      </c>
      <c r="D1107" s="84" t="s">
        <v>167</v>
      </c>
      <c r="E1107" s="84" t="s">
        <v>1103</v>
      </c>
      <c r="F1107" s="84"/>
      <c r="G1107" s="87">
        <f>G1109</f>
        <v>0</v>
      </c>
      <c r="H1107" s="87">
        <f>H1109</f>
        <v>0</v>
      </c>
      <c r="I1107" s="87">
        <f>I1109</f>
        <v>0</v>
      </c>
      <c r="J1107" s="173"/>
      <c r="K1107" s="195"/>
      <c r="L1107" s="195"/>
      <c r="M1107" s="195"/>
      <c r="N1107" s="195"/>
      <c r="O1107" s="195"/>
      <c r="P1107" s="195"/>
      <c r="Q1107" s="195"/>
      <c r="R1107" s="195"/>
    </row>
    <row r="1108" spans="1:22" s="18" customFormat="1" ht="39" hidden="1" customHeight="1">
      <c r="A1108" s="82" t="s">
        <v>1066</v>
      </c>
      <c r="B1108" s="83">
        <v>793</v>
      </c>
      <c r="C1108" s="84" t="s">
        <v>157</v>
      </c>
      <c r="D1108" s="84" t="s">
        <v>167</v>
      </c>
      <c r="E1108" s="84" t="s">
        <v>1103</v>
      </c>
      <c r="F1108" s="84"/>
      <c r="G1108" s="87">
        <f>G1109</f>
        <v>0</v>
      </c>
      <c r="H1108" s="87">
        <f t="shared" ref="H1108:I1108" si="309">H1109</f>
        <v>0</v>
      </c>
      <c r="I1108" s="87">
        <f t="shared" si="309"/>
        <v>0</v>
      </c>
      <c r="J1108" s="173"/>
      <c r="K1108" s="195"/>
      <c r="L1108" s="195"/>
      <c r="M1108" s="195"/>
      <c r="N1108" s="195"/>
      <c r="O1108" s="195"/>
      <c r="P1108" s="195"/>
      <c r="Q1108" s="195"/>
      <c r="R1108" s="195"/>
    </row>
    <row r="1109" spans="1:22" ht="30.75" hidden="1" customHeight="1">
      <c r="A1109" s="82" t="s">
        <v>35</v>
      </c>
      <c r="B1109" s="83">
        <v>793</v>
      </c>
      <c r="C1109" s="84" t="s">
        <v>157</v>
      </c>
      <c r="D1109" s="84" t="s">
        <v>167</v>
      </c>
      <c r="E1109" s="84" t="s">
        <v>1103</v>
      </c>
      <c r="F1109" s="84" t="s">
        <v>36</v>
      </c>
      <c r="G1109" s="87">
        <f t="shared" ref="G1109:I1109" si="310">G1110</f>
        <v>0</v>
      </c>
      <c r="H1109" s="87">
        <f t="shared" si="310"/>
        <v>0</v>
      </c>
      <c r="I1109" s="87">
        <f t="shared" si="310"/>
        <v>0</v>
      </c>
      <c r="J1109" s="173"/>
      <c r="K1109" s="181"/>
      <c r="L1109" s="181"/>
      <c r="M1109" s="181"/>
      <c r="N1109" s="181"/>
      <c r="O1109" s="181"/>
      <c r="P1109" s="181"/>
      <c r="Q1109" s="181"/>
      <c r="R1109" s="181"/>
      <c r="S1109" s="1"/>
      <c r="T1109" s="1"/>
    </row>
    <row r="1110" spans="1:22" s="18" customFormat="1" ht="34.5" hidden="1" customHeight="1">
      <c r="A1110" s="82" t="s">
        <v>37</v>
      </c>
      <c r="B1110" s="83">
        <v>793</v>
      </c>
      <c r="C1110" s="84" t="s">
        <v>157</v>
      </c>
      <c r="D1110" s="84" t="s">
        <v>167</v>
      </c>
      <c r="E1110" s="84" t="s">
        <v>1103</v>
      </c>
      <c r="F1110" s="84" t="s">
        <v>38</v>
      </c>
      <c r="G1110" s="70">
        <f>прил4!G2648</f>
        <v>0</v>
      </c>
      <c r="H1110" s="87">
        <v>0</v>
      </c>
      <c r="I1110" s="87">
        <v>0</v>
      </c>
      <c r="J1110" s="173"/>
      <c r="K1110" s="195"/>
      <c r="L1110" s="195"/>
      <c r="M1110" s="195"/>
      <c r="N1110" s="195"/>
      <c r="O1110" s="195"/>
      <c r="P1110" s="195"/>
      <c r="Q1110" s="195"/>
      <c r="R1110" s="195"/>
    </row>
    <row r="1111" spans="1:22" s="3" customFormat="1" ht="57" customHeight="1">
      <c r="A1111" s="16" t="s">
        <v>1020</v>
      </c>
      <c r="B1111" s="49">
        <v>793</v>
      </c>
      <c r="C1111" s="15" t="s">
        <v>157</v>
      </c>
      <c r="D1111" s="15" t="s">
        <v>167</v>
      </c>
      <c r="E1111" s="15" t="s">
        <v>1019</v>
      </c>
      <c r="F1111" s="15"/>
      <c r="G1111" s="70">
        <f>G1113</f>
        <v>988607.45</v>
      </c>
      <c r="H1111" s="70">
        <f>H1113</f>
        <v>0</v>
      </c>
      <c r="I1111" s="70">
        <f>I1113</f>
        <v>0</v>
      </c>
      <c r="J1111" s="172"/>
      <c r="K1111" s="62"/>
      <c r="L1111" s="62"/>
      <c r="M1111" s="62"/>
      <c r="N1111" s="62"/>
      <c r="O1111" s="62"/>
      <c r="P1111" s="62"/>
      <c r="Q1111" s="62"/>
      <c r="R1111" s="62"/>
    </row>
    <row r="1112" spans="1:22" s="3" customFormat="1" ht="38.25" customHeight="1">
      <c r="A1112" s="16" t="s">
        <v>35</v>
      </c>
      <c r="B1112" s="49">
        <v>793</v>
      </c>
      <c r="C1112" s="15" t="s">
        <v>157</v>
      </c>
      <c r="D1112" s="15" t="s">
        <v>167</v>
      </c>
      <c r="E1112" s="15" t="s">
        <v>1019</v>
      </c>
      <c r="F1112" s="15" t="s">
        <v>36</v>
      </c>
      <c r="G1112" s="70">
        <f>G1113</f>
        <v>988607.45</v>
      </c>
      <c r="H1112" s="70">
        <f>H1113</f>
        <v>0</v>
      </c>
      <c r="I1112" s="70">
        <f>I1113</f>
        <v>0</v>
      </c>
      <c r="J1112" s="172"/>
      <c r="K1112" s="62"/>
      <c r="L1112" s="62"/>
      <c r="M1112" s="62"/>
      <c r="N1112" s="62"/>
      <c r="O1112" s="62"/>
      <c r="P1112" s="62"/>
      <c r="Q1112" s="62"/>
      <c r="R1112" s="62"/>
    </row>
    <row r="1113" spans="1:22" s="3" customFormat="1" ht="46.5" customHeight="1">
      <c r="A1113" s="16" t="s">
        <v>37</v>
      </c>
      <c r="B1113" s="49">
        <v>793</v>
      </c>
      <c r="C1113" s="15" t="s">
        <v>157</v>
      </c>
      <c r="D1113" s="15" t="s">
        <v>167</v>
      </c>
      <c r="E1113" s="15" t="s">
        <v>1019</v>
      </c>
      <c r="F1113" s="15" t="s">
        <v>38</v>
      </c>
      <c r="G1113" s="70">
        <f>прил4!G2678</f>
        <v>988607.45</v>
      </c>
      <c r="H1113" s="70"/>
      <c r="I1113" s="70"/>
      <c r="J1113" s="172"/>
      <c r="K1113" s="62"/>
      <c r="L1113" s="62"/>
      <c r="M1113" s="62"/>
      <c r="N1113" s="62"/>
      <c r="O1113" s="62"/>
      <c r="P1113" s="62"/>
      <c r="Q1113" s="62"/>
      <c r="R1113" s="62"/>
      <c r="S1113" s="62"/>
      <c r="T1113" s="62"/>
    </row>
    <row r="1114" spans="1:22" s="22" customFormat="1" ht="35.25" customHeight="1">
      <c r="A1114" s="107" t="s">
        <v>1136</v>
      </c>
      <c r="B1114" s="35">
        <v>757</v>
      </c>
      <c r="C1114" s="36" t="s">
        <v>25</v>
      </c>
      <c r="D1114" s="36" t="s">
        <v>27</v>
      </c>
      <c r="E1114" s="36" t="s">
        <v>187</v>
      </c>
      <c r="F1114" s="36"/>
      <c r="G1114" s="71">
        <f>G1124+G1133+G1142+G1146+G1149+G1152+G1156+G1159+G1165+G1168+G1172+G1176+G1179+G1182+G1185+G1191+G1197+G1239+G1242+G1254+G1262+G1307+G1325+G1372++G1402+G1426+G1301+G1130+G1295+G1203+G1206+G1209+G1212+G1236+G1188+G1396+G1162+G1406+G1286+G1300+G1217+G1220+G1223++G1226+G1229+G1232++G1371+G1377+G1380+G1383+G1386+G1389+G1392+G1306+G1393+G1430+G1118+G1251+G1233+G1115+G1248+G1257+G1121+G1433+G1322</f>
        <v>245316291.74999997</v>
      </c>
      <c r="H1114" s="71">
        <f t="shared" ref="H1114:I1114" si="311">H1124+H1133+H1142+H1146+H1149+H1152+H1156+H1159+H1165+H1168+H1172+H1176+H1179+H1182+H1185+H1191+H1197+H1239+H1242+H1254+H1262+H1307+H1325+H1372++H1402+H1426+H1301+H1130+H1295+H1203+H1206+H1209+H1212+H1236+H1188+H1396+H1162+H1406+H1286+H1300+H1217+H1220+H1223++H1226+H1229+H1232++H1371+H1377+H1380+H1383+H1386+H1389+H1392+H1306+H1393+H1430</f>
        <v>214739149.49000001</v>
      </c>
      <c r="I1114" s="71">
        <f t="shared" si="311"/>
        <v>217410036.55000001</v>
      </c>
      <c r="J1114" s="21">
        <v>24472950</v>
      </c>
      <c r="P1114" s="21"/>
      <c r="Q1114" s="229"/>
      <c r="R1114" s="21"/>
      <c r="S1114" s="21"/>
      <c r="T1114" s="21">
        <f>прил4!G42++прил4!G198+прил4!G472+прил4!G1637</f>
        <v>245316291.75</v>
      </c>
      <c r="V1114" s="21"/>
    </row>
    <row r="1115" spans="1:22" ht="93" customHeight="1">
      <c r="A1115" s="104" t="s">
        <v>1427</v>
      </c>
      <c r="B1115" s="84" t="s">
        <v>50</v>
      </c>
      <c r="C1115" s="84" t="s">
        <v>43</v>
      </c>
      <c r="D1115" s="84" t="s">
        <v>18</v>
      </c>
      <c r="E1115" s="15" t="s">
        <v>1426</v>
      </c>
      <c r="F1115" s="15"/>
      <c r="G1115" s="8">
        <f>G1116</f>
        <v>92224.02</v>
      </c>
      <c r="H1115" s="85">
        <f t="shared" ref="H1115:I1116" si="312">H1116</f>
        <v>0</v>
      </c>
      <c r="I1115" s="85">
        <f t="shared" si="312"/>
        <v>0</v>
      </c>
      <c r="J1115" s="173"/>
      <c r="K1115" s="181"/>
      <c r="L1115" s="181"/>
      <c r="M1115" s="181"/>
      <c r="N1115" s="181"/>
      <c r="O1115" s="181"/>
      <c r="P1115" s="181"/>
      <c r="Q1115" s="181"/>
      <c r="R1115" s="181"/>
      <c r="S1115" s="1"/>
      <c r="T1115" s="1"/>
    </row>
    <row r="1116" spans="1:22" ht="39.75" customHeight="1">
      <c r="A1116" s="82" t="s">
        <v>29</v>
      </c>
      <c r="B1116" s="84" t="s">
        <v>50</v>
      </c>
      <c r="C1116" s="84" t="s">
        <v>43</v>
      </c>
      <c r="D1116" s="84" t="s">
        <v>18</v>
      </c>
      <c r="E1116" s="15" t="s">
        <v>1426</v>
      </c>
      <c r="F1116" s="15" t="s">
        <v>30</v>
      </c>
      <c r="G1116" s="8">
        <f>G1117</f>
        <v>92224.02</v>
      </c>
      <c r="H1116" s="85">
        <f t="shared" si="312"/>
        <v>0</v>
      </c>
      <c r="I1116" s="85">
        <f t="shared" si="312"/>
        <v>0</v>
      </c>
      <c r="J1116" s="173"/>
      <c r="K1116" s="181"/>
      <c r="L1116" s="181"/>
      <c r="M1116" s="181"/>
      <c r="N1116" s="181"/>
      <c r="O1116" s="181"/>
      <c r="P1116" s="181"/>
      <c r="Q1116" s="181"/>
      <c r="R1116" s="181"/>
      <c r="S1116" s="1"/>
      <c r="T1116" s="1"/>
    </row>
    <row r="1117" spans="1:22" ht="19.5" customHeight="1">
      <c r="A1117" s="82" t="s">
        <v>31</v>
      </c>
      <c r="B1117" s="84" t="s">
        <v>50</v>
      </c>
      <c r="C1117" s="84" t="s">
        <v>43</v>
      </c>
      <c r="D1117" s="84" t="s">
        <v>18</v>
      </c>
      <c r="E1117" s="15" t="s">
        <v>1426</v>
      </c>
      <c r="F1117" s="15" t="s">
        <v>32</v>
      </c>
      <c r="G1117" s="8">
        <f>прил4!G121</f>
        <v>92224.02</v>
      </c>
      <c r="H1117" s="87"/>
      <c r="I1117" s="87"/>
      <c r="J1117" s="173"/>
      <c r="K1117" s="181"/>
      <c r="L1117" s="181"/>
      <c r="M1117" s="181"/>
      <c r="N1117" s="181"/>
      <c r="O1117" s="181"/>
      <c r="P1117" s="181"/>
      <c r="Q1117" s="181"/>
      <c r="R1117" s="181"/>
      <c r="S1117" s="1"/>
      <c r="T1117" s="1"/>
    </row>
    <row r="1118" spans="1:22" ht="81.75" customHeight="1">
      <c r="A1118" s="104" t="s">
        <v>1424</v>
      </c>
      <c r="B1118" s="84" t="s">
        <v>50</v>
      </c>
      <c r="C1118" s="84" t="s">
        <v>43</v>
      </c>
      <c r="D1118" s="84" t="s">
        <v>18</v>
      </c>
      <c r="E1118" s="15" t="s">
        <v>1425</v>
      </c>
      <c r="F1118" s="15"/>
      <c r="G1118" s="8">
        <f>G1119</f>
        <v>447366</v>
      </c>
      <c r="H1118" s="85">
        <f t="shared" ref="H1118:I1119" si="313">H1119</f>
        <v>0</v>
      </c>
      <c r="I1118" s="85">
        <f t="shared" si="313"/>
        <v>0</v>
      </c>
      <c r="J1118" s="173"/>
      <c r="K1118" s="181"/>
      <c r="L1118" s="181"/>
      <c r="M1118" s="181"/>
      <c r="N1118" s="181"/>
      <c r="O1118" s="181"/>
      <c r="P1118" s="181"/>
      <c r="Q1118" s="181"/>
      <c r="R1118" s="181"/>
      <c r="S1118" s="1"/>
      <c r="T1118" s="1"/>
    </row>
    <row r="1119" spans="1:22" ht="39.75" customHeight="1">
      <c r="A1119" s="82" t="s">
        <v>29</v>
      </c>
      <c r="B1119" s="84" t="s">
        <v>50</v>
      </c>
      <c r="C1119" s="84" t="s">
        <v>43</v>
      </c>
      <c r="D1119" s="84" t="s">
        <v>18</v>
      </c>
      <c r="E1119" s="15" t="s">
        <v>1425</v>
      </c>
      <c r="F1119" s="15" t="s">
        <v>30</v>
      </c>
      <c r="G1119" s="8">
        <f>G1120</f>
        <v>447366</v>
      </c>
      <c r="H1119" s="85">
        <f t="shared" si="313"/>
        <v>0</v>
      </c>
      <c r="I1119" s="85">
        <f t="shared" si="313"/>
        <v>0</v>
      </c>
      <c r="J1119" s="173"/>
      <c r="K1119" s="181"/>
      <c r="L1119" s="181"/>
      <c r="M1119" s="181"/>
      <c r="N1119" s="181"/>
      <c r="O1119" s="181"/>
      <c r="P1119" s="181"/>
      <c r="Q1119" s="181"/>
      <c r="R1119" s="181"/>
      <c r="S1119" s="1"/>
      <c r="T1119" s="1"/>
    </row>
    <row r="1120" spans="1:22" ht="19.5" customHeight="1">
      <c r="A1120" s="130" t="s">
        <v>606</v>
      </c>
      <c r="B1120" s="84" t="s">
        <v>50</v>
      </c>
      <c r="C1120" s="84" t="s">
        <v>43</v>
      </c>
      <c r="D1120" s="84" t="s">
        <v>18</v>
      </c>
      <c r="E1120" s="15" t="s">
        <v>1425</v>
      </c>
      <c r="F1120" s="15" t="s">
        <v>605</v>
      </c>
      <c r="G1120" s="8">
        <f>прил4!G207</f>
        <v>447366</v>
      </c>
      <c r="H1120" s="87"/>
      <c r="I1120" s="87"/>
      <c r="J1120" s="173"/>
      <c r="K1120" s="181"/>
      <c r="L1120" s="181"/>
      <c r="M1120" s="181"/>
      <c r="N1120" s="181"/>
      <c r="O1120" s="181"/>
      <c r="P1120" s="181"/>
      <c r="Q1120" s="181"/>
      <c r="R1120" s="181"/>
      <c r="S1120" s="1"/>
      <c r="T1120" s="1"/>
    </row>
    <row r="1121" spans="1:20" ht="99.75" customHeight="1">
      <c r="A1121" s="104" t="s">
        <v>1482</v>
      </c>
      <c r="B1121" s="84" t="s">
        <v>50</v>
      </c>
      <c r="C1121" s="84" t="s">
        <v>43</v>
      </c>
      <c r="D1121" s="84" t="s">
        <v>18</v>
      </c>
      <c r="E1121" s="15" t="s">
        <v>1481</v>
      </c>
      <c r="F1121" s="15"/>
      <c r="G1121" s="8">
        <f>G1122</f>
        <v>160476</v>
      </c>
      <c r="H1121" s="85">
        <f t="shared" ref="H1121:I1122" si="314">H1122</f>
        <v>0</v>
      </c>
      <c r="I1121" s="85">
        <f t="shared" si="314"/>
        <v>0</v>
      </c>
      <c r="J1121" s="173"/>
      <c r="K1121" s="181"/>
      <c r="L1121" s="181"/>
      <c r="M1121" s="181"/>
      <c r="N1121" s="181"/>
      <c r="O1121" s="181"/>
      <c r="P1121" s="181"/>
      <c r="Q1121" s="181"/>
      <c r="R1121" s="181"/>
      <c r="S1121" s="1"/>
      <c r="T1121" s="1"/>
    </row>
    <row r="1122" spans="1:20" ht="39.75" customHeight="1">
      <c r="A1122" s="82" t="s">
        <v>29</v>
      </c>
      <c r="B1122" s="84" t="s">
        <v>50</v>
      </c>
      <c r="C1122" s="84" t="s">
        <v>43</v>
      </c>
      <c r="D1122" s="84" t="s">
        <v>18</v>
      </c>
      <c r="E1122" s="15" t="s">
        <v>1481</v>
      </c>
      <c r="F1122" s="15" t="s">
        <v>30</v>
      </c>
      <c r="G1122" s="8">
        <f>G1123</f>
        <v>160476</v>
      </c>
      <c r="H1122" s="85">
        <f t="shared" si="314"/>
        <v>0</v>
      </c>
      <c r="I1122" s="85">
        <f t="shared" si="314"/>
        <v>0</v>
      </c>
      <c r="J1122" s="173"/>
      <c r="K1122" s="181"/>
      <c r="L1122" s="181"/>
      <c r="M1122" s="181"/>
      <c r="N1122" s="181"/>
      <c r="O1122" s="181"/>
      <c r="P1122" s="181"/>
      <c r="Q1122" s="181"/>
      <c r="R1122" s="181"/>
      <c r="S1122" s="1"/>
      <c r="T1122" s="1"/>
    </row>
    <row r="1123" spans="1:20" ht="19.5" customHeight="1">
      <c r="A1123" s="130" t="s">
        <v>31</v>
      </c>
      <c r="B1123" s="84" t="s">
        <v>50</v>
      </c>
      <c r="C1123" s="84" t="s">
        <v>43</v>
      </c>
      <c r="D1123" s="84" t="s">
        <v>18</v>
      </c>
      <c r="E1123" s="15" t="s">
        <v>1481</v>
      </c>
      <c r="F1123" s="15" t="s">
        <v>32</v>
      </c>
      <c r="G1123" s="8">
        <f>прил4!G210</f>
        <v>160476</v>
      </c>
      <c r="H1123" s="87"/>
      <c r="I1123" s="87"/>
      <c r="J1123" s="173"/>
      <c r="K1123" s="181"/>
      <c r="L1123" s="181"/>
      <c r="M1123" s="181"/>
      <c r="N1123" s="181"/>
      <c r="O1123" s="181"/>
      <c r="P1123" s="181"/>
      <c r="Q1123" s="181"/>
      <c r="R1123" s="181"/>
      <c r="S1123" s="1"/>
      <c r="T1123" s="1"/>
    </row>
    <row r="1124" spans="1:20" ht="37.5" customHeight="1">
      <c r="A1124" s="104" t="s">
        <v>421</v>
      </c>
      <c r="B1124" s="14">
        <v>757</v>
      </c>
      <c r="C1124" s="15" t="s">
        <v>43</v>
      </c>
      <c r="D1124" s="15" t="s">
        <v>18</v>
      </c>
      <c r="E1124" s="15" t="s">
        <v>394</v>
      </c>
      <c r="F1124" s="15"/>
      <c r="G1124" s="85">
        <f t="shared" ref="G1124:I1125" si="315">G1125</f>
        <v>279086.07</v>
      </c>
      <c r="H1124" s="8">
        <f>H1125</f>
        <v>119608.26</v>
      </c>
      <c r="I1124" s="8">
        <f t="shared" si="315"/>
        <v>119608.26</v>
      </c>
      <c r="J1124" s="2">
        <v>25800</v>
      </c>
      <c r="K1124" s="2" t="e">
        <f>G1124+G1127+G1152+G1156+G1242+G1254+G1262+G1268+#REF!+G1307+G1314+G1316+G1319+G1325+G1337+G1349</f>
        <v>#REF!</v>
      </c>
      <c r="Q1124" s="169"/>
      <c r="T1124" s="2">
        <f>T1114-G1114</f>
        <v>0</v>
      </c>
    </row>
    <row r="1125" spans="1:20" ht="26.4">
      <c r="A1125" s="16" t="s">
        <v>29</v>
      </c>
      <c r="B1125" s="14">
        <v>757</v>
      </c>
      <c r="C1125" s="15" t="s">
        <v>43</v>
      </c>
      <c r="D1125" s="15" t="s">
        <v>18</v>
      </c>
      <c r="E1125" s="15" t="s">
        <v>394</v>
      </c>
      <c r="F1125" s="15" t="s">
        <v>30</v>
      </c>
      <c r="G1125" s="85">
        <f t="shared" si="315"/>
        <v>279086.07</v>
      </c>
      <c r="H1125" s="8">
        <f t="shared" si="315"/>
        <v>119608.26</v>
      </c>
      <c r="I1125" s="8">
        <f t="shared" si="315"/>
        <v>119608.26</v>
      </c>
      <c r="J1125" s="2">
        <v>60633148</v>
      </c>
    </row>
    <row r="1126" spans="1:20">
      <c r="A1126" s="16" t="s">
        <v>31</v>
      </c>
      <c r="B1126" s="14">
        <v>757</v>
      </c>
      <c r="C1126" s="15" t="s">
        <v>43</v>
      </c>
      <c r="D1126" s="15" t="s">
        <v>18</v>
      </c>
      <c r="E1126" s="15" t="s">
        <v>394</v>
      </c>
      <c r="F1126" s="15" t="s">
        <v>32</v>
      </c>
      <c r="G1126" s="85">
        <f>прил4!G304</f>
        <v>279086.07</v>
      </c>
      <c r="H1126" s="8">
        <f>прил4!H304</f>
        <v>119608.26</v>
      </c>
      <c r="I1126" s="8">
        <f>прил4!I304</f>
        <v>119608.26</v>
      </c>
      <c r="J1126" s="2">
        <v>7498067</v>
      </c>
    </row>
    <row r="1127" spans="1:20" ht="93" hidden="1" customHeight="1">
      <c r="A1127" s="16" t="s">
        <v>266</v>
      </c>
      <c r="B1127" s="14">
        <v>757</v>
      </c>
      <c r="C1127" s="15" t="s">
        <v>25</v>
      </c>
      <c r="D1127" s="15" t="s">
        <v>69</v>
      </c>
      <c r="E1127" s="15" t="s">
        <v>565</v>
      </c>
      <c r="F1127" s="15"/>
      <c r="G1127" s="87">
        <f>G1129</f>
        <v>0</v>
      </c>
      <c r="H1127" s="8">
        <v>0</v>
      </c>
      <c r="I1127" s="8">
        <v>0</v>
      </c>
      <c r="J1127" s="1"/>
    </row>
    <row r="1128" spans="1:20" ht="36" hidden="1" customHeight="1">
      <c r="A1128" s="16" t="s">
        <v>29</v>
      </c>
      <c r="B1128" s="14">
        <v>757</v>
      </c>
      <c r="C1128" s="15" t="s">
        <v>25</v>
      </c>
      <c r="D1128" s="15" t="s">
        <v>69</v>
      </c>
      <c r="E1128" s="15" t="s">
        <v>565</v>
      </c>
      <c r="F1128" s="15" t="s">
        <v>30</v>
      </c>
      <c r="G1128" s="87">
        <f>G1129</f>
        <v>0</v>
      </c>
      <c r="H1128" s="8">
        <v>0</v>
      </c>
      <c r="I1128" s="8">
        <v>0</v>
      </c>
      <c r="J1128" s="1"/>
    </row>
    <row r="1129" spans="1:20" ht="19.5" hidden="1" customHeight="1">
      <c r="A1129" s="16" t="s">
        <v>31</v>
      </c>
      <c r="B1129" s="14">
        <v>757</v>
      </c>
      <c r="C1129" s="15" t="s">
        <v>25</v>
      </c>
      <c r="D1129" s="15" t="s">
        <v>69</v>
      </c>
      <c r="E1129" s="15" t="s">
        <v>565</v>
      </c>
      <c r="F1129" s="15" t="s">
        <v>32</v>
      </c>
      <c r="G1129" s="87">
        <f>прил4!G72</f>
        <v>0</v>
      </c>
      <c r="H1129" s="8">
        <v>0</v>
      </c>
      <c r="I1129" s="8">
        <v>0</v>
      </c>
      <c r="J1129" s="1"/>
    </row>
    <row r="1130" spans="1:20" ht="69" hidden="1" customHeight="1">
      <c r="A1130" s="16" t="s">
        <v>989</v>
      </c>
      <c r="B1130" s="14">
        <v>757</v>
      </c>
      <c r="C1130" s="15" t="s">
        <v>43</v>
      </c>
      <c r="D1130" s="15" t="s">
        <v>18</v>
      </c>
      <c r="E1130" s="15" t="s">
        <v>988</v>
      </c>
      <c r="F1130" s="15"/>
      <c r="G1130" s="8">
        <f t="shared" ref="G1130:I1131" si="316">G1131</f>
        <v>0</v>
      </c>
      <c r="H1130" s="8">
        <f t="shared" si="316"/>
        <v>0</v>
      </c>
      <c r="I1130" s="8">
        <f t="shared" si="316"/>
        <v>0</v>
      </c>
      <c r="J1130" s="174"/>
      <c r="K1130" s="181"/>
      <c r="L1130" s="181"/>
      <c r="M1130" s="181"/>
      <c r="N1130" s="181"/>
      <c r="O1130" s="181"/>
      <c r="P1130" s="181"/>
      <c r="Q1130" s="181"/>
      <c r="R1130" s="181"/>
      <c r="S1130" s="1"/>
      <c r="T1130" s="1"/>
    </row>
    <row r="1131" spans="1:20" ht="26.4" hidden="1">
      <c r="A1131" s="16" t="s">
        <v>29</v>
      </c>
      <c r="B1131" s="14">
        <v>757</v>
      </c>
      <c r="C1131" s="15" t="s">
        <v>43</v>
      </c>
      <c r="D1131" s="15" t="s">
        <v>18</v>
      </c>
      <c r="E1131" s="15" t="s">
        <v>988</v>
      </c>
      <c r="F1131" s="15" t="s">
        <v>30</v>
      </c>
      <c r="G1131" s="8">
        <f t="shared" si="316"/>
        <v>0</v>
      </c>
      <c r="H1131" s="8">
        <f t="shared" si="316"/>
        <v>0</v>
      </c>
      <c r="I1131" s="8">
        <f t="shared" si="316"/>
        <v>0</v>
      </c>
      <c r="J1131" s="174"/>
      <c r="K1131" s="181"/>
      <c r="L1131" s="181"/>
      <c r="M1131" s="181"/>
      <c r="N1131" s="181"/>
      <c r="O1131" s="181"/>
      <c r="P1131" s="181"/>
      <c r="Q1131" s="181"/>
      <c r="R1131" s="181"/>
      <c r="S1131" s="1"/>
      <c r="T1131" s="1"/>
    </row>
    <row r="1132" spans="1:20" hidden="1">
      <c r="A1132" s="16" t="s">
        <v>31</v>
      </c>
      <c r="B1132" s="14">
        <v>757</v>
      </c>
      <c r="C1132" s="15" t="s">
        <v>43</v>
      </c>
      <c r="D1132" s="15" t="s">
        <v>18</v>
      </c>
      <c r="E1132" s="15" t="s">
        <v>988</v>
      </c>
      <c r="F1132" s="15" t="s">
        <v>32</v>
      </c>
      <c r="G1132" s="8">
        <f>прил4!G323</f>
        <v>0</v>
      </c>
      <c r="H1132" s="8">
        <f>прил4!H323</f>
        <v>0</v>
      </c>
      <c r="I1132" s="8">
        <f>прил4!I323</f>
        <v>0</v>
      </c>
      <c r="J1132" s="174"/>
      <c r="K1132" s="181"/>
      <c r="L1132" s="181"/>
      <c r="M1132" s="181"/>
      <c r="N1132" s="181"/>
      <c r="O1132" s="181"/>
      <c r="P1132" s="181"/>
      <c r="Q1132" s="181"/>
      <c r="R1132" s="181"/>
      <c r="S1132" s="1"/>
      <c r="T1132" s="1"/>
    </row>
    <row r="1133" spans="1:20" ht="59.25" customHeight="1">
      <c r="A1133" s="104" t="s">
        <v>1048</v>
      </c>
      <c r="B1133" s="15" t="s">
        <v>50</v>
      </c>
      <c r="C1133" s="15" t="s">
        <v>43</v>
      </c>
      <c r="D1133" s="15" t="s">
        <v>18</v>
      </c>
      <c r="E1133" s="15" t="s">
        <v>884</v>
      </c>
      <c r="F1133" s="15"/>
      <c r="G1133" s="85">
        <f>G1134</f>
        <v>439123.21</v>
      </c>
      <c r="H1133" s="85">
        <f t="shared" ref="H1133:I1133" si="317">H1134</f>
        <v>439123.21</v>
      </c>
      <c r="I1133" s="85">
        <f t="shared" si="317"/>
        <v>439635.69</v>
      </c>
      <c r="J1133" s="173"/>
      <c r="K1133" s="181"/>
      <c r="L1133" s="181"/>
      <c r="M1133" s="181"/>
      <c r="N1133" s="181"/>
      <c r="O1133" s="181"/>
      <c r="P1133" s="181"/>
      <c r="Q1133" s="181"/>
      <c r="R1133" s="181"/>
      <c r="S1133" s="1"/>
      <c r="T1133" s="1"/>
    </row>
    <row r="1134" spans="1:20" ht="39.75" customHeight="1">
      <c r="A1134" s="16" t="s">
        <v>29</v>
      </c>
      <c r="B1134" s="15" t="s">
        <v>50</v>
      </c>
      <c r="C1134" s="15" t="s">
        <v>43</v>
      </c>
      <c r="D1134" s="15" t="s">
        <v>18</v>
      </c>
      <c r="E1134" s="15" t="s">
        <v>884</v>
      </c>
      <c r="F1134" s="15" t="s">
        <v>30</v>
      </c>
      <c r="G1134" s="85">
        <f>G1135</f>
        <v>439123.21</v>
      </c>
      <c r="H1134" s="85">
        <f t="shared" ref="H1134:I1134" si="318">H1135</f>
        <v>439123.21</v>
      </c>
      <c r="I1134" s="85">
        <f t="shared" si="318"/>
        <v>439635.69</v>
      </c>
      <c r="J1134" s="173"/>
      <c r="K1134" s="181"/>
      <c r="L1134" s="181"/>
      <c r="M1134" s="181"/>
      <c r="N1134" s="181"/>
      <c r="O1134" s="181"/>
      <c r="P1134" s="181"/>
      <c r="Q1134" s="181"/>
      <c r="R1134" s="181"/>
      <c r="S1134" s="1"/>
      <c r="T1134" s="1"/>
    </row>
    <row r="1135" spans="1:20" ht="19.5" customHeight="1">
      <c r="A1135" s="50" t="s">
        <v>31</v>
      </c>
      <c r="B1135" s="15" t="s">
        <v>50</v>
      </c>
      <c r="C1135" s="15" t="s">
        <v>43</v>
      </c>
      <c r="D1135" s="15" t="s">
        <v>18</v>
      </c>
      <c r="E1135" s="15" t="s">
        <v>884</v>
      </c>
      <c r="F1135" s="15" t="s">
        <v>32</v>
      </c>
      <c r="G1135" s="85">
        <f>прил4!G213</f>
        <v>439123.21</v>
      </c>
      <c r="H1135" s="85">
        <f>прил4!H213</f>
        <v>439123.21</v>
      </c>
      <c r="I1135" s="85">
        <f>прил4!I213</f>
        <v>439635.69</v>
      </c>
      <c r="J1135" s="173"/>
      <c r="K1135" s="181"/>
      <c r="L1135" s="181"/>
      <c r="M1135" s="181"/>
      <c r="N1135" s="181"/>
      <c r="O1135" s="181"/>
      <c r="P1135" s="181"/>
      <c r="Q1135" s="181"/>
      <c r="R1135" s="181"/>
      <c r="S1135" s="1"/>
      <c r="T1135" s="1"/>
    </row>
    <row r="1136" spans="1:20" ht="25.5" hidden="1" customHeight="1">
      <c r="A1136" s="80" t="s">
        <v>883</v>
      </c>
      <c r="B1136" s="14">
        <v>757</v>
      </c>
      <c r="C1136" s="15" t="s">
        <v>43</v>
      </c>
      <c r="D1136" s="15" t="s">
        <v>18</v>
      </c>
      <c r="E1136" s="15" t="s">
        <v>882</v>
      </c>
      <c r="F1136" s="14"/>
      <c r="G1136" s="87">
        <f t="shared" ref="G1136:I1137" si="319">G1137</f>
        <v>0</v>
      </c>
      <c r="H1136" s="70">
        <f t="shared" si="319"/>
        <v>0</v>
      </c>
      <c r="I1136" s="70">
        <f t="shared" si="319"/>
        <v>0</v>
      </c>
      <c r="J1136" s="173"/>
      <c r="K1136" s="181"/>
      <c r="L1136" s="181"/>
      <c r="M1136" s="181"/>
      <c r="N1136" s="181"/>
      <c r="O1136" s="181"/>
      <c r="P1136" s="181"/>
      <c r="Q1136" s="181"/>
      <c r="R1136" s="181"/>
      <c r="S1136" s="1"/>
      <c r="T1136" s="1"/>
    </row>
    <row r="1137" spans="1:20" ht="26.4" hidden="1">
      <c r="A1137" s="16" t="s">
        <v>29</v>
      </c>
      <c r="B1137" s="14">
        <v>757</v>
      </c>
      <c r="C1137" s="15" t="s">
        <v>43</v>
      </c>
      <c r="D1137" s="15" t="s">
        <v>18</v>
      </c>
      <c r="E1137" s="15" t="s">
        <v>882</v>
      </c>
      <c r="F1137" s="15" t="s">
        <v>30</v>
      </c>
      <c r="G1137" s="95">
        <f t="shared" si="319"/>
        <v>0</v>
      </c>
      <c r="H1137" s="25">
        <f t="shared" si="319"/>
        <v>0</v>
      </c>
      <c r="I1137" s="25">
        <f t="shared" si="319"/>
        <v>0</v>
      </c>
      <c r="J1137" s="175"/>
      <c r="K1137" s="181"/>
      <c r="L1137" s="181"/>
      <c r="M1137" s="181"/>
      <c r="N1137" s="181"/>
      <c r="O1137" s="181"/>
      <c r="P1137" s="181"/>
      <c r="Q1137" s="181"/>
      <c r="R1137" s="181"/>
      <c r="S1137" s="1"/>
      <c r="T1137" s="1"/>
    </row>
    <row r="1138" spans="1:20" hidden="1">
      <c r="A1138" s="16" t="s">
        <v>31</v>
      </c>
      <c r="B1138" s="14">
        <v>757</v>
      </c>
      <c r="C1138" s="15" t="s">
        <v>43</v>
      </c>
      <c r="D1138" s="15" t="s">
        <v>18</v>
      </c>
      <c r="E1138" s="15" t="s">
        <v>882</v>
      </c>
      <c r="F1138" s="15" t="s">
        <v>32</v>
      </c>
      <c r="G1138" s="95"/>
      <c r="H1138" s="25">
        <v>0</v>
      </c>
      <c r="I1138" s="25">
        <v>0</v>
      </c>
      <c r="J1138" s="175"/>
      <c r="K1138" s="181"/>
      <c r="L1138" s="181"/>
      <c r="M1138" s="181"/>
      <c r="N1138" s="181"/>
      <c r="O1138" s="181"/>
      <c r="P1138" s="181"/>
      <c r="Q1138" s="181"/>
      <c r="R1138" s="181"/>
      <c r="S1138" s="1"/>
      <c r="T1138" s="1"/>
    </row>
    <row r="1139" spans="1:20" ht="25.5" hidden="1" customHeight="1">
      <c r="A1139" s="80" t="s">
        <v>883</v>
      </c>
      <c r="B1139" s="14">
        <v>757</v>
      </c>
      <c r="C1139" s="15" t="s">
        <v>43</v>
      </c>
      <c r="D1139" s="15" t="s">
        <v>18</v>
      </c>
      <c r="E1139" s="15" t="s">
        <v>882</v>
      </c>
      <c r="F1139" s="14"/>
      <c r="G1139" s="87"/>
      <c r="H1139" s="70">
        <f t="shared" ref="H1139:I1139" si="320">H1140</f>
        <v>0</v>
      </c>
      <c r="I1139" s="70">
        <f t="shared" si="320"/>
        <v>0</v>
      </c>
      <c r="J1139" s="173"/>
      <c r="K1139" s="181"/>
      <c r="L1139" s="181"/>
      <c r="M1139" s="181"/>
      <c r="N1139" s="181"/>
      <c r="O1139" s="181"/>
      <c r="P1139" s="181"/>
      <c r="Q1139" s="181"/>
      <c r="R1139" s="181"/>
      <c r="S1139" s="1"/>
      <c r="T1139" s="1"/>
    </row>
    <row r="1140" spans="1:20" ht="26.4" hidden="1">
      <c r="A1140" s="16" t="s">
        <v>29</v>
      </c>
      <c r="B1140" s="14">
        <v>757</v>
      </c>
      <c r="C1140" s="15" t="s">
        <v>43</v>
      </c>
      <c r="D1140" s="15" t="s">
        <v>18</v>
      </c>
      <c r="E1140" s="15" t="s">
        <v>882</v>
      </c>
      <c r="F1140" s="15" t="s">
        <v>30</v>
      </c>
      <c r="G1140" s="95">
        <f>G1141</f>
        <v>0</v>
      </c>
      <c r="H1140" s="25">
        <f>H1141</f>
        <v>0</v>
      </c>
      <c r="I1140" s="25">
        <f>I1141</f>
        <v>0</v>
      </c>
      <c r="J1140" s="175"/>
      <c r="K1140" s="181"/>
      <c r="L1140" s="181"/>
      <c r="M1140" s="181"/>
      <c r="N1140" s="181"/>
      <c r="O1140" s="181"/>
      <c r="P1140" s="181"/>
      <c r="Q1140" s="181"/>
      <c r="R1140" s="181"/>
      <c r="S1140" s="1"/>
      <c r="T1140" s="1"/>
    </row>
    <row r="1141" spans="1:20" hidden="1">
      <c r="A1141" s="16" t="s">
        <v>31</v>
      </c>
      <c r="B1141" s="14">
        <v>757</v>
      </c>
      <c r="C1141" s="15" t="s">
        <v>43</v>
      </c>
      <c r="D1141" s="15" t="s">
        <v>18</v>
      </c>
      <c r="E1141" s="15" t="s">
        <v>882</v>
      </c>
      <c r="F1141" s="15" t="s">
        <v>32</v>
      </c>
      <c r="G1141" s="95"/>
      <c r="H1141" s="25"/>
      <c r="I1141" s="25"/>
      <c r="J1141" s="175"/>
      <c r="K1141" s="181"/>
      <c r="L1141" s="181"/>
      <c r="M1141" s="181"/>
      <c r="N1141" s="181"/>
      <c r="O1141" s="181"/>
      <c r="P1141" s="181"/>
      <c r="Q1141" s="181"/>
      <c r="R1141" s="181"/>
      <c r="S1141" s="1"/>
      <c r="T1141" s="1"/>
    </row>
    <row r="1142" spans="1:20" ht="37.5" customHeight="1">
      <c r="A1142" s="16" t="s">
        <v>737</v>
      </c>
      <c r="B1142" s="14">
        <v>757</v>
      </c>
      <c r="C1142" s="15" t="s">
        <v>43</v>
      </c>
      <c r="D1142" s="15" t="s">
        <v>18</v>
      </c>
      <c r="E1142" s="15" t="s">
        <v>547</v>
      </c>
      <c r="F1142" s="15"/>
      <c r="G1142" s="95">
        <f>G1143</f>
        <v>7508254.3499999996</v>
      </c>
      <c r="H1142" s="95">
        <f t="shared" ref="H1142:I1142" si="321">H1143</f>
        <v>0</v>
      </c>
      <c r="I1142" s="95">
        <f t="shared" si="321"/>
        <v>0</v>
      </c>
      <c r="J1142" s="175"/>
      <c r="K1142" s="181"/>
      <c r="L1142" s="181"/>
      <c r="M1142" s="181"/>
      <c r="N1142" s="181"/>
      <c r="O1142" s="181"/>
      <c r="P1142" s="181"/>
      <c r="Q1142" s="181"/>
      <c r="R1142" s="181"/>
      <c r="S1142" s="1"/>
      <c r="T1142" s="1"/>
    </row>
    <row r="1143" spans="1:20" ht="26.4">
      <c r="A1143" s="16" t="s">
        <v>29</v>
      </c>
      <c r="B1143" s="14">
        <v>757</v>
      </c>
      <c r="C1143" s="15" t="s">
        <v>43</v>
      </c>
      <c r="D1143" s="15" t="s">
        <v>18</v>
      </c>
      <c r="E1143" s="15" t="s">
        <v>547</v>
      </c>
      <c r="F1143" s="15" t="s">
        <v>30</v>
      </c>
      <c r="G1143" s="95">
        <f>G1144+G1145</f>
        <v>7508254.3499999996</v>
      </c>
      <c r="H1143" s="25">
        <f>H1144</f>
        <v>0</v>
      </c>
      <c r="I1143" s="25">
        <f>I1144</f>
        <v>0</v>
      </c>
      <c r="J1143" s="175"/>
      <c r="K1143" s="181"/>
      <c r="L1143" s="181"/>
      <c r="M1143" s="181"/>
      <c r="N1143" s="181"/>
      <c r="O1143" s="181"/>
      <c r="P1143" s="181"/>
      <c r="Q1143" s="181"/>
      <c r="R1143" s="181"/>
      <c r="S1143" s="1"/>
      <c r="T1143" s="1"/>
    </row>
    <row r="1144" spans="1:20">
      <c r="A1144" s="16" t="s">
        <v>31</v>
      </c>
      <c r="B1144" s="14">
        <v>757</v>
      </c>
      <c r="C1144" s="15" t="s">
        <v>43</v>
      </c>
      <c r="D1144" s="15" t="s">
        <v>18</v>
      </c>
      <c r="E1144" s="15" t="s">
        <v>547</v>
      </c>
      <c r="F1144" s="15" t="s">
        <v>32</v>
      </c>
      <c r="G1144" s="95">
        <f>прил4!G216</f>
        <v>6659311.25</v>
      </c>
      <c r="H1144" s="95">
        <f>прил4!H217</f>
        <v>0</v>
      </c>
      <c r="I1144" s="95">
        <f>прил4!I217</f>
        <v>0</v>
      </c>
      <c r="J1144" s="175"/>
      <c r="K1144" s="181"/>
      <c r="L1144" s="181"/>
      <c r="M1144" s="181"/>
      <c r="N1144" s="181"/>
      <c r="O1144" s="181"/>
      <c r="P1144" s="181"/>
      <c r="Q1144" s="181"/>
      <c r="R1144" s="181"/>
      <c r="S1144" s="1"/>
      <c r="T1144" s="1"/>
    </row>
    <row r="1145" spans="1:20">
      <c r="A1145" s="82" t="s">
        <v>606</v>
      </c>
      <c r="B1145" s="145">
        <v>757</v>
      </c>
      <c r="C1145" s="84" t="s">
        <v>43</v>
      </c>
      <c r="D1145" s="84" t="s">
        <v>18</v>
      </c>
      <c r="E1145" s="84" t="s">
        <v>925</v>
      </c>
      <c r="F1145" s="84" t="s">
        <v>605</v>
      </c>
      <c r="G1145" s="95">
        <f>прил4!G217</f>
        <v>848943.1</v>
      </c>
      <c r="H1145" s="95"/>
      <c r="I1145" s="95"/>
      <c r="J1145" s="175"/>
      <c r="K1145" s="181"/>
      <c r="L1145" s="181"/>
      <c r="M1145" s="181"/>
      <c r="N1145" s="181"/>
      <c r="O1145" s="181"/>
      <c r="P1145" s="181"/>
      <c r="Q1145" s="181"/>
      <c r="R1145" s="181"/>
      <c r="S1145" s="1"/>
      <c r="T1145" s="1"/>
    </row>
    <row r="1146" spans="1:20" ht="26.4" hidden="1">
      <c r="A1146" s="16" t="s">
        <v>927</v>
      </c>
      <c r="B1146" s="14">
        <v>757</v>
      </c>
      <c r="C1146" s="15" t="s">
        <v>43</v>
      </c>
      <c r="D1146" s="15" t="s">
        <v>18</v>
      </c>
      <c r="E1146" s="15" t="s">
        <v>926</v>
      </c>
      <c r="F1146" s="15"/>
      <c r="G1146" s="95">
        <f>G1147</f>
        <v>0</v>
      </c>
      <c r="H1146" s="95">
        <f t="shared" ref="H1146:I1146" si="322">H1147</f>
        <v>0</v>
      </c>
      <c r="I1146" s="95">
        <f t="shared" si="322"/>
        <v>0</v>
      </c>
      <c r="J1146" s="175"/>
      <c r="K1146" s="181"/>
      <c r="L1146" s="181"/>
      <c r="M1146" s="181"/>
      <c r="N1146" s="181"/>
      <c r="O1146" s="181"/>
      <c r="P1146" s="181"/>
      <c r="Q1146" s="181"/>
      <c r="R1146" s="181"/>
      <c r="S1146" s="1"/>
      <c r="T1146" s="1"/>
    </row>
    <row r="1147" spans="1:20" ht="26.4" hidden="1">
      <c r="A1147" s="16" t="s">
        <v>29</v>
      </c>
      <c r="B1147" s="14">
        <v>757</v>
      </c>
      <c r="C1147" s="15" t="s">
        <v>43</v>
      </c>
      <c r="D1147" s="15" t="s">
        <v>18</v>
      </c>
      <c r="E1147" s="15" t="s">
        <v>926</v>
      </c>
      <c r="F1147" s="15" t="s">
        <v>30</v>
      </c>
      <c r="G1147" s="95">
        <f>G1148</f>
        <v>0</v>
      </c>
      <c r="H1147" s="25">
        <f>H1148</f>
        <v>0</v>
      </c>
      <c r="I1147" s="25">
        <f>I1148</f>
        <v>0</v>
      </c>
      <c r="J1147" s="175"/>
      <c r="K1147" s="181"/>
      <c r="L1147" s="181"/>
      <c r="M1147" s="181"/>
      <c r="N1147" s="181"/>
      <c r="O1147" s="181"/>
      <c r="P1147" s="181"/>
      <c r="Q1147" s="181"/>
      <c r="R1147" s="181"/>
      <c r="S1147" s="1"/>
      <c r="T1147" s="1"/>
    </row>
    <row r="1148" spans="1:20" hidden="1">
      <c r="A1148" s="16" t="s">
        <v>31</v>
      </c>
      <c r="B1148" s="14">
        <v>757</v>
      </c>
      <c r="C1148" s="15" t="s">
        <v>43</v>
      </c>
      <c r="D1148" s="15" t="s">
        <v>18</v>
      </c>
      <c r="E1148" s="15" t="s">
        <v>926</v>
      </c>
      <c r="F1148" s="15" t="s">
        <v>32</v>
      </c>
      <c r="G1148" s="95">
        <f>прил4!G220</f>
        <v>0</v>
      </c>
      <c r="H1148" s="95">
        <f>прил4!H220</f>
        <v>0</v>
      </c>
      <c r="I1148" s="95">
        <f>прил4!I220</f>
        <v>0</v>
      </c>
      <c r="J1148" s="175"/>
      <c r="K1148" s="181"/>
      <c r="L1148" s="181"/>
      <c r="M1148" s="181"/>
      <c r="N1148" s="181"/>
      <c r="O1148" s="181"/>
      <c r="P1148" s="181"/>
      <c r="Q1148" s="181"/>
      <c r="R1148" s="181"/>
      <c r="S1148" s="1"/>
      <c r="T1148" s="1"/>
    </row>
    <row r="1149" spans="1:20" ht="79.5" hidden="1" customHeight="1">
      <c r="A1149" s="16" t="s">
        <v>548</v>
      </c>
      <c r="B1149" s="14">
        <v>757</v>
      </c>
      <c r="C1149" s="15" t="s">
        <v>43</v>
      </c>
      <c r="D1149" s="15" t="s">
        <v>18</v>
      </c>
      <c r="E1149" s="15" t="s">
        <v>954</v>
      </c>
      <c r="F1149" s="15"/>
      <c r="G1149" s="70">
        <f>G1150</f>
        <v>0</v>
      </c>
      <c r="H1149" s="70">
        <f t="shared" ref="H1149:I1149" si="323">H1150</f>
        <v>0</v>
      </c>
      <c r="I1149" s="70">
        <f t="shared" si="323"/>
        <v>0</v>
      </c>
      <c r="J1149" s="173"/>
      <c r="K1149" s="181"/>
      <c r="L1149" s="181"/>
      <c r="M1149" s="181"/>
      <c r="N1149" s="181"/>
      <c r="O1149" s="181"/>
      <c r="P1149" s="181"/>
      <c r="Q1149" s="181"/>
      <c r="R1149" s="181"/>
      <c r="S1149" s="1"/>
      <c r="T1149" s="1"/>
    </row>
    <row r="1150" spans="1:20" ht="26.4" hidden="1">
      <c r="A1150" s="16" t="s">
        <v>29</v>
      </c>
      <c r="B1150" s="14">
        <v>757</v>
      </c>
      <c r="C1150" s="15" t="s">
        <v>43</v>
      </c>
      <c r="D1150" s="15" t="s">
        <v>18</v>
      </c>
      <c r="E1150" s="15" t="s">
        <v>954</v>
      </c>
      <c r="F1150" s="15" t="s">
        <v>30</v>
      </c>
      <c r="G1150" s="70">
        <f>G1151</f>
        <v>0</v>
      </c>
      <c r="H1150" s="70">
        <f>H1151</f>
        <v>0</v>
      </c>
      <c r="I1150" s="70">
        <f>I1151</f>
        <v>0</v>
      </c>
      <c r="J1150" s="173"/>
      <c r="K1150" s="181"/>
      <c r="L1150" s="181"/>
      <c r="M1150" s="181"/>
      <c r="N1150" s="181"/>
      <c r="O1150" s="181"/>
      <c r="P1150" s="181"/>
      <c r="Q1150" s="181"/>
      <c r="R1150" s="181"/>
      <c r="S1150" s="1"/>
      <c r="T1150" s="1"/>
    </row>
    <row r="1151" spans="1:20" ht="19.5" hidden="1" customHeight="1">
      <c r="A1151" s="16" t="s">
        <v>31</v>
      </c>
      <c r="B1151" s="14">
        <v>757</v>
      </c>
      <c r="C1151" s="15" t="s">
        <v>43</v>
      </c>
      <c r="D1151" s="15" t="s">
        <v>18</v>
      </c>
      <c r="E1151" s="15" t="s">
        <v>954</v>
      </c>
      <c r="F1151" s="15" t="s">
        <v>32</v>
      </c>
      <c r="G1151" s="70">
        <f>прил4!G416</f>
        <v>0</v>
      </c>
      <c r="H1151" s="70">
        <v>0</v>
      </c>
      <c r="I1151" s="70">
        <v>0</v>
      </c>
      <c r="J1151" s="173"/>
      <c r="K1151" s="181"/>
      <c r="L1151" s="181"/>
      <c r="M1151" s="181"/>
      <c r="N1151" s="181"/>
      <c r="O1151" s="181"/>
      <c r="P1151" s="181"/>
      <c r="Q1151" s="181"/>
      <c r="R1151" s="181"/>
      <c r="S1151" s="1"/>
      <c r="T1151" s="1"/>
    </row>
    <row r="1152" spans="1:20" s="46" customFormat="1" ht="90.75" customHeight="1">
      <c r="A1152" s="104" t="s">
        <v>1054</v>
      </c>
      <c r="B1152" s="14"/>
      <c r="C1152" s="15"/>
      <c r="D1152" s="15"/>
      <c r="E1152" s="15" t="s">
        <v>636</v>
      </c>
      <c r="F1152" s="15"/>
      <c r="G1152" s="87">
        <f t="shared" ref="G1152:I1152" si="324">G1153</f>
        <v>1288042.03</v>
      </c>
      <c r="H1152" s="70">
        <f t="shared" si="324"/>
        <v>1408557.6</v>
      </c>
      <c r="I1152" s="70">
        <f t="shared" si="324"/>
        <v>1408557.6</v>
      </c>
      <c r="J1152" s="110">
        <v>37014758</v>
      </c>
      <c r="P1152" s="110"/>
      <c r="Q1152" s="110"/>
      <c r="R1152" s="110"/>
      <c r="S1152" s="110"/>
      <c r="T1152" s="110"/>
    </row>
    <row r="1153" spans="1:20" s="46" customFormat="1" ht="35.25" customHeight="1">
      <c r="A1153" s="16" t="s">
        <v>29</v>
      </c>
      <c r="B1153" s="14"/>
      <c r="C1153" s="15"/>
      <c r="D1153" s="15"/>
      <c r="E1153" s="15" t="s">
        <v>636</v>
      </c>
      <c r="F1153" s="15" t="s">
        <v>30</v>
      </c>
      <c r="G1153" s="87">
        <f>G1154+G1155</f>
        <v>1288042.03</v>
      </c>
      <c r="H1153" s="87">
        <f t="shared" ref="H1153:I1153" si="325">H1154+H1155</f>
        <v>1408557.6</v>
      </c>
      <c r="I1153" s="87">
        <f t="shared" si="325"/>
        <v>1408557.6</v>
      </c>
      <c r="J1153" s="110">
        <v>1052448</v>
      </c>
      <c r="P1153" s="110"/>
      <c r="Q1153" s="110"/>
      <c r="R1153" s="110"/>
      <c r="S1153" s="110"/>
      <c r="T1153" s="110"/>
    </row>
    <row r="1154" spans="1:20" s="46" customFormat="1" ht="21" customHeight="1">
      <c r="A1154" s="16" t="s">
        <v>31</v>
      </c>
      <c r="B1154" s="14"/>
      <c r="C1154" s="15"/>
      <c r="D1154" s="15"/>
      <c r="E1154" s="15" t="s">
        <v>636</v>
      </c>
      <c r="F1154" s="15" t="s">
        <v>32</v>
      </c>
      <c r="G1154" s="87">
        <f>прил4!G223</f>
        <v>1243042.03</v>
      </c>
      <c r="H1154" s="70">
        <f>прил4!H223</f>
        <v>1363557.6</v>
      </c>
      <c r="I1154" s="70">
        <f>прил4!I223</f>
        <v>1363557.6</v>
      </c>
      <c r="J1154" s="110">
        <v>7890673</v>
      </c>
      <c r="P1154" s="110"/>
      <c r="Q1154" s="110"/>
      <c r="R1154" s="110"/>
      <c r="S1154" s="110"/>
      <c r="T1154" s="110"/>
    </row>
    <row r="1155" spans="1:20">
      <c r="A1155" s="82" t="s">
        <v>606</v>
      </c>
      <c r="B1155" s="145">
        <v>757</v>
      </c>
      <c r="C1155" s="84" t="s">
        <v>43</v>
      </c>
      <c r="D1155" s="84" t="s">
        <v>18</v>
      </c>
      <c r="E1155" s="84" t="s">
        <v>636</v>
      </c>
      <c r="F1155" s="84" t="s">
        <v>605</v>
      </c>
      <c r="G1155" s="95">
        <f>прил4!G224</f>
        <v>45000</v>
      </c>
      <c r="H1155" s="95">
        <f>прил4!H224</f>
        <v>45000</v>
      </c>
      <c r="I1155" s="95">
        <f>прил4!I224</f>
        <v>45000</v>
      </c>
      <c r="J1155" s="175"/>
      <c r="K1155" s="181"/>
      <c r="L1155" s="181"/>
      <c r="M1155" s="181"/>
      <c r="N1155" s="181"/>
      <c r="O1155" s="181"/>
      <c r="P1155" s="181"/>
      <c r="Q1155" s="181"/>
      <c r="R1155" s="181"/>
      <c r="S1155" s="1"/>
      <c r="T1155" s="1"/>
    </row>
    <row r="1156" spans="1:20" ht="26.4">
      <c r="A1156" s="16" t="s">
        <v>28</v>
      </c>
      <c r="B1156" s="14">
        <v>757</v>
      </c>
      <c r="C1156" s="15" t="s">
        <v>25</v>
      </c>
      <c r="D1156" s="15" t="s">
        <v>27</v>
      </c>
      <c r="E1156" s="15" t="s">
        <v>188</v>
      </c>
      <c r="F1156" s="15"/>
      <c r="G1156" s="87">
        <f>G1157</f>
        <v>34045661.939999998</v>
      </c>
      <c r="H1156" s="70">
        <f t="shared" ref="G1156:I1157" si="326">H1157</f>
        <v>33224731.82</v>
      </c>
      <c r="I1156" s="70">
        <f t="shared" si="326"/>
        <v>34922078.719999999</v>
      </c>
      <c r="J1156" s="2">
        <v>435600</v>
      </c>
    </row>
    <row r="1157" spans="1:20" ht="26.4">
      <c r="A1157" s="16" t="s">
        <v>29</v>
      </c>
      <c r="B1157" s="14">
        <v>757</v>
      </c>
      <c r="C1157" s="15" t="s">
        <v>25</v>
      </c>
      <c r="D1157" s="15" t="s">
        <v>27</v>
      </c>
      <c r="E1157" s="15" t="s">
        <v>188</v>
      </c>
      <c r="F1157" s="15" t="s">
        <v>30</v>
      </c>
      <c r="G1157" s="87">
        <f t="shared" si="326"/>
        <v>34045661.939999998</v>
      </c>
      <c r="H1157" s="70">
        <f t="shared" si="326"/>
        <v>33224731.82</v>
      </c>
      <c r="I1157" s="70">
        <f t="shared" si="326"/>
        <v>34922078.719999999</v>
      </c>
      <c r="J1157" s="2">
        <v>300</v>
      </c>
    </row>
    <row r="1158" spans="1:20" ht="19.5" customHeight="1">
      <c r="A1158" s="16" t="s">
        <v>31</v>
      </c>
      <c r="B1158" s="14">
        <v>757</v>
      </c>
      <c r="C1158" s="15" t="s">
        <v>25</v>
      </c>
      <c r="D1158" s="15" t="s">
        <v>27</v>
      </c>
      <c r="E1158" s="15" t="s">
        <v>188</v>
      </c>
      <c r="F1158" s="15" t="s">
        <v>32</v>
      </c>
      <c r="G1158" s="87">
        <f>прил4!G48</f>
        <v>34045661.939999998</v>
      </c>
      <c r="H1158" s="70">
        <f>прил4!H48</f>
        <v>33224731.82</v>
      </c>
      <c r="I1158" s="70">
        <f>прил4!I48</f>
        <v>34922078.719999999</v>
      </c>
      <c r="J1158" s="2">
        <f>SUM(J1114:J1157)</f>
        <v>139023744</v>
      </c>
    </row>
    <row r="1159" spans="1:20" ht="26.4">
      <c r="A1159" s="16" t="s">
        <v>812</v>
      </c>
      <c r="B1159" s="14">
        <v>757</v>
      </c>
      <c r="C1159" s="15" t="s">
        <v>25</v>
      </c>
      <c r="D1159" s="15" t="s">
        <v>69</v>
      </c>
      <c r="E1159" s="15" t="s">
        <v>811</v>
      </c>
      <c r="F1159" s="15"/>
      <c r="G1159" s="70">
        <f>G1160</f>
        <v>135641</v>
      </c>
      <c r="H1159" s="70">
        <f t="shared" ref="H1159:I1159" si="327">H1160</f>
        <v>130000</v>
      </c>
      <c r="I1159" s="70">
        <f t="shared" si="327"/>
        <v>130000</v>
      </c>
      <c r="J1159" s="1"/>
    </row>
    <row r="1160" spans="1:20" ht="26.4">
      <c r="A1160" s="16" t="s">
        <v>29</v>
      </c>
      <c r="B1160" s="14">
        <v>757</v>
      </c>
      <c r="C1160" s="15" t="s">
        <v>25</v>
      </c>
      <c r="D1160" s="15" t="s">
        <v>69</v>
      </c>
      <c r="E1160" s="15" t="s">
        <v>811</v>
      </c>
      <c r="F1160" s="15" t="s">
        <v>30</v>
      </c>
      <c r="G1160" s="70">
        <f>G1161</f>
        <v>135641</v>
      </c>
      <c r="H1160" s="70">
        <f>H1161</f>
        <v>130000</v>
      </c>
      <c r="I1160" s="70">
        <f>I1161</f>
        <v>130000</v>
      </c>
      <c r="J1160" s="1"/>
    </row>
    <row r="1161" spans="1:20" ht="19.5" customHeight="1">
      <c r="A1161" s="16" t="s">
        <v>31</v>
      </c>
      <c r="B1161" s="14">
        <v>757</v>
      </c>
      <c r="C1161" s="15" t="s">
        <v>25</v>
      </c>
      <c r="D1161" s="15" t="s">
        <v>69</v>
      </c>
      <c r="E1161" s="15" t="s">
        <v>811</v>
      </c>
      <c r="F1161" s="15" t="s">
        <v>32</v>
      </c>
      <c r="G1161" s="70">
        <f>прил4!G54+прил4!G359</f>
        <v>135641</v>
      </c>
      <c r="H1161" s="70">
        <f>прил4!H54+прил4!H359</f>
        <v>130000</v>
      </c>
      <c r="I1161" s="70">
        <f>прил4!I54+прил4!I359</f>
        <v>130000</v>
      </c>
      <c r="J1161" s="1"/>
    </row>
    <row r="1162" spans="1:20" ht="39.6" hidden="1">
      <c r="A1162" s="16" t="s">
        <v>640</v>
      </c>
      <c r="B1162" s="14">
        <v>757</v>
      </c>
      <c r="C1162" s="15" t="s">
        <v>25</v>
      </c>
      <c r="D1162" s="15" t="s">
        <v>69</v>
      </c>
      <c r="E1162" s="15" t="s">
        <v>814</v>
      </c>
      <c r="F1162" s="15"/>
      <c r="G1162" s="70">
        <f>G1163</f>
        <v>0</v>
      </c>
      <c r="H1162" s="70">
        <f t="shared" ref="H1162:I1162" si="328">H1163</f>
        <v>0</v>
      </c>
      <c r="I1162" s="70">
        <f t="shared" si="328"/>
        <v>0</v>
      </c>
      <c r="J1162" s="1"/>
    </row>
    <row r="1163" spans="1:20" ht="26.4" hidden="1">
      <c r="A1163" s="16" t="s">
        <v>29</v>
      </c>
      <c r="B1163" s="14">
        <v>757</v>
      </c>
      <c r="C1163" s="15" t="s">
        <v>25</v>
      </c>
      <c r="D1163" s="15" t="s">
        <v>69</v>
      </c>
      <c r="E1163" s="15" t="s">
        <v>814</v>
      </c>
      <c r="F1163" s="15" t="s">
        <v>30</v>
      </c>
      <c r="G1163" s="70">
        <f>G1164</f>
        <v>0</v>
      </c>
      <c r="H1163" s="70">
        <f>H1164</f>
        <v>0</v>
      </c>
      <c r="I1163" s="70">
        <f>I1164</f>
        <v>0</v>
      </c>
      <c r="J1163" s="1"/>
    </row>
    <row r="1164" spans="1:20" ht="19.5" hidden="1" customHeight="1">
      <c r="A1164" s="16" t="s">
        <v>31</v>
      </c>
      <c r="B1164" s="14">
        <v>757</v>
      </c>
      <c r="C1164" s="15" t="s">
        <v>25</v>
      </c>
      <c r="D1164" s="15" t="s">
        <v>69</v>
      </c>
      <c r="E1164" s="15" t="s">
        <v>814</v>
      </c>
      <c r="F1164" s="15" t="s">
        <v>32</v>
      </c>
      <c r="G1164" s="70">
        <f>прил4!G60</f>
        <v>0</v>
      </c>
      <c r="H1164" s="70">
        <f>прил4!H60</f>
        <v>0</v>
      </c>
      <c r="I1164" s="70">
        <f>прил4!I60</f>
        <v>0</v>
      </c>
      <c r="J1164" s="1"/>
    </row>
    <row r="1165" spans="1:20" ht="31.5" hidden="1" customHeight="1">
      <c r="A1165" s="140" t="s">
        <v>781</v>
      </c>
      <c r="B1165" s="14">
        <v>757</v>
      </c>
      <c r="C1165" s="15" t="s">
        <v>43</v>
      </c>
      <c r="D1165" s="15" t="s">
        <v>18</v>
      </c>
      <c r="E1165" s="15" t="s">
        <v>714</v>
      </c>
      <c r="F1165" s="14"/>
      <c r="G1165" s="8">
        <f>G1166</f>
        <v>0</v>
      </c>
      <c r="H1165" s="8">
        <f t="shared" ref="H1165:I1165" si="329">H1166</f>
        <v>0</v>
      </c>
      <c r="I1165" s="8">
        <f t="shared" si="329"/>
        <v>0</v>
      </c>
      <c r="J1165" s="174"/>
      <c r="K1165" s="181"/>
      <c r="L1165" s="181"/>
      <c r="M1165" s="181"/>
      <c r="N1165" s="181"/>
      <c r="O1165" s="181"/>
      <c r="P1165" s="181"/>
      <c r="Q1165" s="181"/>
      <c r="R1165" s="181"/>
      <c r="S1165" s="1"/>
      <c r="T1165" s="1"/>
    </row>
    <row r="1166" spans="1:20" ht="49.5" hidden="1" customHeight="1">
      <c r="A1166" s="82" t="s">
        <v>29</v>
      </c>
      <c r="B1166" s="14">
        <v>757</v>
      </c>
      <c r="C1166" s="15" t="s">
        <v>43</v>
      </c>
      <c r="D1166" s="15" t="s">
        <v>18</v>
      </c>
      <c r="E1166" s="15" t="s">
        <v>714</v>
      </c>
      <c r="F1166" s="15" t="s">
        <v>30</v>
      </c>
      <c r="G1166" s="8">
        <f>G1167</f>
        <v>0</v>
      </c>
      <c r="H1166" s="8">
        <f>H1167</f>
        <v>0</v>
      </c>
      <c r="I1166" s="8">
        <f>I1167</f>
        <v>0</v>
      </c>
      <c r="J1166" s="174"/>
      <c r="K1166" s="181"/>
      <c r="L1166" s="181"/>
      <c r="M1166" s="181"/>
      <c r="N1166" s="181"/>
      <c r="O1166" s="181"/>
      <c r="P1166" s="181"/>
      <c r="Q1166" s="181"/>
      <c r="R1166" s="181"/>
      <c r="S1166" s="1"/>
      <c r="T1166" s="1"/>
    </row>
    <row r="1167" spans="1:20" hidden="1">
      <c r="A1167" s="82" t="s">
        <v>31</v>
      </c>
      <c r="B1167" s="14">
        <v>757</v>
      </c>
      <c r="C1167" s="15" t="s">
        <v>43</v>
      </c>
      <c r="D1167" s="15" t="s">
        <v>18</v>
      </c>
      <c r="E1167" s="15" t="s">
        <v>714</v>
      </c>
      <c r="F1167" s="15" t="s">
        <v>32</v>
      </c>
      <c r="G1167" s="8">
        <f>прил4!G253</f>
        <v>0</v>
      </c>
      <c r="H1167" s="8"/>
      <c r="I1167" s="8"/>
      <c r="J1167" s="174"/>
      <c r="K1167" s="181"/>
      <c r="L1167" s="181"/>
      <c r="M1167" s="181"/>
      <c r="N1167" s="181"/>
      <c r="O1167" s="181"/>
      <c r="P1167" s="181"/>
      <c r="Q1167" s="181"/>
      <c r="R1167" s="181"/>
      <c r="S1167" s="1"/>
      <c r="T1167" s="1"/>
    </row>
    <row r="1168" spans="1:20" ht="26.4">
      <c r="A1168" s="82" t="s">
        <v>1184</v>
      </c>
      <c r="B1168" s="14">
        <v>757</v>
      </c>
      <c r="C1168" s="15" t="s">
        <v>25</v>
      </c>
      <c r="D1168" s="15" t="s">
        <v>69</v>
      </c>
      <c r="E1168" s="15" t="s">
        <v>826</v>
      </c>
      <c r="F1168" s="15"/>
      <c r="G1168" s="70">
        <f>G1169</f>
        <v>492978</v>
      </c>
      <c r="H1168" s="70">
        <f t="shared" ref="H1168:I1168" si="330">H1169</f>
        <v>742607.95</v>
      </c>
      <c r="I1168" s="70">
        <f t="shared" si="330"/>
        <v>675458.05</v>
      </c>
      <c r="J1168" s="1"/>
    </row>
    <row r="1169" spans="1:20" ht="26.4">
      <c r="A1169" s="16" t="s">
        <v>29</v>
      </c>
      <c r="B1169" s="14">
        <v>757</v>
      </c>
      <c r="C1169" s="15" t="s">
        <v>25</v>
      </c>
      <c r="D1169" s="15" t="s">
        <v>69</v>
      </c>
      <c r="E1169" s="15" t="s">
        <v>826</v>
      </c>
      <c r="F1169" s="15" t="s">
        <v>30</v>
      </c>
      <c r="G1169" s="70">
        <f>G1170+G1171</f>
        <v>492978</v>
      </c>
      <c r="H1169" s="70">
        <f t="shared" ref="H1169:I1169" si="331">H1170+H1171</f>
        <v>742607.95</v>
      </c>
      <c r="I1169" s="70">
        <f t="shared" si="331"/>
        <v>675458.05</v>
      </c>
      <c r="J1169" s="1"/>
    </row>
    <row r="1170" spans="1:20" ht="19.5" customHeight="1">
      <c r="A1170" s="16" t="s">
        <v>31</v>
      </c>
      <c r="B1170" s="14">
        <v>757</v>
      </c>
      <c r="C1170" s="15" t="s">
        <v>25</v>
      </c>
      <c r="D1170" s="15" t="s">
        <v>69</v>
      </c>
      <c r="E1170" s="15" t="s">
        <v>826</v>
      </c>
      <c r="F1170" s="15" t="s">
        <v>32</v>
      </c>
      <c r="G1170" s="70">
        <f>прил4!G57+прил4!G351</f>
        <v>462978</v>
      </c>
      <c r="H1170" s="70">
        <f>прил4!H57+прил4!H351</f>
        <v>712607.95</v>
      </c>
      <c r="I1170" s="70">
        <f>прил4!I57+прил4!I351</f>
        <v>645458.05000000005</v>
      </c>
      <c r="J1170" s="1"/>
    </row>
    <row r="1171" spans="1:20" ht="19.5" customHeight="1">
      <c r="A1171" s="82" t="s">
        <v>606</v>
      </c>
      <c r="B1171" s="145">
        <v>757</v>
      </c>
      <c r="C1171" s="84" t="s">
        <v>43</v>
      </c>
      <c r="D1171" s="84" t="s">
        <v>18</v>
      </c>
      <c r="E1171" s="84" t="s">
        <v>826</v>
      </c>
      <c r="F1171" s="84" t="s">
        <v>605</v>
      </c>
      <c r="G1171" s="87">
        <f>прил4!G352</f>
        <v>30000</v>
      </c>
      <c r="H1171" s="87">
        <f>прил4!H352</f>
        <v>30000</v>
      </c>
      <c r="I1171" s="87">
        <f>прил4!I352</f>
        <v>30000</v>
      </c>
      <c r="J1171" s="173"/>
      <c r="K1171" s="181"/>
      <c r="L1171" s="181"/>
      <c r="M1171" s="181"/>
      <c r="N1171" s="181"/>
      <c r="O1171" s="181"/>
      <c r="P1171" s="181"/>
      <c r="Q1171" s="181"/>
      <c r="R1171" s="181"/>
      <c r="S1171" s="1"/>
      <c r="T1171" s="1"/>
    </row>
    <row r="1172" spans="1:20">
      <c r="A1172" s="16" t="s">
        <v>816</v>
      </c>
      <c r="B1172" s="14">
        <v>757</v>
      </c>
      <c r="C1172" s="15" t="s">
        <v>43</v>
      </c>
      <c r="D1172" s="15" t="s">
        <v>18</v>
      </c>
      <c r="E1172" s="15" t="s">
        <v>815</v>
      </c>
      <c r="F1172" s="15"/>
      <c r="G1172" s="70">
        <f>G1173</f>
        <v>448059.62</v>
      </c>
      <c r="H1172" s="70">
        <f t="shared" ref="H1172:I1172" si="332">H1173</f>
        <v>500000</v>
      </c>
      <c r="I1172" s="70">
        <f t="shared" si="332"/>
        <v>500000</v>
      </c>
      <c r="J1172" s="1"/>
    </row>
    <row r="1173" spans="1:20" ht="26.4">
      <c r="A1173" s="16" t="s">
        <v>29</v>
      </c>
      <c r="B1173" s="14">
        <v>757</v>
      </c>
      <c r="C1173" s="15" t="s">
        <v>43</v>
      </c>
      <c r="D1173" s="15" t="s">
        <v>18</v>
      </c>
      <c r="E1173" s="15" t="s">
        <v>815</v>
      </c>
      <c r="F1173" s="15" t="s">
        <v>30</v>
      </c>
      <c r="G1173" s="70">
        <f>G1174+G1175</f>
        <v>448059.62</v>
      </c>
      <c r="H1173" s="70">
        <f t="shared" ref="H1173:I1173" si="333">H1174+H1175</f>
        <v>500000</v>
      </c>
      <c r="I1173" s="70">
        <f t="shared" si="333"/>
        <v>500000</v>
      </c>
      <c r="J1173" s="1"/>
    </row>
    <row r="1174" spans="1:20" ht="19.5" customHeight="1">
      <c r="A1174" s="16" t="s">
        <v>31</v>
      </c>
      <c r="B1174" s="14">
        <v>757</v>
      </c>
      <c r="C1174" s="15" t="s">
        <v>43</v>
      </c>
      <c r="D1174" s="15" t="s">
        <v>18</v>
      </c>
      <c r="E1174" s="15" t="s">
        <v>815</v>
      </c>
      <c r="F1174" s="15" t="s">
        <v>32</v>
      </c>
      <c r="G1174" s="70">
        <f>прил4!G355+прил4!G51</f>
        <v>427467.97</v>
      </c>
      <c r="H1174" s="70">
        <f>прил4!H355+прил4!H51</f>
        <v>482000</v>
      </c>
      <c r="I1174" s="70">
        <f>прил4!I355+прил4!I51</f>
        <v>482000</v>
      </c>
      <c r="J1174" s="1"/>
    </row>
    <row r="1175" spans="1:20" ht="19.5" customHeight="1">
      <c r="A1175" s="82" t="s">
        <v>606</v>
      </c>
      <c r="B1175" s="145">
        <v>757</v>
      </c>
      <c r="C1175" s="84" t="s">
        <v>43</v>
      </c>
      <c r="D1175" s="84" t="s">
        <v>18</v>
      </c>
      <c r="E1175" s="84" t="s">
        <v>815</v>
      </c>
      <c r="F1175" s="84" t="s">
        <v>605</v>
      </c>
      <c r="G1175" s="87">
        <f>прил4!G356</f>
        <v>20591.650000000001</v>
      </c>
      <c r="H1175" s="87">
        <f>прил4!H356</f>
        <v>18000</v>
      </c>
      <c r="I1175" s="87">
        <f>прил4!I356</f>
        <v>18000</v>
      </c>
      <c r="J1175" s="173"/>
      <c r="K1175" s="181"/>
      <c r="L1175" s="181"/>
      <c r="M1175" s="181"/>
      <c r="N1175" s="181"/>
      <c r="O1175" s="181"/>
      <c r="P1175" s="181"/>
      <c r="Q1175" s="181"/>
      <c r="R1175" s="181"/>
      <c r="S1175" s="1"/>
      <c r="T1175" s="1"/>
    </row>
    <row r="1176" spans="1:20" ht="39.6">
      <c r="A1176" s="16" t="s">
        <v>818</v>
      </c>
      <c r="B1176" s="14">
        <v>757</v>
      </c>
      <c r="C1176" s="15" t="s">
        <v>43</v>
      </c>
      <c r="D1176" s="15" t="s">
        <v>18</v>
      </c>
      <c r="E1176" s="15" t="s">
        <v>817</v>
      </c>
      <c r="F1176" s="15"/>
      <c r="G1176" s="70">
        <f>G1177</f>
        <v>17200</v>
      </c>
      <c r="H1176" s="70">
        <f t="shared" ref="H1176:I1176" si="334">H1177</f>
        <v>0</v>
      </c>
      <c r="I1176" s="70">
        <f t="shared" si="334"/>
        <v>0</v>
      </c>
      <c r="J1176" s="1"/>
    </row>
    <row r="1177" spans="1:20" ht="26.4">
      <c r="A1177" s="16" t="s">
        <v>29</v>
      </c>
      <c r="B1177" s="14">
        <v>757</v>
      </c>
      <c r="C1177" s="15" t="s">
        <v>43</v>
      </c>
      <c r="D1177" s="15" t="s">
        <v>18</v>
      </c>
      <c r="E1177" s="15" t="s">
        <v>817</v>
      </c>
      <c r="F1177" s="15" t="s">
        <v>30</v>
      </c>
      <c r="G1177" s="70">
        <f>G1178</f>
        <v>17200</v>
      </c>
      <c r="H1177" s="70">
        <f>H1178</f>
        <v>0</v>
      </c>
      <c r="I1177" s="70">
        <f>I1178</f>
        <v>0</v>
      </c>
      <c r="J1177" s="1"/>
    </row>
    <row r="1178" spans="1:20" ht="19.5" customHeight="1">
      <c r="A1178" s="16" t="s">
        <v>31</v>
      </c>
      <c r="B1178" s="14">
        <v>757</v>
      </c>
      <c r="C1178" s="15" t="s">
        <v>43</v>
      </c>
      <c r="D1178" s="15" t="s">
        <v>18</v>
      </c>
      <c r="E1178" s="15" t="s">
        <v>817</v>
      </c>
      <c r="F1178" s="15" t="s">
        <v>32</v>
      </c>
      <c r="G1178" s="70">
        <f>прил4!G362</f>
        <v>17200</v>
      </c>
      <c r="H1178" s="70">
        <f>прил4!H362</f>
        <v>0</v>
      </c>
      <c r="I1178" s="70">
        <f>прил4!I362</f>
        <v>0</v>
      </c>
      <c r="J1178" s="1"/>
    </row>
    <row r="1179" spans="1:20" ht="26.4" hidden="1">
      <c r="A1179" s="16" t="s">
        <v>820</v>
      </c>
      <c r="B1179" s="14">
        <v>757</v>
      </c>
      <c r="C1179" s="15" t="s">
        <v>43</v>
      </c>
      <c r="D1179" s="15" t="s">
        <v>18</v>
      </c>
      <c r="E1179" s="15" t="s">
        <v>819</v>
      </c>
      <c r="F1179" s="15"/>
      <c r="G1179" s="70">
        <f>G1180</f>
        <v>0</v>
      </c>
      <c r="H1179" s="70">
        <f t="shared" ref="H1179:I1179" si="335">H1180</f>
        <v>0</v>
      </c>
      <c r="I1179" s="70">
        <f t="shared" si="335"/>
        <v>0</v>
      </c>
      <c r="J1179" s="1"/>
    </row>
    <row r="1180" spans="1:20" ht="26.4" hidden="1">
      <c r="A1180" s="16" t="s">
        <v>29</v>
      </c>
      <c r="B1180" s="14">
        <v>757</v>
      </c>
      <c r="C1180" s="15" t="s">
        <v>43</v>
      </c>
      <c r="D1180" s="15" t="s">
        <v>18</v>
      </c>
      <c r="E1180" s="15" t="s">
        <v>819</v>
      </c>
      <c r="F1180" s="15" t="s">
        <v>30</v>
      </c>
      <c r="G1180" s="70">
        <f>G1181</f>
        <v>0</v>
      </c>
      <c r="H1180" s="70">
        <f>H1181</f>
        <v>0</v>
      </c>
      <c r="I1180" s="70">
        <f>I1181</f>
        <v>0</v>
      </c>
      <c r="J1180" s="1"/>
    </row>
    <row r="1181" spans="1:20" ht="19.5" hidden="1" customHeight="1">
      <c r="A1181" s="16" t="s">
        <v>31</v>
      </c>
      <c r="B1181" s="14">
        <v>757</v>
      </c>
      <c r="C1181" s="15" t="s">
        <v>43</v>
      </c>
      <c r="D1181" s="15" t="s">
        <v>18</v>
      </c>
      <c r="E1181" s="15" t="s">
        <v>819</v>
      </c>
      <c r="F1181" s="15" t="s">
        <v>32</v>
      </c>
      <c r="G1181" s="70">
        <f>прил4!G365</f>
        <v>0</v>
      </c>
      <c r="H1181" s="70">
        <f>прил4!H365</f>
        <v>0</v>
      </c>
      <c r="I1181" s="70">
        <f>прил4!I365</f>
        <v>0</v>
      </c>
      <c r="J1181" s="1"/>
    </row>
    <row r="1182" spans="1:20" ht="39.6" hidden="1">
      <c r="A1182" s="16" t="s">
        <v>822</v>
      </c>
      <c r="B1182" s="14">
        <v>757</v>
      </c>
      <c r="C1182" s="15" t="s">
        <v>43</v>
      </c>
      <c r="D1182" s="15" t="s">
        <v>18</v>
      </c>
      <c r="E1182" s="15" t="s">
        <v>821</v>
      </c>
      <c r="F1182" s="15"/>
      <c r="G1182" s="70">
        <f>G1183</f>
        <v>0</v>
      </c>
      <c r="H1182" s="70">
        <f t="shared" ref="H1182:I1182" si="336">H1183</f>
        <v>0</v>
      </c>
      <c r="I1182" s="70">
        <f t="shared" si="336"/>
        <v>0</v>
      </c>
      <c r="J1182" s="1"/>
    </row>
    <row r="1183" spans="1:20" ht="26.4" hidden="1">
      <c r="A1183" s="16" t="s">
        <v>29</v>
      </c>
      <c r="B1183" s="14">
        <v>757</v>
      </c>
      <c r="C1183" s="15" t="s">
        <v>43</v>
      </c>
      <c r="D1183" s="15" t="s">
        <v>18</v>
      </c>
      <c r="E1183" s="15" t="s">
        <v>821</v>
      </c>
      <c r="F1183" s="15" t="s">
        <v>30</v>
      </c>
      <c r="G1183" s="70">
        <f>G1184</f>
        <v>0</v>
      </c>
      <c r="H1183" s="70">
        <f>H1184</f>
        <v>0</v>
      </c>
      <c r="I1183" s="70">
        <f>I1184</f>
        <v>0</v>
      </c>
      <c r="J1183" s="1"/>
    </row>
    <row r="1184" spans="1:20" ht="19.5" hidden="1" customHeight="1">
      <c r="A1184" s="16" t="s">
        <v>31</v>
      </c>
      <c r="B1184" s="14">
        <v>757</v>
      </c>
      <c r="C1184" s="15" t="s">
        <v>43</v>
      </c>
      <c r="D1184" s="15" t="s">
        <v>18</v>
      </c>
      <c r="E1184" s="15" t="s">
        <v>821</v>
      </c>
      <c r="F1184" s="15" t="s">
        <v>32</v>
      </c>
      <c r="G1184" s="70">
        <f>прил4!G368</f>
        <v>0</v>
      </c>
      <c r="H1184" s="70">
        <f>прил4!H368</f>
        <v>0</v>
      </c>
      <c r="I1184" s="70">
        <f>прил4!I368</f>
        <v>0</v>
      </c>
      <c r="J1184" s="1"/>
    </row>
    <row r="1185" spans="1:20" ht="36" customHeight="1">
      <c r="A1185" s="16" t="s">
        <v>979</v>
      </c>
      <c r="B1185" s="14">
        <v>757</v>
      </c>
      <c r="C1185" s="15" t="s">
        <v>43</v>
      </c>
      <c r="D1185" s="15" t="s">
        <v>18</v>
      </c>
      <c r="E1185" s="15" t="s">
        <v>823</v>
      </c>
      <c r="F1185" s="15"/>
      <c r="G1185" s="70">
        <f>G1186</f>
        <v>10000</v>
      </c>
      <c r="H1185" s="70">
        <f t="shared" ref="H1185:I1185" si="337">H1186</f>
        <v>20000</v>
      </c>
      <c r="I1185" s="70">
        <f t="shared" si="337"/>
        <v>0</v>
      </c>
      <c r="J1185" s="1"/>
    </row>
    <row r="1186" spans="1:20" ht="26.4">
      <c r="A1186" s="16" t="s">
        <v>29</v>
      </c>
      <c r="B1186" s="14">
        <v>757</v>
      </c>
      <c r="C1186" s="15" t="s">
        <v>43</v>
      </c>
      <c r="D1186" s="15" t="s">
        <v>18</v>
      </c>
      <c r="E1186" s="15" t="s">
        <v>823</v>
      </c>
      <c r="F1186" s="15" t="s">
        <v>30</v>
      </c>
      <c r="G1186" s="70">
        <f>G1187</f>
        <v>10000</v>
      </c>
      <c r="H1186" s="70">
        <f>H1187</f>
        <v>20000</v>
      </c>
      <c r="I1186" s="70">
        <f>I1187</f>
        <v>0</v>
      </c>
      <c r="J1186" s="1"/>
    </row>
    <row r="1187" spans="1:20" ht="19.5" customHeight="1">
      <c r="A1187" s="16" t="s">
        <v>31</v>
      </c>
      <c r="B1187" s="14">
        <v>757</v>
      </c>
      <c r="C1187" s="15" t="s">
        <v>43</v>
      </c>
      <c r="D1187" s="15" t="s">
        <v>18</v>
      </c>
      <c r="E1187" s="15" t="s">
        <v>823</v>
      </c>
      <c r="F1187" s="15" t="s">
        <v>32</v>
      </c>
      <c r="G1187" s="70">
        <f>прил4!G371</f>
        <v>10000</v>
      </c>
      <c r="H1187" s="70">
        <f>прил4!H371</f>
        <v>20000</v>
      </c>
      <c r="I1187" s="70">
        <f>прил4!I371</f>
        <v>0</v>
      </c>
      <c r="J1187" s="1"/>
    </row>
    <row r="1188" spans="1:20" ht="26.4">
      <c r="A1188" s="16" t="s">
        <v>825</v>
      </c>
      <c r="B1188" s="14">
        <v>757</v>
      </c>
      <c r="C1188" s="15" t="s">
        <v>43</v>
      </c>
      <c r="D1188" s="15" t="s">
        <v>18</v>
      </c>
      <c r="E1188" s="15" t="s">
        <v>824</v>
      </c>
      <c r="F1188" s="15"/>
      <c r="G1188" s="70">
        <f>G1189</f>
        <v>13791.41</v>
      </c>
      <c r="H1188" s="70">
        <f t="shared" ref="H1188:I1188" si="338">H1189</f>
        <v>16173.7</v>
      </c>
      <c r="I1188" s="70">
        <f t="shared" si="338"/>
        <v>16173.7</v>
      </c>
      <c r="J1188" s="1"/>
    </row>
    <row r="1189" spans="1:20" ht="26.4">
      <c r="A1189" s="16" t="s">
        <v>29</v>
      </c>
      <c r="B1189" s="14">
        <v>757</v>
      </c>
      <c r="C1189" s="15" t="s">
        <v>43</v>
      </c>
      <c r="D1189" s="15" t="s">
        <v>18</v>
      </c>
      <c r="E1189" s="15" t="s">
        <v>824</v>
      </c>
      <c r="F1189" s="15" t="s">
        <v>30</v>
      </c>
      <c r="G1189" s="70">
        <f>G1190</f>
        <v>13791.41</v>
      </c>
      <c r="H1189" s="70">
        <f>H1190</f>
        <v>16173.7</v>
      </c>
      <c r="I1189" s="70">
        <f>I1190</f>
        <v>16173.7</v>
      </c>
      <c r="J1189" s="1"/>
    </row>
    <row r="1190" spans="1:20" ht="19.5" customHeight="1">
      <c r="A1190" s="16" t="s">
        <v>31</v>
      </c>
      <c r="B1190" s="14">
        <v>757</v>
      </c>
      <c r="C1190" s="15" t="s">
        <v>43</v>
      </c>
      <c r="D1190" s="15" t="s">
        <v>18</v>
      </c>
      <c r="E1190" s="15" t="s">
        <v>824</v>
      </c>
      <c r="F1190" s="15" t="s">
        <v>32</v>
      </c>
      <c r="G1190" s="70">
        <f>прил4!G374</f>
        <v>13791.41</v>
      </c>
      <c r="H1190" s="70">
        <f>прил4!H374</f>
        <v>16173.7</v>
      </c>
      <c r="I1190" s="70">
        <f>прил4!I374</f>
        <v>16173.7</v>
      </c>
      <c r="J1190" s="1"/>
    </row>
    <row r="1191" spans="1:20" ht="26.4" hidden="1">
      <c r="A1191" s="16" t="s">
        <v>829</v>
      </c>
      <c r="B1191" s="14">
        <v>757</v>
      </c>
      <c r="C1191" s="15" t="s">
        <v>43</v>
      </c>
      <c r="D1191" s="15" t="s">
        <v>18</v>
      </c>
      <c r="E1191" s="15" t="s">
        <v>828</v>
      </c>
      <c r="F1191" s="15"/>
      <c r="G1191" s="70">
        <f>G1192</f>
        <v>0</v>
      </c>
      <c r="H1191" s="70">
        <f t="shared" ref="H1191:I1191" si="339">H1192</f>
        <v>0</v>
      </c>
      <c r="I1191" s="70">
        <f t="shared" si="339"/>
        <v>0</v>
      </c>
      <c r="J1191" s="1"/>
    </row>
    <row r="1192" spans="1:20" ht="26.4" hidden="1">
      <c r="A1192" s="16" t="s">
        <v>29</v>
      </c>
      <c r="B1192" s="14">
        <v>757</v>
      </c>
      <c r="C1192" s="15" t="s">
        <v>43</v>
      </c>
      <c r="D1192" s="15" t="s">
        <v>18</v>
      </c>
      <c r="E1192" s="15" t="s">
        <v>828</v>
      </c>
      <c r="F1192" s="15" t="s">
        <v>30</v>
      </c>
      <c r="G1192" s="70">
        <f>G1193</f>
        <v>0</v>
      </c>
      <c r="H1192" s="70">
        <f>H1193</f>
        <v>0</v>
      </c>
      <c r="I1192" s="70">
        <f>I1193</f>
        <v>0</v>
      </c>
      <c r="J1192" s="1"/>
    </row>
    <row r="1193" spans="1:20" ht="19.5" hidden="1" customHeight="1">
      <c r="A1193" s="16" t="s">
        <v>31</v>
      </c>
      <c r="B1193" s="14">
        <v>757</v>
      </c>
      <c r="C1193" s="15" t="s">
        <v>43</v>
      </c>
      <c r="D1193" s="15" t="s">
        <v>18</v>
      </c>
      <c r="E1193" s="15" t="s">
        <v>828</v>
      </c>
      <c r="F1193" s="15" t="s">
        <v>32</v>
      </c>
      <c r="G1193" s="70">
        <f>прил4!G380</f>
        <v>0</v>
      </c>
      <c r="H1193" s="70">
        <v>0</v>
      </c>
      <c r="I1193" s="70">
        <v>0</v>
      </c>
      <c r="J1193" s="1"/>
    </row>
    <row r="1194" spans="1:20" s="90" customFormat="1" ht="37.5" hidden="1" customHeight="1">
      <c r="A1194" s="82" t="s">
        <v>1031</v>
      </c>
      <c r="B1194" s="145">
        <v>757</v>
      </c>
      <c r="C1194" s="84" t="s">
        <v>43</v>
      </c>
      <c r="D1194" s="84" t="s">
        <v>18</v>
      </c>
      <c r="E1194" s="84" t="s">
        <v>830</v>
      </c>
      <c r="F1194" s="84"/>
      <c r="G1194" s="87">
        <f>G1195</f>
        <v>0</v>
      </c>
      <c r="H1194" s="87">
        <f t="shared" ref="H1194:I1194" si="340">H1195</f>
        <v>0</v>
      </c>
      <c r="I1194" s="87">
        <f t="shared" si="340"/>
        <v>0</v>
      </c>
      <c r="P1194" s="123"/>
      <c r="Q1194" s="123"/>
      <c r="R1194" s="123"/>
      <c r="S1194" s="123"/>
      <c r="T1194" s="123"/>
    </row>
    <row r="1195" spans="1:20" s="90" customFormat="1" ht="28.5" hidden="1" customHeight="1">
      <c r="A1195" s="82" t="s">
        <v>29</v>
      </c>
      <c r="B1195" s="145">
        <v>757</v>
      </c>
      <c r="C1195" s="84" t="s">
        <v>43</v>
      </c>
      <c r="D1195" s="84" t="s">
        <v>18</v>
      </c>
      <c r="E1195" s="84" t="s">
        <v>830</v>
      </c>
      <c r="F1195" s="84" t="s">
        <v>30</v>
      </c>
      <c r="G1195" s="87">
        <f>G1196</f>
        <v>0</v>
      </c>
      <c r="H1195" s="87">
        <f>H1196</f>
        <v>0</v>
      </c>
      <c r="I1195" s="87">
        <f>I1196</f>
        <v>0</v>
      </c>
      <c r="P1195" s="123"/>
      <c r="Q1195" s="123"/>
      <c r="R1195" s="123"/>
      <c r="S1195" s="123"/>
      <c r="T1195" s="123"/>
    </row>
    <row r="1196" spans="1:20" s="90" customFormat="1" ht="19.5" hidden="1" customHeight="1">
      <c r="A1196" s="82" t="s">
        <v>31</v>
      </c>
      <c r="B1196" s="145">
        <v>757</v>
      </c>
      <c r="C1196" s="84" t="s">
        <v>43</v>
      </c>
      <c r="D1196" s="84" t="s">
        <v>18</v>
      </c>
      <c r="E1196" s="84" t="s">
        <v>830</v>
      </c>
      <c r="F1196" s="84" t="s">
        <v>32</v>
      </c>
      <c r="G1196" s="87">
        <f>прил4!G383</f>
        <v>0</v>
      </c>
      <c r="H1196" s="87">
        <v>0</v>
      </c>
      <c r="I1196" s="87">
        <v>0</v>
      </c>
      <c r="P1196" s="123"/>
      <c r="Q1196" s="123"/>
      <c r="R1196" s="123"/>
      <c r="S1196" s="123"/>
      <c r="T1196" s="123"/>
    </row>
    <row r="1197" spans="1:20" s="90" customFormat="1" ht="71.25" hidden="1" customHeight="1">
      <c r="A1197" s="82" t="s">
        <v>918</v>
      </c>
      <c r="B1197" s="145">
        <v>757</v>
      </c>
      <c r="C1197" s="84" t="s">
        <v>43</v>
      </c>
      <c r="D1197" s="84" t="s">
        <v>18</v>
      </c>
      <c r="E1197" s="84" t="s">
        <v>917</v>
      </c>
      <c r="F1197" s="84"/>
      <c r="G1197" s="87">
        <f>G1198</f>
        <v>0</v>
      </c>
      <c r="H1197" s="87">
        <f t="shared" ref="H1197:I1197" si="341">H1198</f>
        <v>0</v>
      </c>
      <c r="I1197" s="87">
        <f t="shared" si="341"/>
        <v>0</v>
      </c>
      <c r="J1197" s="173"/>
      <c r="K1197" s="181"/>
      <c r="L1197" s="181"/>
      <c r="M1197" s="181"/>
      <c r="N1197" s="181"/>
      <c r="O1197" s="181"/>
      <c r="P1197" s="181"/>
      <c r="Q1197" s="181"/>
      <c r="R1197" s="181"/>
    </row>
    <row r="1198" spans="1:20" s="90" customFormat="1" ht="26.4" hidden="1">
      <c r="A1198" s="82" t="s">
        <v>29</v>
      </c>
      <c r="B1198" s="145">
        <v>757</v>
      </c>
      <c r="C1198" s="84" t="s">
        <v>43</v>
      </c>
      <c r="D1198" s="84" t="s">
        <v>18</v>
      </c>
      <c r="E1198" s="84" t="s">
        <v>917</v>
      </c>
      <c r="F1198" s="84" t="s">
        <v>30</v>
      </c>
      <c r="G1198" s="87">
        <f>G1199</f>
        <v>0</v>
      </c>
      <c r="H1198" s="87">
        <f>H1199</f>
        <v>0</v>
      </c>
      <c r="I1198" s="87">
        <f>I1199</f>
        <v>0</v>
      </c>
      <c r="J1198" s="173"/>
      <c r="K1198" s="181"/>
      <c r="L1198" s="181"/>
      <c r="M1198" s="181"/>
      <c r="N1198" s="181"/>
      <c r="O1198" s="181"/>
      <c r="P1198" s="181"/>
      <c r="Q1198" s="181"/>
      <c r="R1198" s="181"/>
    </row>
    <row r="1199" spans="1:20" s="90" customFormat="1" ht="19.5" hidden="1" customHeight="1">
      <c r="A1199" s="82" t="s">
        <v>31</v>
      </c>
      <c r="B1199" s="145">
        <v>757</v>
      </c>
      <c r="C1199" s="84" t="s">
        <v>43</v>
      </c>
      <c r="D1199" s="84" t="s">
        <v>18</v>
      </c>
      <c r="E1199" s="84" t="s">
        <v>917</v>
      </c>
      <c r="F1199" s="84" t="s">
        <v>32</v>
      </c>
      <c r="G1199" s="87">
        <f>прил4!G419</f>
        <v>0</v>
      </c>
      <c r="H1199" s="87">
        <v>0</v>
      </c>
      <c r="I1199" s="87">
        <v>0</v>
      </c>
      <c r="J1199" s="173"/>
      <c r="K1199" s="181"/>
      <c r="L1199" s="181"/>
      <c r="M1199" s="181"/>
      <c r="N1199" s="181"/>
      <c r="O1199" s="181"/>
      <c r="P1199" s="181"/>
      <c r="Q1199" s="181"/>
      <c r="R1199" s="181"/>
    </row>
    <row r="1200" spans="1:20" s="90" customFormat="1" ht="39.6" hidden="1">
      <c r="A1200" s="82" t="s">
        <v>818</v>
      </c>
      <c r="B1200" s="145">
        <v>757</v>
      </c>
      <c r="C1200" s="84" t="s">
        <v>43</v>
      </c>
      <c r="D1200" s="84" t="s">
        <v>18</v>
      </c>
      <c r="E1200" s="84" t="s">
        <v>830</v>
      </c>
      <c r="F1200" s="84"/>
      <c r="G1200" s="87">
        <f>G1201</f>
        <v>0</v>
      </c>
      <c r="H1200" s="87">
        <f t="shared" ref="H1200:I1200" si="342">H1201</f>
        <v>0</v>
      </c>
      <c r="I1200" s="87">
        <f t="shared" si="342"/>
        <v>0</v>
      </c>
      <c r="P1200" s="123"/>
      <c r="Q1200" s="123"/>
      <c r="R1200" s="123"/>
      <c r="S1200" s="123"/>
      <c r="T1200" s="123"/>
    </row>
    <row r="1201" spans="1:20" s="90" customFormat="1" ht="26.4" hidden="1">
      <c r="A1201" s="82" t="s">
        <v>29</v>
      </c>
      <c r="B1201" s="145">
        <v>757</v>
      </c>
      <c r="C1201" s="84" t="s">
        <v>43</v>
      </c>
      <c r="D1201" s="84" t="s">
        <v>18</v>
      </c>
      <c r="E1201" s="84" t="s">
        <v>830</v>
      </c>
      <c r="F1201" s="84" t="s">
        <v>30</v>
      </c>
      <c r="G1201" s="87">
        <f>G1202</f>
        <v>0</v>
      </c>
      <c r="H1201" s="87">
        <f>H1202</f>
        <v>0</v>
      </c>
      <c r="I1201" s="87">
        <f>I1202</f>
        <v>0</v>
      </c>
      <c r="P1201" s="123"/>
      <c r="Q1201" s="123"/>
      <c r="R1201" s="123"/>
      <c r="S1201" s="123"/>
      <c r="T1201" s="123"/>
    </row>
    <row r="1202" spans="1:20" s="90" customFormat="1" ht="19.5" hidden="1" customHeight="1">
      <c r="A1202" s="82" t="s">
        <v>31</v>
      </c>
      <c r="B1202" s="145">
        <v>757</v>
      </c>
      <c r="C1202" s="84" t="s">
        <v>43</v>
      </c>
      <c r="D1202" s="84" t="s">
        <v>18</v>
      </c>
      <c r="E1202" s="84" t="s">
        <v>830</v>
      </c>
      <c r="F1202" s="84" t="s">
        <v>32</v>
      </c>
      <c r="G1202" s="87"/>
      <c r="H1202" s="87">
        <v>0</v>
      </c>
      <c r="I1202" s="87">
        <v>0</v>
      </c>
      <c r="P1202" s="123"/>
      <c r="Q1202" s="123"/>
      <c r="R1202" s="123"/>
      <c r="S1202" s="123"/>
      <c r="T1202" s="123"/>
    </row>
    <row r="1203" spans="1:20" s="90" customFormat="1" ht="42" hidden="1" customHeight="1">
      <c r="A1203" s="82" t="s">
        <v>1031</v>
      </c>
      <c r="B1203" s="145">
        <v>757</v>
      </c>
      <c r="C1203" s="84" t="s">
        <v>43</v>
      </c>
      <c r="D1203" s="84" t="s">
        <v>18</v>
      </c>
      <c r="E1203" s="84" t="s">
        <v>1030</v>
      </c>
      <c r="F1203" s="84"/>
      <c r="G1203" s="87">
        <f>G1204</f>
        <v>0</v>
      </c>
      <c r="H1203" s="87">
        <f t="shared" ref="H1203:I1203" si="343">H1204</f>
        <v>0</v>
      </c>
      <c r="I1203" s="87">
        <f t="shared" si="343"/>
        <v>0</v>
      </c>
      <c r="J1203" s="173"/>
      <c r="K1203" s="181"/>
      <c r="L1203" s="181"/>
      <c r="M1203" s="181"/>
      <c r="N1203" s="181"/>
      <c r="O1203" s="181"/>
      <c r="P1203" s="181"/>
      <c r="Q1203" s="181"/>
      <c r="R1203" s="181"/>
    </row>
    <row r="1204" spans="1:20" s="90" customFormat="1" ht="26.4" hidden="1">
      <c r="A1204" s="82" t="s">
        <v>29</v>
      </c>
      <c r="B1204" s="145">
        <v>757</v>
      </c>
      <c r="C1204" s="84" t="s">
        <v>43</v>
      </c>
      <c r="D1204" s="84" t="s">
        <v>18</v>
      </c>
      <c r="E1204" s="84" t="s">
        <v>1030</v>
      </c>
      <c r="F1204" s="84" t="s">
        <v>30</v>
      </c>
      <c r="G1204" s="87">
        <f>G1205</f>
        <v>0</v>
      </c>
      <c r="H1204" s="87">
        <f>H1205</f>
        <v>0</v>
      </c>
      <c r="I1204" s="87">
        <f>I1205</f>
        <v>0</v>
      </c>
      <c r="J1204" s="173"/>
      <c r="K1204" s="181"/>
      <c r="L1204" s="181"/>
      <c r="M1204" s="181"/>
      <c r="N1204" s="181"/>
      <c r="O1204" s="181"/>
      <c r="P1204" s="181"/>
      <c r="Q1204" s="181"/>
      <c r="R1204" s="181"/>
    </row>
    <row r="1205" spans="1:20" s="90" customFormat="1" ht="19.5" hidden="1" customHeight="1">
      <c r="A1205" s="82" t="s">
        <v>31</v>
      </c>
      <c r="B1205" s="145">
        <v>757</v>
      </c>
      <c r="C1205" s="84" t="s">
        <v>43</v>
      </c>
      <c r="D1205" s="84" t="s">
        <v>18</v>
      </c>
      <c r="E1205" s="84" t="s">
        <v>1030</v>
      </c>
      <c r="F1205" s="84" t="s">
        <v>32</v>
      </c>
      <c r="G1205" s="87">
        <f>прил4!G383</f>
        <v>0</v>
      </c>
      <c r="H1205" s="87">
        <v>0</v>
      </c>
      <c r="I1205" s="87">
        <v>0</v>
      </c>
      <c r="J1205" s="173"/>
      <c r="K1205" s="181"/>
      <c r="L1205" s="181"/>
      <c r="M1205" s="181"/>
      <c r="N1205" s="181"/>
      <c r="O1205" s="181"/>
      <c r="P1205" s="181"/>
      <c r="Q1205" s="181"/>
      <c r="R1205" s="181"/>
    </row>
    <row r="1206" spans="1:20" s="90" customFormat="1" ht="42" hidden="1" customHeight="1">
      <c r="A1206" s="82" t="s">
        <v>1033</v>
      </c>
      <c r="B1206" s="145">
        <v>757</v>
      </c>
      <c r="C1206" s="84" t="s">
        <v>43</v>
      </c>
      <c r="D1206" s="84" t="s">
        <v>18</v>
      </c>
      <c r="E1206" s="84" t="s">
        <v>1032</v>
      </c>
      <c r="F1206" s="84"/>
      <c r="G1206" s="87">
        <f>G1207</f>
        <v>0</v>
      </c>
      <c r="H1206" s="87">
        <f t="shared" ref="H1206:I1206" si="344">H1207</f>
        <v>0</v>
      </c>
      <c r="I1206" s="87">
        <f t="shared" si="344"/>
        <v>0</v>
      </c>
      <c r="J1206" s="173"/>
      <c r="K1206" s="181"/>
      <c r="L1206" s="181"/>
      <c r="M1206" s="181"/>
      <c r="N1206" s="181"/>
      <c r="O1206" s="181"/>
      <c r="P1206" s="181"/>
      <c r="Q1206" s="181"/>
      <c r="R1206" s="181"/>
    </row>
    <row r="1207" spans="1:20" s="90" customFormat="1" ht="26.4" hidden="1">
      <c r="A1207" s="82" t="s">
        <v>29</v>
      </c>
      <c r="B1207" s="145">
        <v>757</v>
      </c>
      <c r="C1207" s="84" t="s">
        <v>43</v>
      </c>
      <c r="D1207" s="84" t="s">
        <v>18</v>
      </c>
      <c r="E1207" s="84" t="s">
        <v>1032</v>
      </c>
      <c r="F1207" s="84" t="s">
        <v>30</v>
      </c>
      <c r="G1207" s="87">
        <f>G1208</f>
        <v>0</v>
      </c>
      <c r="H1207" s="87">
        <f>H1208</f>
        <v>0</v>
      </c>
      <c r="I1207" s="87">
        <f>I1208</f>
        <v>0</v>
      </c>
      <c r="J1207" s="173"/>
      <c r="K1207" s="181"/>
      <c r="L1207" s="181"/>
      <c r="M1207" s="181"/>
      <c r="N1207" s="181"/>
      <c r="O1207" s="181"/>
      <c r="P1207" s="181"/>
      <c r="Q1207" s="181"/>
      <c r="R1207" s="181"/>
    </row>
    <row r="1208" spans="1:20" s="90" customFormat="1" ht="19.5" hidden="1" customHeight="1">
      <c r="A1208" s="82" t="s">
        <v>31</v>
      </c>
      <c r="B1208" s="145">
        <v>757</v>
      </c>
      <c r="C1208" s="84" t="s">
        <v>43</v>
      </c>
      <c r="D1208" s="84" t="s">
        <v>18</v>
      </c>
      <c r="E1208" s="84" t="s">
        <v>1032</v>
      </c>
      <c r="F1208" s="84" t="s">
        <v>32</v>
      </c>
      <c r="G1208" s="87"/>
      <c r="H1208" s="87">
        <v>0</v>
      </c>
      <c r="I1208" s="87">
        <v>0</v>
      </c>
      <c r="J1208" s="173"/>
      <c r="K1208" s="181"/>
      <c r="L1208" s="181"/>
      <c r="M1208" s="181"/>
      <c r="N1208" s="181"/>
      <c r="O1208" s="181"/>
      <c r="P1208" s="181"/>
      <c r="Q1208" s="181"/>
      <c r="R1208" s="181"/>
    </row>
    <row r="1209" spans="1:20" s="90" customFormat="1" ht="42" hidden="1" customHeight="1">
      <c r="A1209" s="82" t="s">
        <v>1040</v>
      </c>
      <c r="B1209" s="145">
        <v>757</v>
      </c>
      <c r="C1209" s="84" t="s">
        <v>43</v>
      </c>
      <c r="D1209" s="84" t="s">
        <v>18</v>
      </c>
      <c r="E1209" s="84" t="s">
        <v>1034</v>
      </c>
      <c r="F1209" s="84"/>
      <c r="G1209" s="87">
        <f>G1210</f>
        <v>0</v>
      </c>
      <c r="H1209" s="87">
        <f t="shared" ref="H1209:I1209" si="345">H1210</f>
        <v>0</v>
      </c>
      <c r="I1209" s="87">
        <f t="shared" si="345"/>
        <v>0</v>
      </c>
      <c r="J1209" s="173"/>
      <c r="K1209" s="181"/>
      <c r="L1209" s="181"/>
      <c r="M1209" s="181"/>
      <c r="N1209" s="181"/>
      <c r="O1209" s="181"/>
      <c r="P1209" s="181"/>
      <c r="Q1209" s="181"/>
      <c r="R1209" s="181"/>
    </row>
    <row r="1210" spans="1:20" s="90" customFormat="1" ht="26.4" hidden="1">
      <c r="A1210" s="82" t="s">
        <v>29</v>
      </c>
      <c r="B1210" s="145">
        <v>757</v>
      </c>
      <c r="C1210" s="84" t="s">
        <v>43</v>
      </c>
      <c r="D1210" s="84" t="s">
        <v>18</v>
      </c>
      <c r="E1210" s="84" t="s">
        <v>1034</v>
      </c>
      <c r="F1210" s="84" t="s">
        <v>30</v>
      </c>
      <c r="G1210" s="87">
        <f>G1211</f>
        <v>0</v>
      </c>
      <c r="H1210" s="87">
        <f>H1211</f>
        <v>0</v>
      </c>
      <c r="I1210" s="87">
        <f>I1211</f>
        <v>0</v>
      </c>
      <c r="J1210" s="173"/>
      <c r="K1210" s="181"/>
      <c r="L1210" s="181"/>
      <c r="M1210" s="181"/>
      <c r="N1210" s="181"/>
      <c r="O1210" s="181"/>
      <c r="P1210" s="181"/>
      <c r="Q1210" s="181"/>
      <c r="R1210" s="181"/>
    </row>
    <row r="1211" spans="1:20" s="90" customFormat="1" ht="19.5" hidden="1" customHeight="1">
      <c r="A1211" s="82" t="s">
        <v>31</v>
      </c>
      <c r="B1211" s="145">
        <v>757</v>
      </c>
      <c r="C1211" s="84" t="s">
        <v>43</v>
      </c>
      <c r="D1211" s="84" t="s">
        <v>18</v>
      </c>
      <c r="E1211" s="84" t="s">
        <v>1034</v>
      </c>
      <c r="F1211" s="84" t="s">
        <v>32</v>
      </c>
      <c r="G1211" s="87"/>
      <c r="H1211" s="87">
        <v>0</v>
      </c>
      <c r="I1211" s="87">
        <v>0</v>
      </c>
      <c r="J1211" s="173"/>
      <c r="K1211" s="181"/>
      <c r="L1211" s="181"/>
      <c r="M1211" s="181"/>
      <c r="N1211" s="181"/>
      <c r="O1211" s="181"/>
      <c r="P1211" s="181"/>
      <c r="Q1211" s="181"/>
      <c r="R1211" s="181"/>
    </row>
    <row r="1212" spans="1:20" s="90" customFormat="1" ht="42" hidden="1" customHeight="1">
      <c r="A1212" s="82" t="s">
        <v>1036</v>
      </c>
      <c r="B1212" s="145">
        <v>757</v>
      </c>
      <c r="C1212" s="84" t="s">
        <v>43</v>
      </c>
      <c r="D1212" s="84" t="s">
        <v>18</v>
      </c>
      <c r="E1212" s="84" t="s">
        <v>1035</v>
      </c>
      <c r="F1212" s="84"/>
      <c r="G1212" s="87">
        <f>G1213</f>
        <v>0</v>
      </c>
      <c r="H1212" s="87">
        <f t="shared" ref="H1212:I1212" si="346">H1213</f>
        <v>0</v>
      </c>
      <c r="I1212" s="87">
        <f t="shared" si="346"/>
        <v>0</v>
      </c>
      <c r="J1212" s="173"/>
      <c r="K1212" s="181"/>
      <c r="L1212" s="181"/>
      <c r="M1212" s="181"/>
      <c r="N1212" s="181"/>
      <c r="O1212" s="181"/>
      <c r="P1212" s="181"/>
      <c r="Q1212" s="181"/>
      <c r="R1212" s="181"/>
    </row>
    <row r="1213" spans="1:20" s="90" customFormat="1" ht="26.4" hidden="1">
      <c r="A1213" s="82" t="s">
        <v>29</v>
      </c>
      <c r="B1213" s="145">
        <v>757</v>
      </c>
      <c r="C1213" s="84" t="s">
        <v>43</v>
      </c>
      <c r="D1213" s="84" t="s">
        <v>18</v>
      </c>
      <c r="E1213" s="84" t="s">
        <v>1035</v>
      </c>
      <c r="F1213" s="84" t="s">
        <v>30</v>
      </c>
      <c r="G1213" s="87">
        <f>G1214</f>
        <v>0</v>
      </c>
      <c r="H1213" s="87">
        <f>H1214</f>
        <v>0</v>
      </c>
      <c r="I1213" s="87">
        <f>I1214</f>
        <v>0</v>
      </c>
      <c r="J1213" s="173"/>
      <c r="K1213" s="181"/>
      <c r="L1213" s="181"/>
      <c r="M1213" s="181"/>
      <c r="N1213" s="181"/>
      <c r="O1213" s="181"/>
      <c r="P1213" s="181"/>
      <c r="Q1213" s="181"/>
      <c r="R1213" s="181"/>
    </row>
    <row r="1214" spans="1:20" s="90" customFormat="1" ht="19.5" hidden="1" customHeight="1">
      <c r="A1214" s="82" t="s">
        <v>31</v>
      </c>
      <c r="B1214" s="145">
        <v>757</v>
      </c>
      <c r="C1214" s="84" t="s">
        <v>43</v>
      </c>
      <c r="D1214" s="84" t="s">
        <v>18</v>
      </c>
      <c r="E1214" s="84" t="s">
        <v>1035</v>
      </c>
      <c r="F1214" s="84" t="s">
        <v>32</v>
      </c>
      <c r="G1214" s="87">
        <f>прил4!G392</f>
        <v>0</v>
      </c>
      <c r="H1214" s="87">
        <f>прил4!H392</f>
        <v>0</v>
      </c>
      <c r="I1214" s="87">
        <f>прил4!I392</f>
        <v>0</v>
      </c>
      <c r="J1214" s="173"/>
      <c r="K1214" s="181"/>
      <c r="L1214" s="181"/>
      <c r="M1214" s="181"/>
      <c r="N1214" s="181"/>
      <c r="O1214" s="181"/>
      <c r="P1214" s="181"/>
      <c r="Q1214" s="181"/>
      <c r="R1214" s="181"/>
    </row>
    <row r="1215" spans="1:20" s="90" customFormat="1" ht="36" hidden="1" customHeight="1">
      <c r="A1215" s="82" t="s">
        <v>1173</v>
      </c>
      <c r="B1215" s="145">
        <v>757</v>
      </c>
      <c r="C1215" s="84" t="s">
        <v>43</v>
      </c>
      <c r="D1215" s="84" t="s">
        <v>18</v>
      </c>
      <c r="E1215" s="84" t="s">
        <v>1070</v>
      </c>
      <c r="F1215" s="84"/>
      <c r="G1215" s="87">
        <f>G1216</f>
        <v>0</v>
      </c>
      <c r="H1215" s="87">
        <f t="shared" ref="H1215:I1215" si="347">H1216</f>
        <v>0</v>
      </c>
      <c r="I1215" s="87">
        <f t="shared" si="347"/>
        <v>0</v>
      </c>
      <c r="J1215" s="173"/>
      <c r="K1215" s="181"/>
      <c r="L1215" s="181"/>
      <c r="M1215" s="181"/>
      <c r="N1215" s="181"/>
      <c r="O1215" s="181"/>
      <c r="P1215" s="181"/>
      <c r="Q1215" s="181"/>
      <c r="R1215" s="181"/>
    </row>
    <row r="1216" spans="1:20" s="90" customFormat="1" ht="26.4" hidden="1">
      <c r="A1216" s="82" t="s">
        <v>29</v>
      </c>
      <c r="B1216" s="145">
        <v>757</v>
      </c>
      <c r="C1216" s="84" t="s">
        <v>43</v>
      </c>
      <c r="D1216" s="84" t="s">
        <v>18</v>
      </c>
      <c r="E1216" s="84" t="s">
        <v>1070</v>
      </c>
      <c r="F1216" s="84" t="s">
        <v>30</v>
      </c>
      <c r="G1216" s="87">
        <f>G1217</f>
        <v>0</v>
      </c>
      <c r="H1216" s="87">
        <f>H1217</f>
        <v>0</v>
      </c>
      <c r="I1216" s="87">
        <f>I1217</f>
        <v>0</v>
      </c>
      <c r="J1216" s="173"/>
      <c r="K1216" s="181"/>
      <c r="L1216" s="181"/>
      <c r="M1216" s="181"/>
      <c r="N1216" s="181"/>
      <c r="O1216" s="181"/>
      <c r="P1216" s="181"/>
      <c r="Q1216" s="181"/>
      <c r="R1216" s="181"/>
    </row>
    <row r="1217" spans="1:18" s="90" customFormat="1" ht="19.5" hidden="1" customHeight="1">
      <c r="A1217" s="82" t="s">
        <v>31</v>
      </c>
      <c r="B1217" s="145">
        <v>757</v>
      </c>
      <c r="C1217" s="84" t="s">
        <v>43</v>
      </c>
      <c r="D1217" s="84" t="s">
        <v>18</v>
      </c>
      <c r="E1217" s="84" t="s">
        <v>1070</v>
      </c>
      <c r="F1217" s="84" t="s">
        <v>32</v>
      </c>
      <c r="G1217" s="87">
        <f>прил4!G395</f>
        <v>0</v>
      </c>
      <c r="H1217" s="87">
        <f>прил4!H395</f>
        <v>0</v>
      </c>
      <c r="I1217" s="87">
        <f>прил4!I395</f>
        <v>0</v>
      </c>
      <c r="J1217" s="173"/>
      <c r="K1217" s="181"/>
      <c r="L1217" s="181"/>
      <c r="M1217" s="181"/>
      <c r="N1217" s="181"/>
      <c r="O1217" s="181"/>
      <c r="P1217" s="181"/>
      <c r="Q1217" s="181"/>
      <c r="R1217" s="181"/>
    </row>
    <row r="1218" spans="1:18" s="90" customFormat="1" ht="33.75" customHeight="1">
      <c r="A1218" s="82" t="s">
        <v>1174</v>
      </c>
      <c r="B1218" s="145">
        <v>757</v>
      </c>
      <c r="C1218" s="84" t="s">
        <v>43</v>
      </c>
      <c r="D1218" s="84" t="s">
        <v>18</v>
      </c>
      <c r="E1218" s="84" t="s">
        <v>1071</v>
      </c>
      <c r="F1218" s="84"/>
      <c r="G1218" s="87">
        <f>G1219</f>
        <v>591840</v>
      </c>
      <c r="H1218" s="87">
        <f t="shared" ref="H1218:I1218" si="348">H1219</f>
        <v>0</v>
      </c>
      <c r="I1218" s="87">
        <f t="shared" si="348"/>
        <v>0</v>
      </c>
      <c r="J1218" s="173"/>
      <c r="K1218" s="181"/>
      <c r="L1218" s="181"/>
      <c r="M1218" s="181"/>
      <c r="N1218" s="181"/>
      <c r="O1218" s="181"/>
      <c r="P1218" s="181"/>
      <c r="Q1218" s="181"/>
      <c r="R1218" s="181"/>
    </row>
    <row r="1219" spans="1:18" s="90" customFormat="1" ht="26.4">
      <c r="A1219" s="82" t="s">
        <v>29</v>
      </c>
      <c r="B1219" s="145">
        <v>757</v>
      </c>
      <c r="C1219" s="84" t="s">
        <v>43</v>
      </c>
      <c r="D1219" s="84" t="s">
        <v>18</v>
      </c>
      <c r="E1219" s="84" t="s">
        <v>1071</v>
      </c>
      <c r="F1219" s="84" t="s">
        <v>30</v>
      </c>
      <c r="G1219" s="87">
        <f>G1220</f>
        <v>591840</v>
      </c>
      <c r="H1219" s="87">
        <f>H1220</f>
        <v>0</v>
      </c>
      <c r="I1219" s="87">
        <f>I1220</f>
        <v>0</v>
      </c>
      <c r="J1219" s="173"/>
      <c r="K1219" s="181"/>
      <c r="L1219" s="181"/>
      <c r="M1219" s="181"/>
      <c r="N1219" s="181"/>
      <c r="O1219" s="181"/>
      <c r="P1219" s="181"/>
      <c r="Q1219" s="181"/>
      <c r="R1219" s="181"/>
    </row>
    <row r="1220" spans="1:18" s="90" customFormat="1" ht="19.5" customHeight="1">
      <c r="A1220" s="82" t="s">
        <v>31</v>
      </c>
      <c r="B1220" s="145">
        <v>757</v>
      </c>
      <c r="C1220" s="84" t="s">
        <v>43</v>
      </c>
      <c r="D1220" s="84" t="s">
        <v>18</v>
      </c>
      <c r="E1220" s="84" t="s">
        <v>1071</v>
      </c>
      <c r="F1220" s="84" t="s">
        <v>32</v>
      </c>
      <c r="G1220" s="87">
        <f>прил4!G398</f>
        <v>591840</v>
      </c>
      <c r="H1220" s="87">
        <f>прил4!H398</f>
        <v>0</v>
      </c>
      <c r="I1220" s="87">
        <f>прил4!I398</f>
        <v>0</v>
      </c>
      <c r="J1220" s="173"/>
      <c r="K1220" s="181"/>
      <c r="L1220" s="181"/>
      <c r="M1220" s="181"/>
      <c r="N1220" s="181"/>
      <c r="O1220" s="181"/>
      <c r="P1220" s="181"/>
      <c r="Q1220" s="181"/>
      <c r="R1220" s="181"/>
    </row>
    <row r="1221" spans="1:18" s="90" customFormat="1" ht="33.75" customHeight="1">
      <c r="A1221" s="304" t="s">
        <v>1204</v>
      </c>
      <c r="B1221" s="145">
        <v>757</v>
      </c>
      <c r="C1221" s="84" t="s">
        <v>43</v>
      </c>
      <c r="D1221" s="84" t="s">
        <v>18</v>
      </c>
      <c r="E1221" s="84" t="s">
        <v>1072</v>
      </c>
      <c r="F1221" s="84"/>
      <c r="G1221" s="87">
        <f>G1222</f>
        <v>0</v>
      </c>
      <c r="H1221" s="87">
        <f t="shared" ref="H1221:I1221" si="349">H1222</f>
        <v>0</v>
      </c>
      <c r="I1221" s="87">
        <f t="shared" si="349"/>
        <v>0</v>
      </c>
      <c r="J1221" s="173"/>
      <c r="K1221" s="181"/>
      <c r="L1221" s="181"/>
      <c r="M1221" s="181"/>
      <c r="N1221" s="181"/>
      <c r="O1221" s="181"/>
      <c r="P1221" s="181"/>
      <c r="Q1221" s="181"/>
      <c r="R1221" s="181"/>
    </row>
    <row r="1222" spans="1:18" s="90" customFormat="1" ht="26.4">
      <c r="A1222" s="82" t="s">
        <v>29</v>
      </c>
      <c r="B1222" s="145">
        <v>757</v>
      </c>
      <c r="C1222" s="84" t="s">
        <v>43</v>
      </c>
      <c r="D1222" s="84" t="s">
        <v>18</v>
      </c>
      <c r="E1222" s="84" t="s">
        <v>1072</v>
      </c>
      <c r="F1222" s="84" t="s">
        <v>30</v>
      </c>
      <c r="G1222" s="87">
        <f>G1223</f>
        <v>0</v>
      </c>
      <c r="H1222" s="87">
        <f>H1223</f>
        <v>0</v>
      </c>
      <c r="I1222" s="87">
        <f>I1223</f>
        <v>0</v>
      </c>
      <c r="J1222" s="173"/>
      <c r="K1222" s="181"/>
      <c r="L1222" s="181"/>
      <c r="M1222" s="181"/>
      <c r="N1222" s="181"/>
      <c r="O1222" s="181"/>
      <c r="P1222" s="181"/>
      <c r="Q1222" s="181"/>
      <c r="R1222" s="181"/>
    </row>
    <row r="1223" spans="1:18" s="90" customFormat="1" ht="19.5" customHeight="1">
      <c r="A1223" s="82" t="s">
        <v>31</v>
      </c>
      <c r="B1223" s="145">
        <v>757</v>
      </c>
      <c r="C1223" s="84" t="s">
        <v>43</v>
      </c>
      <c r="D1223" s="84" t="s">
        <v>18</v>
      </c>
      <c r="E1223" s="84" t="s">
        <v>1072</v>
      </c>
      <c r="F1223" s="84" t="s">
        <v>32</v>
      </c>
      <c r="G1223" s="87">
        <f>прил4!G401</f>
        <v>0</v>
      </c>
      <c r="H1223" s="87">
        <f>прил4!H401</f>
        <v>0</v>
      </c>
      <c r="I1223" s="87">
        <f>прил4!I401</f>
        <v>0</v>
      </c>
      <c r="J1223" s="173"/>
      <c r="K1223" s="181"/>
      <c r="L1223" s="181"/>
      <c r="M1223" s="181"/>
      <c r="N1223" s="181"/>
      <c r="O1223" s="181"/>
      <c r="P1223" s="181"/>
      <c r="Q1223" s="181"/>
      <c r="R1223" s="181"/>
    </row>
    <row r="1224" spans="1:18" s="90" customFormat="1" ht="33.75" hidden="1" customHeight="1">
      <c r="A1224" s="304" t="s">
        <v>1074</v>
      </c>
      <c r="B1224" s="145">
        <v>757</v>
      </c>
      <c r="C1224" s="84" t="s">
        <v>43</v>
      </c>
      <c r="D1224" s="84" t="s">
        <v>18</v>
      </c>
      <c r="E1224" s="84" t="s">
        <v>1073</v>
      </c>
      <c r="F1224" s="84"/>
      <c r="G1224" s="87">
        <f>G1225</f>
        <v>0</v>
      </c>
      <c r="H1224" s="87">
        <f t="shared" ref="H1224:I1224" si="350">H1225</f>
        <v>0</v>
      </c>
      <c r="I1224" s="87">
        <f t="shared" si="350"/>
        <v>0</v>
      </c>
      <c r="J1224" s="173"/>
      <c r="K1224" s="181"/>
      <c r="L1224" s="181"/>
      <c r="M1224" s="181"/>
      <c r="N1224" s="181"/>
      <c r="O1224" s="181"/>
      <c r="P1224" s="181"/>
      <c r="Q1224" s="181"/>
      <c r="R1224" s="181"/>
    </row>
    <row r="1225" spans="1:18" s="90" customFormat="1" ht="26.4" hidden="1">
      <c r="A1225" s="82" t="s">
        <v>29</v>
      </c>
      <c r="B1225" s="145">
        <v>757</v>
      </c>
      <c r="C1225" s="84" t="s">
        <v>43</v>
      </c>
      <c r="D1225" s="84" t="s">
        <v>18</v>
      </c>
      <c r="E1225" s="84" t="s">
        <v>1073</v>
      </c>
      <c r="F1225" s="84" t="s">
        <v>30</v>
      </c>
      <c r="G1225" s="87">
        <f>G1226</f>
        <v>0</v>
      </c>
      <c r="H1225" s="87">
        <f>H1226</f>
        <v>0</v>
      </c>
      <c r="I1225" s="87">
        <f>I1226</f>
        <v>0</v>
      </c>
      <c r="J1225" s="173"/>
      <c r="K1225" s="181"/>
      <c r="L1225" s="181"/>
      <c r="M1225" s="181"/>
      <c r="N1225" s="181"/>
      <c r="O1225" s="181"/>
      <c r="P1225" s="181"/>
      <c r="Q1225" s="181"/>
      <c r="R1225" s="181"/>
    </row>
    <row r="1226" spans="1:18" s="90" customFormat="1" ht="19.5" hidden="1" customHeight="1">
      <c r="A1226" s="82" t="s">
        <v>31</v>
      </c>
      <c r="B1226" s="145">
        <v>757</v>
      </c>
      <c r="C1226" s="84" t="s">
        <v>43</v>
      </c>
      <c r="D1226" s="84" t="s">
        <v>18</v>
      </c>
      <c r="E1226" s="84" t="s">
        <v>1073</v>
      </c>
      <c r="F1226" s="84" t="s">
        <v>32</v>
      </c>
      <c r="G1226" s="87">
        <f>прил4!G404</f>
        <v>0</v>
      </c>
      <c r="H1226" s="87">
        <f>прил4!H404</f>
        <v>0</v>
      </c>
      <c r="I1226" s="87">
        <f>прил4!I404</f>
        <v>0</v>
      </c>
      <c r="J1226" s="173"/>
      <c r="K1226" s="181"/>
      <c r="L1226" s="181"/>
      <c r="M1226" s="181"/>
      <c r="N1226" s="181"/>
      <c r="O1226" s="181"/>
      <c r="P1226" s="181"/>
      <c r="Q1226" s="181"/>
      <c r="R1226" s="181"/>
    </row>
    <row r="1227" spans="1:18" s="90" customFormat="1" ht="33.75" customHeight="1">
      <c r="A1227" s="304" t="s">
        <v>1076</v>
      </c>
      <c r="B1227" s="145">
        <v>757</v>
      </c>
      <c r="C1227" s="84" t="s">
        <v>43</v>
      </c>
      <c r="D1227" s="84" t="s">
        <v>18</v>
      </c>
      <c r="E1227" s="84" t="s">
        <v>1075</v>
      </c>
      <c r="F1227" s="84"/>
      <c r="G1227" s="87">
        <f>G1228</f>
        <v>13606.2</v>
      </c>
      <c r="H1227" s="87">
        <f t="shared" ref="H1227:I1227" si="351">H1228</f>
        <v>0</v>
      </c>
      <c r="I1227" s="87">
        <f t="shared" si="351"/>
        <v>0</v>
      </c>
      <c r="J1227" s="173"/>
      <c r="K1227" s="181"/>
      <c r="L1227" s="181"/>
      <c r="M1227" s="181"/>
      <c r="N1227" s="181"/>
      <c r="O1227" s="181"/>
      <c r="P1227" s="181"/>
      <c r="Q1227" s="181"/>
      <c r="R1227" s="181"/>
    </row>
    <row r="1228" spans="1:18" s="90" customFormat="1" ht="26.4">
      <c r="A1228" s="82" t="s">
        <v>29</v>
      </c>
      <c r="B1228" s="145">
        <v>757</v>
      </c>
      <c r="C1228" s="84" t="s">
        <v>43</v>
      </c>
      <c r="D1228" s="84" t="s">
        <v>18</v>
      </c>
      <c r="E1228" s="84" t="s">
        <v>1075</v>
      </c>
      <c r="F1228" s="84" t="s">
        <v>30</v>
      </c>
      <c r="G1228" s="87">
        <f>G1229</f>
        <v>13606.2</v>
      </c>
      <c r="H1228" s="87">
        <f>H1229</f>
        <v>0</v>
      </c>
      <c r="I1228" s="87">
        <f>I1229</f>
        <v>0</v>
      </c>
      <c r="J1228" s="173"/>
      <c r="K1228" s="181"/>
      <c r="L1228" s="181"/>
      <c r="M1228" s="181"/>
      <c r="N1228" s="181"/>
      <c r="O1228" s="181"/>
      <c r="P1228" s="181"/>
      <c r="Q1228" s="181"/>
      <c r="R1228" s="181"/>
    </row>
    <row r="1229" spans="1:18" s="90" customFormat="1" ht="19.5" customHeight="1">
      <c r="A1229" s="82" t="s">
        <v>31</v>
      </c>
      <c r="B1229" s="145">
        <v>757</v>
      </c>
      <c r="C1229" s="84" t="s">
        <v>43</v>
      </c>
      <c r="D1229" s="84" t="s">
        <v>18</v>
      </c>
      <c r="E1229" s="84" t="s">
        <v>1075</v>
      </c>
      <c r="F1229" s="84" t="s">
        <v>32</v>
      </c>
      <c r="G1229" s="87">
        <f>прил4!G407</f>
        <v>13606.2</v>
      </c>
      <c r="H1229" s="87">
        <f>прил4!H407</f>
        <v>0</v>
      </c>
      <c r="I1229" s="87">
        <f>прил4!I407</f>
        <v>0</v>
      </c>
      <c r="J1229" s="87">
        <f>прил4!J407</f>
        <v>0</v>
      </c>
      <c r="K1229" s="87">
        <f>прил4!K407</f>
        <v>0</v>
      </c>
      <c r="L1229" s="87">
        <f>прил4!L407</f>
        <v>0</v>
      </c>
      <c r="M1229" s="87">
        <f>прил4!M407</f>
        <v>0</v>
      </c>
      <c r="N1229" s="87">
        <f>прил4!N407</f>
        <v>0</v>
      </c>
      <c r="O1229" s="87">
        <f>прил4!O407</f>
        <v>0</v>
      </c>
      <c r="P1229" s="181"/>
      <c r="Q1229" s="181"/>
      <c r="R1229" s="181"/>
    </row>
    <row r="1230" spans="1:18" s="90" customFormat="1" ht="33.75" customHeight="1">
      <c r="A1230" s="304" t="s">
        <v>1078</v>
      </c>
      <c r="B1230" s="145">
        <v>757</v>
      </c>
      <c r="C1230" s="84" t="s">
        <v>43</v>
      </c>
      <c r="D1230" s="84" t="s">
        <v>18</v>
      </c>
      <c r="E1230" s="84" t="s">
        <v>1077</v>
      </c>
      <c r="F1230" s="84"/>
      <c r="G1230" s="87">
        <f>G1231</f>
        <v>54976.22</v>
      </c>
      <c r="H1230" s="87">
        <f t="shared" ref="H1230:I1230" si="352">H1231</f>
        <v>0</v>
      </c>
      <c r="I1230" s="87">
        <f t="shared" si="352"/>
        <v>0</v>
      </c>
      <c r="J1230" s="173"/>
      <c r="K1230" s="181"/>
      <c r="L1230" s="181"/>
      <c r="M1230" s="181"/>
      <c r="N1230" s="181"/>
      <c r="O1230" s="181"/>
      <c r="P1230" s="181"/>
      <c r="Q1230" s="181"/>
      <c r="R1230" s="181"/>
    </row>
    <row r="1231" spans="1:18" s="90" customFormat="1" ht="26.4">
      <c r="A1231" s="82" t="s">
        <v>29</v>
      </c>
      <c r="B1231" s="145">
        <v>757</v>
      </c>
      <c r="C1231" s="84" t="s">
        <v>43</v>
      </c>
      <c r="D1231" s="84" t="s">
        <v>18</v>
      </c>
      <c r="E1231" s="84" t="s">
        <v>1077</v>
      </c>
      <c r="F1231" s="84" t="s">
        <v>30</v>
      </c>
      <c r="G1231" s="87">
        <f>G1232</f>
        <v>54976.22</v>
      </c>
      <c r="H1231" s="87">
        <f>H1232</f>
        <v>0</v>
      </c>
      <c r="I1231" s="87">
        <f>I1232</f>
        <v>0</v>
      </c>
      <c r="J1231" s="173"/>
      <c r="K1231" s="181"/>
      <c r="L1231" s="181"/>
      <c r="M1231" s="181"/>
      <c r="N1231" s="181"/>
      <c r="O1231" s="181"/>
      <c r="P1231" s="181"/>
      <c r="Q1231" s="181"/>
      <c r="R1231" s="181"/>
    </row>
    <row r="1232" spans="1:18" s="90" customFormat="1" ht="19.5" customHeight="1">
      <c r="A1232" s="82" t="s">
        <v>31</v>
      </c>
      <c r="B1232" s="145">
        <v>757</v>
      </c>
      <c r="C1232" s="84" t="s">
        <v>43</v>
      </c>
      <c r="D1232" s="84" t="s">
        <v>18</v>
      </c>
      <c r="E1232" s="84" t="s">
        <v>1077</v>
      </c>
      <c r="F1232" s="84" t="s">
        <v>32</v>
      </c>
      <c r="G1232" s="87">
        <f>прил4!G410+прил4!G109</f>
        <v>54976.22</v>
      </c>
      <c r="H1232" s="87">
        <f>прил4!H410</f>
        <v>0</v>
      </c>
      <c r="I1232" s="87">
        <f>прил4!I410</f>
        <v>0</v>
      </c>
      <c r="J1232" s="173"/>
      <c r="K1232" s="181"/>
      <c r="L1232" s="181"/>
      <c r="M1232" s="181"/>
      <c r="N1232" s="181"/>
      <c r="O1232" s="181"/>
      <c r="P1232" s="181"/>
      <c r="Q1232" s="181"/>
      <c r="R1232" s="181"/>
    </row>
    <row r="1233" spans="1:20" ht="30" customHeight="1">
      <c r="A1233" s="82" t="s">
        <v>1423</v>
      </c>
      <c r="B1233" s="145">
        <v>757</v>
      </c>
      <c r="C1233" s="84" t="s">
        <v>25</v>
      </c>
      <c r="D1233" s="84" t="s">
        <v>69</v>
      </c>
      <c r="E1233" s="84" t="s">
        <v>1422</v>
      </c>
      <c r="F1233" s="84"/>
      <c r="G1233" s="70">
        <f>G1234</f>
        <v>25000</v>
      </c>
      <c r="H1233" s="87">
        <f t="shared" ref="H1233:I1233" si="353">H1234</f>
        <v>0</v>
      </c>
      <c r="I1233" s="87">
        <f t="shared" si="353"/>
        <v>0</v>
      </c>
      <c r="J1233" s="173"/>
      <c r="K1233" s="181"/>
      <c r="L1233" s="181"/>
      <c r="M1233" s="181"/>
      <c r="N1233" s="181"/>
      <c r="O1233" s="181"/>
      <c r="P1233" s="181"/>
      <c r="Q1233" s="181"/>
      <c r="R1233" s="181"/>
      <c r="S1233" s="1"/>
      <c r="T1233" s="1"/>
    </row>
    <row r="1234" spans="1:20" ht="26.4">
      <c r="A1234" s="82" t="s">
        <v>29</v>
      </c>
      <c r="B1234" s="145">
        <v>757</v>
      </c>
      <c r="C1234" s="84" t="s">
        <v>25</v>
      </c>
      <c r="D1234" s="84" t="s">
        <v>69</v>
      </c>
      <c r="E1234" s="84" t="s">
        <v>1422</v>
      </c>
      <c r="F1234" s="84" t="s">
        <v>30</v>
      </c>
      <c r="G1234" s="70">
        <f>G1235</f>
        <v>25000</v>
      </c>
      <c r="H1234" s="87">
        <f>H1235</f>
        <v>0</v>
      </c>
      <c r="I1234" s="87">
        <f>I1235</f>
        <v>0</v>
      </c>
      <c r="J1234" s="173"/>
      <c r="K1234" s="181"/>
      <c r="L1234" s="181"/>
      <c r="M1234" s="181"/>
      <c r="N1234" s="181"/>
      <c r="O1234" s="181"/>
      <c r="P1234" s="181"/>
      <c r="Q1234" s="181"/>
      <c r="R1234" s="181"/>
      <c r="S1234" s="1"/>
      <c r="T1234" s="1"/>
    </row>
    <row r="1235" spans="1:20" ht="19.5" customHeight="1">
      <c r="A1235" s="82" t="s">
        <v>31</v>
      </c>
      <c r="B1235" s="145">
        <v>757</v>
      </c>
      <c r="C1235" s="84" t="s">
        <v>25</v>
      </c>
      <c r="D1235" s="84" t="s">
        <v>69</v>
      </c>
      <c r="E1235" s="84" t="s">
        <v>1422</v>
      </c>
      <c r="F1235" s="84" t="s">
        <v>32</v>
      </c>
      <c r="G1235" s="70">
        <f>прил4!G112</f>
        <v>25000</v>
      </c>
      <c r="H1235" s="87"/>
      <c r="I1235" s="87"/>
      <c r="J1235" s="173"/>
      <c r="K1235" s="181"/>
      <c r="L1235" s="181"/>
      <c r="M1235" s="181"/>
      <c r="N1235" s="181"/>
      <c r="O1235" s="181"/>
      <c r="P1235" s="181"/>
      <c r="Q1235" s="181"/>
      <c r="R1235" s="181"/>
      <c r="S1235" s="1"/>
      <c r="T1235" s="1"/>
    </row>
    <row r="1236" spans="1:20" s="90" customFormat="1" ht="42" customHeight="1">
      <c r="A1236" s="82" t="s">
        <v>1038</v>
      </c>
      <c r="B1236" s="145">
        <v>757</v>
      </c>
      <c r="C1236" s="84" t="s">
        <v>43</v>
      </c>
      <c r="D1236" s="84" t="s">
        <v>18</v>
      </c>
      <c r="E1236" s="84" t="s">
        <v>1039</v>
      </c>
      <c r="F1236" s="84"/>
      <c r="G1236" s="87">
        <f>G1237</f>
        <v>50460</v>
      </c>
      <c r="H1236" s="87">
        <f t="shared" ref="H1236:I1236" si="354">H1237</f>
        <v>0</v>
      </c>
      <c r="I1236" s="87">
        <f t="shared" si="354"/>
        <v>0</v>
      </c>
      <c r="J1236" s="173"/>
      <c r="K1236" s="181"/>
      <c r="L1236" s="181"/>
      <c r="M1236" s="181"/>
      <c r="N1236" s="181"/>
      <c r="O1236" s="181"/>
      <c r="P1236" s="181"/>
      <c r="Q1236" s="181"/>
      <c r="R1236" s="181"/>
    </row>
    <row r="1237" spans="1:20" s="90" customFormat="1" ht="26.4">
      <c r="A1237" s="82" t="s">
        <v>29</v>
      </c>
      <c r="B1237" s="145">
        <v>757</v>
      </c>
      <c r="C1237" s="84" t="s">
        <v>43</v>
      </c>
      <c r="D1237" s="84" t="s">
        <v>18</v>
      </c>
      <c r="E1237" s="84" t="s">
        <v>1039</v>
      </c>
      <c r="F1237" s="84" t="s">
        <v>30</v>
      </c>
      <c r="G1237" s="87">
        <f>G1238</f>
        <v>50460</v>
      </c>
      <c r="H1237" s="87">
        <f>H1238</f>
        <v>0</v>
      </c>
      <c r="I1237" s="87">
        <f>I1238</f>
        <v>0</v>
      </c>
      <c r="J1237" s="173"/>
      <c r="K1237" s="181"/>
      <c r="L1237" s="181"/>
      <c r="M1237" s="181"/>
      <c r="N1237" s="181"/>
      <c r="O1237" s="181"/>
      <c r="P1237" s="181"/>
      <c r="Q1237" s="181"/>
      <c r="R1237" s="181"/>
    </row>
    <row r="1238" spans="1:20" s="90" customFormat="1" ht="19.5" customHeight="1">
      <c r="A1238" s="82" t="s">
        <v>31</v>
      </c>
      <c r="B1238" s="145">
        <v>757</v>
      </c>
      <c r="C1238" s="84" t="s">
        <v>43</v>
      </c>
      <c r="D1238" s="84" t="s">
        <v>18</v>
      </c>
      <c r="E1238" s="84" t="s">
        <v>1039</v>
      </c>
      <c r="F1238" s="84" t="s">
        <v>32</v>
      </c>
      <c r="G1238" s="87">
        <f>прил4!G413</f>
        <v>50460</v>
      </c>
      <c r="H1238" s="87">
        <v>0</v>
      </c>
      <c r="I1238" s="87">
        <v>0</v>
      </c>
      <c r="J1238" s="173"/>
      <c r="K1238" s="181"/>
      <c r="L1238" s="181"/>
      <c r="M1238" s="181"/>
      <c r="N1238" s="181"/>
      <c r="O1238" s="181"/>
      <c r="P1238" s="181"/>
      <c r="Q1238" s="181"/>
      <c r="R1238" s="181"/>
    </row>
    <row r="1239" spans="1:20" s="90" customFormat="1">
      <c r="A1239" s="82" t="s">
        <v>827</v>
      </c>
      <c r="B1239" s="145">
        <v>757</v>
      </c>
      <c r="C1239" s="84" t="s">
        <v>43</v>
      </c>
      <c r="D1239" s="84" t="s">
        <v>18</v>
      </c>
      <c r="E1239" s="84" t="s">
        <v>813</v>
      </c>
      <c r="F1239" s="84"/>
      <c r="G1239" s="87">
        <f>G1240</f>
        <v>199320</v>
      </c>
      <c r="H1239" s="87">
        <f t="shared" ref="H1239:I1239" si="355">H1240</f>
        <v>100000</v>
      </c>
      <c r="I1239" s="87">
        <f t="shared" si="355"/>
        <v>100000</v>
      </c>
      <c r="P1239" s="123"/>
      <c r="Q1239" s="123"/>
      <c r="R1239" s="123"/>
      <c r="S1239" s="123"/>
      <c r="T1239" s="123"/>
    </row>
    <row r="1240" spans="1:20" s="90" customFormat="1" ht="26.4">
      <c r="A1240" s="82" t="s">
        <v>29</v>
      </c>
      <c r="B1240" s="145">
        <v>757</v>
      </c>
      <c r="C1240" s="84" t="s">
        <v>43</v>
      </c>
      <c r="D1240" s="84" t="s">
        <v>18</v>
      </c>
      <c r="E1240" s="84" t="s">
        <v>813</v>
      </c>
      <c r="F1240" s="84" t="s">
        <v>30</v>
      </c>
      <c r="G1240" s="87">
        <f>G1241</f>
        <v>199320</v>
      </c>
      <c r="H1240" s="87">
        <f>H1241</f>
        <v>100000</v>
      </c>
      <c r="I1240" s="87">
        <f>I1241</f>
        <v>100000</v>
      </c>
      <c r="P1240" s="123"/>
      <c r="Q1240" s="123"/>
      <c r="R1240" s="123"/>
      <c r="S1240" s="123"/>
      <c r="T1240" s="123"/>
    </row>
    <row r="1241" spans="1:20" s="90" customFormat="1" ht="19.5" customHeight="1">
      <c r="A1241" s="82" t="s">
        <v>31</v>
      </c>
      <c r="B1241" s="145">
        <v>757</v>
      </c>
      <c r="C1241" s="84" t="s">
        <v>43</v>
      </c>
      <c r="D1241" s="84" t="s">
        <v>18</v>
      </c>
      <c r="E1241" s="84" t="s">
        <v>813</v>
      </c>
      <c r="F1241" s="84" t="s">
        <v>32</v>
      </c>
      <c r="G1241" s="87">
        <f>прил4!G377</f>
        <v>199320</v>
      </c>
      <c r="H1241" s="87">
        <f>прил4!H377</f>
        <v>100000</v>
      </c>
      <c r="I1241" s="87">
        <f>прил4!I377</f>
        <v>100000</v>
      </c>
      <c r="P1241" s="123"/>
      <c r="Q1241" s="123"/>
      <c r="R1241" s="123"/>
      <c r="S1241" s="123"/>
      <c r="T1241" s="123"/>
    </row>
    <row r="1242" spans="1:20">
      <c r="A1242" s="23" t="s">
        <v>46</v>
      </c>
      <c r="B1242" s="14">
        <v>757</v>
      </c>
      <c r="C1242" s="15" t="s">
        <v>43</v>
      </c>
      <c r="D1242" s="15" t="s">
        <v>18</v>
      </c>
      <c r="E1242" s="15" t="s">
        <v>193</v>
      </c>
      <c r="F1242" s="14"/>
      <c r="G1242" s="85">
        <f>G1243+G1246</f>
        <v>107369487.67</v>
      </c>
      <c r="H1242" s="85">
        <f t="shared" ref="H1242:I1242" si="356">H1243</f>
        <v>108357222.24000001</v>
      </c>
      <c r="I1242" s="85">
        <f t="shared" si="356"/>
        <v>108883808.34</v>
      </c>
    </row>
    <row r="1243" spans="1:20" ht="26.4">
      <c r="A1243" s="16" t="s">
        <v>29</v>
      </c>
      <c r="B1243" s="14">
        <v>757</v>
      </c>
      <c r="C1243" s="15" t="s">
        <v>43</v>
      </c>
      <c r="D1243" s="15" t="s">
        <v>18</v>
      </c>
      <c r="E1243" s="15" t="s">
        <v>193</v>
      </c>
      <c r="F1243" s="15" t="s">
        <v>30</v>
      </c>
      <c r="G1243" s="85">
        <f>G1244+G1245</f>
        <v>107369487.67</v>
      </c>
      <c r="H1243" s="85">
        <f t="shared" ref="H1243:I1243" si="357">H1244+H1245</f>
        <v>108357222.24000001</v>
      </c>
      <c r="I1243" s="85">
        <f t="shared" si="357"/>
        <v>108883808.34</v>
      </c>
    </row>
    <row r="1244" spans="1:20">
      <c r="A1244" s="16" t="s">
        <v>31</v>
      </c>
      <c r="B1244" s="14">
        <v>757</v>
      </c>
      <c r="C1244" s="15" t="s">
        <v>43</v>
      </c>
      <c r="D1244" s="15" t="s">
        <v>18</v>
      </c>
      <c r="E1244" s="15" t="s">
        <v>193</v>
      </c>
      <c r="F1244" s="15" t="s">
        <v>32</v>
      </c>
      <c r="G1244" s="85">
        <f>прил4!G227</f>
        <v>96677594.5</v>
      </c>
      <c r="H1244" s="8">
        <f>прил4!H227</f>
        <v>97615329.980000004</v>
      </c>
      <c r="I1244" s="8">
        <f>прил4!I227</f>
        <v>98089053.030000001</v>
      </c>
    </row>
    <row r="1245" spans="1:20">
      <c r="A1245" s="82" t="s">
        <v>606</v>
      </c>
      <c r="B1245" s="145">
        <v>757</v>
      </c>
      <c r="C1245" s="84" t="s">
        <v>43</v>
      </c>
      <c r="D1245" s="84" t="s">
        <v>18</v>
      </c>
      <c r="E1245" s="84" t="s">
        <v>193</v>
      </c>
      <c r="F1245" s="84" t="s">
        <v>605</v>
      </c>
      <c r="G1245" s="85">
        <f>прил4!G248</f>
        <v>10691893.17</v>
      </c>
      <c r="H1245" s="85">
        <f>прил4!H248</f>
        <v>10741892.26</v>
      </c>
      <c r="I1245" s="85">
        <f>прил4!I248</f>
        <v>10794755.310000001</v>
      </c>
      <c r="J1245" s="174"/>
      <c r="K1245" s="181"/>
      <c r="L1245" s="181"/>
      <c r="M1245" s="181"/>
      <c r="N1245" s="181"/>
      <c r="O1245" s="181"/>
      <c r="P1245" s="181"/>
      <c r="Q1245" s="181"/>
      <c r="R1245" s="181"/>
      <c r="S1245" s="1"/>
      <c r="T1245" s="1"/>
    </row>
    <row r="1246" spans="1:20" hidden="1">
      <c r="A1246" s="82" t="s">
        <v>62</v>
      </c>
      <c r="B1246" s="145">
        <v>757</v>
      </c>
      <c r="C1246" s="84" t="s">
        <v>43</v>
      </c>
      <c r="D1246" s="84" t="s">
        <v>18</v>
      </c>
      <c r="E1246" s="84" t="s">
        <v>193</v>
      </c>
      <c r="F1246" s="84" t="s">
        <v>63</v>
      </c>
      <c r="G1246" s="8">
        <f>G1247</f>
        <v>0</v>
      </c>
      <c r="H1246" s="8">
        <f t="shared" ref="H1246:I1246" si="358">H1247</f>
        <v>0</v>
      </c>
      <c r="I1246" s="8">
        <f t="shared" si="358"/>
        <v>0</v>
      </c>
      <c r="J1246" s="174"/>
      <c r="K1246" s="181"/>
      <c r="L1246" s="181"/>
      <c r="M1246" s="181"/>
      <c r="N1246" s="181"/>
      <c r="O1246" s="181"/>
      <c r="P1246" s="181"/>
      <c r="Q1246" s="181"/>
      <c r="R1246" s="181"/>
      <c r="S1246" s="1"/>
      <c r="T1246" s="1"/>
    </row>
    <row r="1247" spans="1:20" hidden="1">
      <c r="A1247" s="82" t="s">
        <v>174</v>
      </c>
      <c r="B1247" s="145">
        <v>757</v>
      </c>
      <c r="C1247" s="84" t="s">
        <v>43</v>
      </c>
      <c r="D1247" s="84" t="s">
        <v>18</v>
      </c>
      <c r="E1247" s="84" t="s">
        <v>193</v>
      </c>
      <c r="F1247" s="84" t="s">
        <v>175</v>
      </c>
      <c r="G1247" s="8"/>
      <c r="H1247" s="85">
        <v>0</v>
      </c>
      <c r="I1247" s="85">
        <v>0</v>
      </c>
      <c r="J1247" s="174"/>
      <c r="K1247" s="181"/>
      <c r="L1247" s="181"/>
      <c r="M1247" s="181"/>
      <c r="N1247" s="181"/>
      <c r="O1247" s="181"/>
      <c r="P1247" s="181"/>
      <c r="Q1247" s="181"/>
      <c r="R1247" s="181"/>
      <c r="S1247" s="1"/>
      <c r="T1247" s="1"/>
    </row>
    <row r="1248" spans="1:20" s="90" customFormat="1" ht="52.8">
      <c r="A1248" s="140" t="s">
        <v>1437</v>
      </c>
      <c r="B1248" s="145">
        <v>757</v>
      </c>
      <c r="C1248" s="84" t="s">
        <v>43</v>
      </c>
      <c r="D1248" s="84" t="s">
        <v>18</v>
      </c>
      <c r="E1248" s="84" t="s">
        <v>1436</v>
      </c>
      <c r="F1248" s="145"/>
      <c r="G1248" s="85">
        <f>G1249+G1272</f>
        <v>0</v>
      </c>
      <c r="H1248" s="85">
        <f t="shared" ref="H1248:I1248" si="359">H1249+H1272</f>
        <v>0</v>
      </c>
      <c r="I1248" s="85">
        <f t="shared" si="359"/>
        <v>0</v>
      </c>
      <c r="J1248" s="174"/>
      <c r="K1248" s="181"/>
      <c r="L1248" s="181"/>
      <c r="M1248" s="181"/>
      <c r="N1248" s="181"/>
      <c r="O1248" s="181"/>
      <c r="P1248" s="181"/>
      <c r="Q1248" s="181"/>
      <c r="R1248" s="181"/>
    </row>
    <row r="1249" spans="1:20" s="90" customFormat="1" ht="37.5" customHeight="1">
      <c r="A1249" s="82" t="s">
        <v>29</v>
      </c>
      <c r="B1249" s="145">
        <v>757</v>
      </c>
      <c r="C1249" s="84" t="s">
        <v>43</v>
      </c>
      <c r="D1249" s="84" t="s">
        <v>18</v>
      </c>
      <c r="E1249" s="84" t="s">
        <v>1436</v>
      </c>
      <c r="F1249" s="84" t="s">
        <v>63</v>
      </c>
      <c r="G1249" s="85">
        <f>G1250+G1271</f>
        <v>0</v>
      </c>
      <c r="H1249" s="85">
        <f t="shared" ref="H1249:I1249" si="360">H1250+H1271</f>
        <v>0</v>
      </c>
      <c r="I1249" s="85">
        <f t="shared" si="360"/>
        <v>0</v>
      </c>
      <c r="J1249" s="174"/>
      <c r="K1249" s="181"/>
      <c r="L1249" s="181"/>
      <c r="M1249" s="181"/>
      <c r="N1249" s="181"/>
      <c r="O1249" s="181"/>
      <c r="P1249" s="181"/>
      <c r="Q1249" s="181"/>
      <c r="R1249" s="181"/>
    </row>
    <row r="1250" spans="1:20" s="90" customFormat="1">
      <c r="A1250" s="82" t="s">
        <v>174</v>
      </c>
      <c r="B1250" s="145">
        <v>757</v>
      </c>
      <c r="C1250" s="84" t="s">
        <v>43</v>
      </c>
      <c r="D1250" s="84" t="s">
        <v>18</v>
      </c>
      <c r="E1250" s="84" t="s">
        <v>1436</v>
      </c>
      <c r="F1250" s="84" t="s">
        <v>175</v>
      </c>
      <c r="G1250" s="85">
        <f>прил4!G265</f>
        <v>0</v>
      </c>
      <c r="H1250" s="85"/>
      <c r="I1250" s="85"/>
      <c r="J1250" s="174"/>
      <c r="K1250" s="181"/>
      <c r="L1250" s="181"/>
      <c r="M1250" s="181"/>
      <c r="N1250" s="181"/>
      <c r="O1250" s="181"/>
      <c r="P1250" s="181"/>
      <c r="Q1250" s="181"/>
      <c r="R1250" s="181"/>
    </row>
    <row r="1251" spans="1:20" ht="105.6" hidden="1">
      <c r="A1251" s="82" t="s">
        <v>1333</v>
      </c>
      <c r="B1251" s="145">
        <v>757</v>
      </c>
      <c r="C1251" s="84" t="s">
        <v>25</v>
      </c>
      <c r="D1251" s="84" t="s">
        <v>69</v>
      </c>
      <c r="E1251" s="84" t="s">
        <v>814</v>
      </c>
      <c r="F1251" s="84"/>
      <c r="G1251" s="70">
        <f>G1252</f>
        <v>0</v>
      </c>
      <c r="H1251" s="70">
        <f t="shared" ref="H1251:I1251" si="361">H1252</f>
        <v>0</v>
      </c>
      <c r="I1251" s="70">
        <f t="shared" si="361"/>
        <v>0</v>
      </c>
      <c r="J1251" s="173"/>
      <c r="K1251" s="181"/>
      <c r="L1251" s="181"/>
      <c r="M1251" s="181"/>
      <c r="N1251" s="181"/>
      <c r="O1251" s="181"/>
      <c r="P1251" s="181"/>
      <c r="Q1251" s="181"/>
      <c r="R1251" s="181"/>
      <c r="S1251" s="1"/>
      <c r="T1251" s="1"/>
    </row>
    <row r="1252" spans="1:20" ht="26.4" hidden="1">
      <c r="A1252" s="82" t="s">
        <v>29</v>
      </c>
      <c r="B1252" s="145">
        <v>757</v>
      </c>
      <c r="C1252" s="84" t="s">
        <v>25</v>
      </c>
      <c r="D1252" s="84" t="s">
        <v>69</v>
      </c>
      <c r="E1252" s="84" t="s">
        <v>814</v>
      </c>
      <c r="F1252" s="84" t="s">
        <v>30</v>
      </c>
      <c r="G1252" s="70">
        <f>G1253</f>
        <v>0</v>
      </c>
      <c r="H1252" s="70">
        <f>H1253</f>
        <v>0</v>
      </c>
      <c r="I1252" s="70">
        <f>I1253</f>
        <v>0</v>
      </c>
      <c r="J1252" s="173"/>
      <c r="K1252" s="181"/>
      <c r="L1252" s="181"/>
      <c r="M1252" s="181"/>
      <c r="N1252" s="181"/>
      <c r="O1252" s="181"/>
      <c r="P1252" s="181"/>
      <c r="Q1252" s="181"/>
      <c r="R1252" s="181"/>
      <c r="S1252" s="1"/>
      <c r="T1252" s="1"/>
    </row>
    <row r="1253" spans="1:20" ht="19.5" hidden="1" customHeight="1">
      <c r="A1253" s="82" t="s">
        <v>31</v>
      </c>
      <c r="B1253" s="145">
        <v>757</v>
      </c>
      <c r="C1253" s="84" t="s">
        <v>25</v>
      </c>
      <c r="D1253" s="84" t="s">
        <v>69</v>
      </c>
      <c r="E1253" s="84" t="s">
        <v>814</v>
      </c>
      <c r="F1253" s="84" t="s">
        <v>32</v>
      </c>
      <c r="G1253" s="70">
        <f>прил4!G45</f>
        <v>0</v>
      </c>
      <c r="H1253" s="70">
        <v>0</v>
      </c>
      <c r="I1253" s="70">
        <v>0</v>
      </c>
      <c r="J1253" s="173"/>
      <c r="K1253" s="181"/>
      <c r="L1253" s="181"/>
      <c r="M1253" s="181"/>
      <c r="N1253" s="181"/>
      <c r="O1253" s="181"/>
      <c r="P1253" s="181"/>
      <c r="Q1253" s="181"/>
      <c r="R1253" s="181"/>
      <c r="S1253" s="1"/>
      <c r="T1253" s="1"/>
    </row>
    <row r="1254" spans="1:20" s="3" customFormat="1" ht="15" customHeight="1">
      <c r="A1254" s="24" t="s">
        <v>47</v>
      </c>
      <c r="B1254" s="14">
        <v>757</v>
      </c>
      <c r="C1254" s="15" t="s">
        <v>43</v>
      </c>
      <c r="D1254" s="15" t="s">
        <v>18</v>
      </c>
      <c r="E1254" s="15" t="s">
        <v>194</v>
      </c>
      <c r="F1254" s="15"/>
      <c r="G1254" s="95">
        <f>G1255+G1260</f>
        <v>9502957.3100000005</v>
      </c>
      <c r="H1254" s="25">
        <f t="shared" ref="G1254:I1255" si="362">H1255</f>
        <v>9564691.3900000006</v>
      </c>
      <c r="I1254" s="25">
        <f t="shared" si="362"/>
        <v>9589718.25</v>
      </c>
      <c r="J1254" s="111"/>
      <c r="P1254" s="111"/>
      <c r="Q1254" s="111"/>
      <c r="R1254" s="111"/>
      <c r="S1254" s="111"/>
      <c r="T1254" s="111"/>
    </row>
    <row r="1255" spans="1:20" ht="26.4">
      <c r="A1255" s="16" t="s">
        <v>29</v>
      </c>
      <c r="B1255" s="14">
        <v>757</v>
      </c>
      <c r="C1255" s="15" t="s">
        <v>43</v>
      </c>
      <c r="D1255" s="15" t="s">
        <v>18</v>
      </c>
      <c r="E1255" s="15" t="s">
        <v>194</v>
      </c>
      <c r="F1255" s="15" t="s">
        <v>30</v>
      </c>
      <c r="G1255" s="85">
        <f t="shared" si="362"/>
        <v>9502957.3100000005</v>
      </c>
      <c r="H1255" s="8">
        <f t="shared" si="362"/>
        <v>9564691.3900000006</v>
      </c>
      <c r="I1255" s="8">
        <f t="shared" si="362"/>
        <v>9589718.25</v>
      </c>
    </row>
    <row r="1256" spans="1:20">
      <c r="A1256" s="16" t="s">
        <v>31</v>
      </c>
      <c r="B1256" s="14">
        <v>757</v>
      </c>
      <c r="C1256" s="15" t="s">
        <v>43</v>
      </c>
      <c r="D1256" s="15" t="s">
        <v>18</v>
      </c>
      <c r="E1256" s="15" t="s">
        <v>194</v>
      </c>
      <c r="F1256" s="15" t="s">
        <v>32</v>
      </c>
      <c r="G1256" s="85">
        <f>прил4!G274</f>
        <v>9502957.3100000005</v>
      </c>
      <c r="H1256" s="8">
        <f>прил4!H274</f>
        <v>9564691.3900000006</v>
      </c>
      <c r="I1256" s="8">
        <f>прил4!I274</f>
        <v>9589718.25</v>
      </c>
    </row>
    <row r="1257" spans="1:20" s="3" customFormat="1" ht="36" customHeight="1">
      <c r="A1257" s="137" t="s">
        <v>1459</v>
      </c>
      <c r="B1257" s="14">
        <v>757</v>
      </c>
      <c r="C1257" s="15" t="s">
        <v>43</v>
      </c>
      <c r="D1257" s="15" t="s">
        <v>18</v>
      </c>
      <c r="E1257" s="15" t="s">
        <v>1458</v>
      </c>
      <c r="F1257" s="15"/>
      <c r="G1257" s="25">
        <f>G1258</f>
        <v>733625</v>
      </c>
      <c r="H1257" s="25">
        <f t="shared" ref="H1257:I1258" si="363">H1258</f>
        <v>0</v>
      </c>
      <c r="I1257" s="25">
        <f t="shared" si="363"/>
        <v>0</v>
      </c>
      <c r="P1257" s="111"/>
      <c r="Q1257" s="111"/>
      <c r="R1257" s="111"/>
      <c r="S1257" s="111"/>
      <c r="T1257" s="111"/>
    </row>
    <row r="1258" spans="1:20" s="90" customFormat="1" ht="30" customHeight="1">
      <c r="A1258" s="16" t="s">
        <v>29</v>
      </c>
      <c r="B1258" s="14">
        <v>757</v>
      </c>
      <c r="C1258" s="15" t="s">
        <v>43</v>
      </c>
      <c r="D1258" s="15" t="s">
        <v>18</v>
      </c>
      <c r="E1258" s="15" t="s">
        <v>1458</v>
      </c>
      <c r="F1258" s="84" t="s">
        <v>30</v>
      </c>
      <c r="G1258" s="87">
        <f>G1259</f>
        <v>733625</v>
      </c>
      <c r="H1258" s="87">
        <f t="shared" si="363"/>
        <v>0</v>
      </c>
      <c r="I1258" s="87">
        <f t="shared" si="363"/>
        <v>0</v>
      </c>
      <c r="P1258" s="123"/>
      <c r="Q1258" s="123"/>
      <c r="R1258" s="123"/>
      <c r="S1258" s="123"/>
      <c r="T1258" s="123"/>
    </row>
    <row r="1259" spans="1:20" s="90" customFormat="1" ht="18.75" customHeight="1">
      <c r="A1259" s="16" t="s">
        <v>31</v>
      </c>
      <c r="B1259" s="14">
        <v>757</v>
      </c>
      <c r="C1259" s="15" t="s">
        <v>43</v>
      </c>
      <c r="D1259" s="15" t="s">
        <v>18</v>
      </c>
      <c r="E1259" s="15" t="s">
        <v>1458</v>
      </c>
      <c r="F1259" s="84" t="s">
        <v>32</v>
      </c>
      <c r="G1259" s="87">
        <f>прил4!G277</f>
        <v>733625</v>
      </c>
      <c r="H1259" s="87">
        <v>0</v>
      </c>
      <c r="I1259" s="87">
        <v>0</v>
      </c>
      <c r="P1259" s="123"/>
      <c r="Q1259" s="123"/>
      <c r="R1259" s="123"/>
      <c r="S1259" s="123"/>
      <c r="T1259" s="123"/>
    </row>
    <row r="1260" spans="1:20" s="90" customFormat="1" ht="19.5" customHeight="1">
      <c r="A1260" s="82" t="s">
        <v>62</v>
      </c>
      <c r="B1260" s="14">
        <v>757</v>
      </c>
      <c r="C1260" s="15" t="s">
        <v>43</v>
      </c>
      <c r="D1260" s="15" t="s">
        <v>18</v>
      </c>
      <c r="E1260" s="15" t="s">
        <v>194</v>
      </c>
      <c r="F1260" s="84" t="s">
        <v>63</v>
      </c>
      <c r="G1260" s="87">
        <f>G1261</f>
        <v>0</v>
      </c>
      <c r="H1260" s="87">
        <f t="shared" ref="H1260:I1260" si="364">H1261</f>
        <v>0</v>
      </c>
      <c r="I1260" s="87">
        <f t="shared" si="364"/>
        <v>0</v>
      </c>
      <c r="P1260" s="123"/>
      <c r="Q1260" s="123"/>
      <c r="R1260" s="123"/>
      <c r="S1260" s="123"/>
      <c r="T1260" s="123"/>
    </row>
    <row r="1261" spans="1:20" s="90" customFormat="1" ht="18.75" customHeight="1">
      <c r="A1261" s="82" t="s">
        <v>321</v>
      </c>
      <c r="B1261" s="14">
        <v>757</v>
      </c>
      <c r="C1261" s="15" t="s">
        <v>43</v>
      </c>
      <c r="D1261" s="15" t="s">
        <v>18</v>
      </c>
      <c r="E1261" s="15" t="s">
        <v>194</v>
      </c>
      <c r="F1261" s="84" t="s">
        <v>175</v>
      </c>
      <c r="G1261" s="87"/>
      <c r="H1261" s="87">
        <v>0</v>
      </c>
      <c r="I1261" s="87">
        <v>0</v>
      </c>
      <c r="P1261" s="123"/>
      <c r="Q1261" s="123"/>
      <c r="R1261" s="123"/>
      <c r="S1261" s="123"/>
      <c r="T1261" s="123"/>
    </row>
    <row r="1262" spans="1:20" s="3" customFormat="1" ht="15" customHeight="1">
      <c r="A1262" s="26" t="s">
        <v>48</v>
      </c>
      <c r="B1262" s="14">
        <v>757</v>
      </c>
      <c r="C1262" s="15" t="s">
        <v>43</v>
      </c>
      <c r="D1262" s="15" t="s">
        <v>18</v>
      </c>
      <c r="E1262" s="15" t="s">
        <v>195</v>
      </c>
      <c r="F1262" s="15"/>
      <c r="G1262" s="95">
        <f>G1263+G1284</f>
        <v>48019310.350000001</v>
      </c>
      <c r="H1262" s="25">
        <f t="shared" ref="H1262:I1262" si="365">H1263</f>
        <v>47968600</v>
      </c>
      <c r="I1262" s="25">
        <f t="shared" si="365"/>
        <v>48135357.950000003</v>
      </c>
      <c r="J1262" s="111"/>
      <c r="P1262" s="111"/>
      <c r="Q1262" s="111"/>
      <c r="R1262" s="111"/>
      <c r="S1262" s="111"/>
      <c r="T1262" s="111"/>
    </row>
    <row r="1263" spans="1:20" ht="26.4">
      <c r="A1263" s="16" t="s">
        <v>29</v>
      </c>
      <c r="B1263" s="14">
        <v>757</v>
      </c>
      <c r="C1263" s="15" t="s">
        <v>43</v>
      </c>
      <c r="D1263" s="15" t="s">
        <v>18</v>
      </c>
      <c r="E1263" s="15" t="s">
        <v>195</v>
      </c>
      <c r="F1263" s="15" t="s">
        <v>30</v>
      </c>
      <c r="G1263" s="85">
        <f>G1264+G1283</f>
        <v>48019310.350000001</v>
      </c>
      <c r="H1263" s="85">
        <f t="shared" ref="H1263:I1263" si="366">H1264+H1283</f>
        <v>47968600</v>
      </c>
      <c r="I1263" s="85">
        <f t="shared" si="366"/>
        <v>48135357.950000003</v>
      </c>
    </row>
    <row r="1264" spans="1:20">
      <c r="A1264" s="16" t="s">
        <v>31</v>
      </c>
      <c r="B1264" s="14">
        <v>757</v>
      </c>
      <c r="C1264" s="15" t="s">
        <v>43</v>
      </c>
      <c r="D1264" s="15" t="s">
        <v>18</v>
      </c>
      <c r="E1264" s="15" t="s">
        <v>195</v>
      </c>
      <c r="F1264" s="15" t="s">
        <v>32</v>
      </c>
      <c r="G1264" s="85">
        <f>прил4!G287</f>
        <v>48019310.350000001</v>
      </c>
      <c r="H1264" s="8">
        <f>прил4!H287</f>
        <v>47968600</v>
      </c>
      <c r="I1264" s="8">
        <f>прил4!I287</f>
        <v>48135357.950000003</v>
      </c>
    </row>
    <row r="1265" spans="1:11" ht="60" hidden="1" customHeight="1">
      <c r="A1265" s="16" t="s">
        <v>640</v>
      </c>
      <c r="B1265" s="14">
        <v>757</v>
      </c>
      <c r="C1265" s="15" t="s">
        <v>25</v>
      </c>
      <c r="D1265" s="15" t="s">
        <v>69</v>
      </c>
      <c r="E1265" s="15" t="s">
        <v>641</v>
      </c>
      <c r="F1265" s="15"/>
      <c r="G1265" s="70">
        <f>G1266</f>
        <v>0</v>
      </c>
      <c r="H1265" s="70">
        <f t="shared" ref="H1265:K1266" si="367">H1266</f>
        <v>0</v>
      </c>
      <c r="I1265" s="70">
        <f t="shared" si="367"/>
        <v>0</v>
      </c>
      <c r="J1265" s="1"/>
    </row>
    <row r="1266" spans="1:11" ht="60" hidden="1" customHeight="1">
      <c r="A1266" s="16" t="s">
        <v>29</v>
      </c>
      <c r="B1266" s="14">
        <v>757</v>
      </c>
      <c r="C1266" s="15" t="s">
        <v>25</v>
      </c>
      <c r="D1266" s="15" t="s">
        <v>69</v>
      </c>
      <c r="E1266" s="15" t="s">
        <v>641</v>
      </c>
      <c r="F1266" s="15" t="s">
        <v>30</v>
      </c>
      <c r="G1266" s="70">
        <f>G1267</f>
        <v>0</v>
      </c>
      <c r="H1266" s="70">
        <f t="shared" si="367"/>
        <v>0</v>
      </c>
      <c r="I1266" s="70">
        <f t="shared" si="367"/>
        <v>0</v>
      </c>
      <c r="J1266" s="70">
        <f t="shared" si="367"/>
        <v>0</v>
      </c>
      <c r="K1266" s="70">
        <f t="shared" si="367"/>
        <v>0</v>
      </c>
    </row>
    <row r="1267" spans="1:11" ht="60" hidden="1" customHeight="1">
      <c r="A1267" s="16" t="s">
        <v>31</v>
      </c>
      <c r="B1267" s="14">
        <v>757</v>
      </c>
      <c r="C1267" s="15" t="s">
        <v>25</v>
      </c>
      <c r="D1267" s="15" t="s">
        <v>69</v>
      </c>
      <c r="E1267" s="15" t="s">
        <v>641</v>
      </c>
      <c r="F1267" s="15" t="s">
        <v>32</v>
      </c>
      <c r="G1267" s="70"/>
      <c r="H1267" s="70"/>
      <c r="I1267" s="70"/>
      <c r="J1267" s="1"/>
    </row>
    <row r="1268" spans="1:11" ht="36" hidden="1" customHeight="1">
      <c r="A1268" s="16" t="s">
        <v>517</v>
      </c>
      <c r="B1268" s="14">
        <v>757</v>
      </c>
      <c r="C1268" s="15" t="s">
        <v>25</v>
      </c>
      <c r="D1268" s="15" t="s">
        <v>69</v>
      </c>
      <c r="E1268" s="15" t="s">
        <v>518</v>
      </c>
      <c r="F1268" s="15"/>
      <c r="G1268" s="87">
        <f>G1270</f>
        <v>0</v>
      </c>
      <c r="H1268" s="8">
        <v>0</v>
      </c>
      <c r="I1268" s="8">
        <v>0</v>
      </c>
      <c r="J1268" s="1"/>
    </row>
    <row r="1269" spans="1:11" ht="36" hidden="1" customHeight="1">
      <c r="A1269" s="16" t="s">
        <v>29</v>
      </c>
      <c r="B1269" s="14">
        <v>757</v>
      </c>
      <c r="C1269" s="15" t="s">
        <v>25</v>
      </c>
      <c r="D1269" s="15" t="s">
        <v>69</v>
      </c>
      <c r="E1269" s="15" t="s">
        <v>518</v>
      </c>
      <c r="F1269" s="15" t="s">
        <v>30</v>
      </c>
      <c r="G1269" s="87">
        <f>G1270</f>
        <v>0</v>
      </c>
      <c r="H1269" s="8">
        <v>0</v>
      </c>
      <c r="I1269" s="8">
        <v>0</v>
      </c>
      <c r="J1269" s="1"/>
    </row>
    <row r="1270" spans="1:11" ht="19.5" hidden="1" customHeight="1">
      <c r="A1270" s="16" t="s">
        <v>31</v>
      </c>
      <c r="B1270" s="14">
        <v>757</v>
      </c>
      <c r="C1270" s="15" t="s">
        <v>25</v>
      </c>
      <c r="D1270" s="15" t="s">
        <v>69</v>
      </c>
      <c r="E1270" s="15" t="s">
        <v>518</v>
      </c>
      <c r="F1270" s="15" t="s">
        <v>32</v>
      </c>
      <c r="G1270" s="87">
        <f>прил4!G66+прил4!G290</f>
        <v>0</v>
      </c>
      <c r="H1270" s="8">
        <v>0</v>
      </c>
      <c r="I1270" s="8">
        <v>0</v>
      </c>
      <c r="J1270" s="1"/>
    </row>
    <row r="1271" spans="1:11" ht="48" hidden="1" customHeight="1">
      <c r="A1271" s="80" t="s">
        <v>581</v>
      </c>
      <c r="B1271" s="14">
        <v>757</v>
      </c>
      <c r="C1271" s="15" t="s">
        <v>43</v>
      </c>
      <c r="D1271" s="15" t="s">
        <v>18</v>
      </c>
      <c r="E1271" s="15" t="s">
        <v>580</v>
      </c>
      <c r="F1271" s="14"/>
      <c r="G1271" s="87">
        <f t="shared" ref="G1271:I1272" si="368">G1272</f>
        <v>0</v>
      </c>
      <c r="H1271" s="70">
        <f t="shared" si="368"/>
        <v>0</v>
      </c>
      <c r="I1271" s="70">
        <f t="shared" si="368"/>
        <v>0</v>
      </c>
      <c r="J1271" s="1"/>
    </row>
    <row r="1272" spans="1:11" ht="25.5" hidden="1" customHeight="1">
      <c r="A1272" s="16" t="s">
        <v>29</v>
      </c>
      <c r="B1272" s="14">
        <v>757</v>
      </c>
      <c r="C1272" s="15" t="s">
        <v>43</v>
      </c>
      <c r="D1272" s="15" t="s">
        <v>18</v>
      </c>
      <c r="E1272" s="15" t="s">
        <v>580</v>
      </c>
      <c r="F1272" s="15" t="s">
        <v>30</v>
      </c>
      <c r="G1272" s="95">
        <f t="shared" si="368"/>
        <v>0</v>
      </c>
      <c r="H1272" s="25">
        <f t="shared" si="368"/>
        <v>0</v>
      </c>
      <c r="I1272" s="25">
        <f t="shared" si="368"/>
        <v>0</v>
      </c>
      <c r="J1272" s="1"/>
    </row>
    <row r="1273" spans="1:11" ht="12.75" hidden="1" customHeight="1">
      <c r="A1273" s="141" t="s">
        <v>31</v>
      </c>
      <c r="B1273" s="14">
        <v>757</v>
      </c>
      <c r="C1273" s="15" t="s">
        <v>43</v>
      </c>
      <c r="D1273" s="15" t="s">
        <v>18</v>
      </c>
      <c r="E1273" s="15" t="s">
        <v>580</v>
      </c>
      <c r="F1273" s="15" t="s">
        <v>32</v>
      </c>
      <c r="G1273" s="95"/>
      <c r="H1273" s="25">
        <f>прил4!H216</f>
        <v>0</v>
      </c>
      <c r="I1273" s="25"/>
      <c r="J1273" s="1"/>
    </row>
    <row r="1274" spans="1:11" ht="31.5" hidden="1" customHeight="1">
      <c r="A1274" s="140" t="s">
        <v>781</v>
      </c>
      <c r="B1274" s="14">
        <v>757</v>
      </c>
      <c r="C1274" s="15" t="s">
        <v>43</v>
      </c>
      <c r="D1274" s="15" t="s">
        <v>18</v>
      </c>
      <c r="E1274" s="15" t="s">
        <v>714</v>
      </c>
      <c r="F1274" s="14"/>
      <c r="G1274" s="8">
        <f>G1275</f>
        <v>0</v>
      </c>
      <c r="H1274" s="8">
        <f t="shared" ref="H1274:I1274" si="369">H1275</f>
        <v>0</v>
      </c>
      <c r="I1274" s="8">
        <f t="shared" si="369"/>
        <v>0</v>
      </c>
      <c r="J1274" s="1"/>
    </row>
    <row r="1275" spans="1:11" ht="49.5" hidden="1" customHeight="1">
      <c r="A1275" s="82" t="s">
        <v>29</v>
      </c>
      <c r="B1275" s="14">
        <v>757</v>
      </c>
      <c r="C1275" s="15" t="s">
        <v>43</v>
      </c>
      <c r="D1275" s="15" t="s">
        <v>18</v>
      </c>
      <c r="E1275" s="15" t="s">
        <v>714</v>
      </c>
      <c r="F1275" s="15" t="s">
        <v>30</v>
      </c>
      <c r="G1275" s="8">
        <f>G1276</f>
        <v>0</v>
      </c>
      <c r="H1275" s="8">
        <f>H1276</f>
        <v>0</v>
      </c>
      <c r="I1275" s="8">
        <f>I1276</f>
        <v>0</v>
      </c>
      <c r="J1275" s="1"/>
    </row>
    <row r="1276" spans="1:11" ht="12.75" hidden="1" customHeight="1">
      <c r="A1276" s="82" t="s">
        <v>31</v>
      </c>
      <c r="B1276" s="14">
        <v>757</v>
      </c>
      <c r="C1276" s="15" t="s">
        <v>43</v>
      </c>
      <c r="D1276" s="15" t="s">
        <v>18</v>
      </c>
      <c r="E1276" s="15" t="s">
        <v>714</v>
      </c>
      <c r="F1276" s="15" t="s">
        <v>32</v>
      </c>
      <c r="G1276" s="8">
        <f>прил4!G253</f>
        <v>0</v>
      </c>
      <c r="H1276" s="8"/>
      <c r="I1276" s="8"/>
      <c r="J1276" s="1"/>
    </row>
    <row r="1277" spans="1:11" ht="31.5" hidden="1" customHeight="1">
      <c r="A1277" s="140" t="s">
        <v>719</v>
      </c>
      <c r="B1277" s="14">
        <v>757</v>
      </c>
      <c r="C1277" s="15" t="s">
        <v>43</v>
      </c>
      <c r="D1277" s="15" t="s">
        <v>18</v>
      </c>
      <c r="E1277" s="15" t="s">
        <v>713</v>
      </c>
      <c r="F1277" s="14"/>
      <c r="G1277" s="8">
        <f>G1278</f>
        <v>0</v>
      </c>
      <c r="H1277" s="8">
        <f t="shared" ref="H1277:I1277" si="370">H1278</f>
        <v>0</v>
      </c>
      <c r="I1277" s="8">
        <f t="shared" si="370"/>
        <v>0</v>
      </c>
      <c r="J1277" s="1"/>
    </row>
    <row r="1278" spans="1:11" ht="49.5" hidden="1" customHeight="1">
      <c r="A1278" s="82" t="s">
        <v>29</v>
      </c>
      <c r="B1278" s="14">
        <v>757</v>
      </c>
      <c r="C1278" s="15" t="s">
        <v>43</v>
      </c>
      <c r="D1278" s="15" t="s">
        <v>18</v>
      </c>
      <c r="E1278" s="15" t="s">
        <v>713</v>
      </c>
      <c r="F1278" s="15" t="s">
        <v>30</v>
      </c>
      <c r="G1278" s="8">
        <f>G1279</f>
        <v>0</v>
      </c>
      <c r="H1278" s="8">
        <f>H1279</f>
        <v>0</v>
      </c>
      <c r="I1278" s="8">
        <f>I1279</f>
        <v>0</v>
      </c>
      <c r="J1278" s="1"/>
    </row>
    <row r="1279" spans="1:11" ht="12.75" hidden="1" customHeight="1">
      <c r="A1279" s="82" t="s">
        <v>31</v>
      </c>
      <c r="B1279" s="14">
        <v>757</v>
      </c>
      <c r="C1279" s="15" t="s">
        <v>43</v>
      </c>
      <c r="D1279" s="15" t="s">
        <v>18</v>
      </c>
      <c r="E1279" s="15" t="s">
        <v>713</v>
      </c>
      <c r="F1279" s="15" t="s">
        <v>32</v>
      </c>
      <c r="G1279" s="8">
        <f>прил4!G256</f>
        <v>0</v>
      </c>
      <c r="H1279" s="8">
        <v>0</v>
      </c>
      <c r="I1279" s="8">
        <v>0</v>
      </c>
      <c r="J1279" s="1"/>
    </row>
    <row r="1280" spans="1:11" ht="27.75" hidden="1" customHeight="1">
      <c r="A1280" s="16" t="s">
        <v>716</v>
      </c>
      <c r="B1280" s="14">
        <v>757</v>
      </c>
      <c r="C1280" s="15" t="s">
        <v>25</v>
      </c>
      <c r="D1280" s="15" t="s">
        <v>69</v>
      </c>
      <c r="E1280" s="15" t="s">
        <v>715</v>
      </c>
      <c r="F1280" s="15"/>
      <c r="G1280" s="70">
        <f>G1281</f>
        <v>0</v>
      </c>
      <c r="H1280" s="70">
        <f t="shared" ref="H1280:K1281" si="371">H1281</f>
        <v>0</v>
      </c>
      <c r="I1280" s="70">
        <f t="shared" si="371"/>
        <v>0</v>
      </c>
      <c r="J1280" s="1"/>
    </row>
    <row r="1281" spans="1:20" ht="45.75" hidden="1" customHeight="1">
      <c r="A1281" s="16" t="s">
        <v>29</v>
      </c>
      <c r="B1281" s="14">
        <v>757</v>
      </c>
      <c r="C1281" s="15" t="s">
        <v>25</v>
      </c>
      <c r="D1281" s="15" t="s">
        <v>69</v>
      </c>
      <c r="E1281" s="15" t="s">
        <v>715</v>
      </c>
      <c r="F1281" s="15" t="s">
        <v>30</v>
      </c>
      <c r="G1281" s="70">
        <f>G1282</f>
        <v>0</v>
      </c>
      <c r="H1281" s="70">
        <f t="shared" si="371"/>
        <v>0</v>
      </c>
      <c r="I1281" s="70">
        <f t="shared" si="371"/>
        <v>0</v>
      </c>
      <c r="J1281" s="70">
        <f t="shared" si="371"/>
        <v>0</v>
      </c>
      <c r="K1281" s="70">
        <f t="shared" si="371"/>
        <v>0</v>
      </c>
    </row>
    <row r="1282" spans="1:20" ht="45.75" hidden="1" customHeight="1">
      <c r="A1282" s="16" t="s">
        <v>31</v>
      </c>
      <c r="B1282" s="14">
        <v>757</v>
      </c>
      <c r="C1282" s="15" t="s">
        <v>25</v>
      </c>
      <c r="D1282" s="15" t="s">
        <v>69</v>
      </c>
      <c r="E1282" s="15" t="s">
        <v>715</v>
      </c>
      <c r="F1282" s="15" t="s">
        <v>32</v>
      </c>
      <c r="G1282" s="70">
        <f>прил4!G88</f>
        <v>0</v>
      </c>
      <c r="H1282" s="70">
        <v>0</v>
      </c>
      <c r="I1282" s="70"/>
      <c r="J1282" s="1"/>
    </row>
    <row r="1283" spans="1:20" ht="20.25" hidden="1" customHeight="1">
      <c r="A1283" s="303" t="s">
        <v>606</v>
      </c>
      <c r="B1283" s="145">
        <v>757</v>
      </c>
      <c r="C1283" s="84" t="s">
        <v>43</v>
      </c>
      <c r="D1283" s="84" t="s">
        <v>18</v>
      </c>
      <c r="E1283" s="84" t="s">
        <v>195</v>
      </c>
      <c r="F1283" s="84" t="s">
        <v>605</v>
      </c>
      <c r="G1283" s="87"/>
      <c r="H1283" s="87"/>
      <c r="I1283" s="87"/>
      <c r="J1283" s="173"/>
      <c r="K1283" s="181"/>
      <c r="L1283" s="181"/>
      <c r="M1283" s="181"/>
      <c r="N1283" s="181"/>
      <c r="O1283" s="181"/>
      <c r="P1283" s="181"/>
      <c r="Q1283" s="181"/>
      <c r="R1283" s="181"/>
      <c r="S1283" s="1"/>
      <c r="T1283" s="1"/>
    </row>
    <row r="1284" spans="1:20">
      <c r="A1284" s="82" t="s">
        <v>62</v>
      </c>
      <c r="B1284" s="145">
        <v>757</v>
      </c>
      <c r="C1284" s="84" t="s">
        <v>43</v>
      </c>
      <c r="D1284" s="84" t="s">
        <v>18</v>
      </c>
      <c r="E1284" s="84" t="s">
        <v>195</v>
      </c>
      <c r="F1284" s="84" t="s">
        <v>63</v>
      </c>
      <c r="G1284" s="8">
        <f>G1285</f>
        <v>0</v>
      </c>
      <c r="H1284" s="8">
        <f t="shared" ref="H1284:I1284" si="372">H1285</f>
        <v>0</v>
      </c>
      <c r="I1284" s="8">
        <f t="shared" si="372"/>
        <v>0</v>
      </c>
      <c r="J1284" s="174"/>
      <c r="K1284" s="181"/>
      <c r="L1284" s="181"/>
      <c r="M1284" s="181"/>
      <c r="N1284" s="181"/>
      <c r="O1284" s="181"/>
      <c r="P1284" s="181"/>
      <c r="Q1284" s="181"/>
      <c r="R1284" s="181"/>
      <c r="S1284" s="1"/>
      <c r="T1284" s="1"/>
    </row>
    <row r="1285" spans="1:20">
      <c r="A1285" s="82" t="s">
        <v>174</v>
      </c>
      <c r="B1285" s="145">
        <v>757</v>
      </c>
      <c r="C1285" s="84" t="s">
        <v>43</v>
      </c>
      <c r="D1285" s="84" t="s">
        <v>18</v>
      </c>
      <c r="E1285" s="84" t="s">
        <v>195</v>
      </c>
      <c r="F1285" s="84" t="s">
        <v>175</v>
      </c>
      <c r="G1285" s="8">
        <f>прил4!G301</f>
        <v>0</v>
      </c>
      <c r="H1285" s="85">
        <v>0</v>
      </c>
      <c r="I1285" s="85">
        <v>0</v>
      </c>
      <c r="J1285" s="174"/>
      <c r="K1285" s="181"/>
      <c r="L1285" s="181"/>
      <c r="M1285" s="181"/>
      <c r="N1285" s="181"/>
      <c r="O1285" s="181"/>
      <c r="P1285" s="181"/>
      <c r="Q1285" s="181"/>
      <c r="R1285" s="181"/>
      <c r="S1285" s="1"/>
      <c r="T1285" s="1"/>
    </row>
    <row r="1286" spans="1:20" ht="39.75" hidden="1" customHeight="1">
      <c r="A1286" s="140" t="s">
        <v>718</v>
      </c>
      <c r="B1286" s="14">
        <v>757</v>
      </c>
      <c r="C1286" s="15" t="s">
        <v>43</v>
      </c>
      <c r="D1286" s="15" t="s">
        <v>18</v>
      </c>
      <c r="E1286" s="15" t="s">
        <v>717</v>
      </c>
      <c r="F1286" s="14"/>
      <c r="G1286" s="8">
        <f>G1287</f>
        <v>0</v>
      </c>
      <c r="H1286" s="8">
        <f t="shared" ref="H1286:I1286" si="373">H1287</f>
        <v>0</v>
      </c>
      <c r="I1286" s="8">
        <f t="shared" si="373"/>
        <v>0</v>
      </c>
      <c r="J1286" s="1"/>
    </row>
    <row r="1287" spans="1:20" ht="49.5" hidden="1" customHeight="1">
      <c r="A1287" s="82" t="s">
        <v>29</v>
      </c>
      <c r="B1287" s="14">
        <v>757</v>
      </c>
      <c r="C1287" s="15" t="s">
        <v>43</v>
      </c>
      <c r="D1287" s="15" t="s">
        <v>18</v>
      </c>
      <c r="E1287" s="15" t="s">
        <v>717</v>
      </c>
      <c r="F1287" s="15" t="s">
        <v>30</v>
      </c>
      <c r="G1287" s="8">
        <f>G1288</f>
        <v>0</v>
      </c>
      <c r="H1287" s="8">
        <f>H1288</f>
        <v>0</v>
      </c>
      <c r="I1287" s="8">
        <f>I1288</f>
        <v>0</v>
      </c>
      <c r="J1287" s="1"/>
    </row>
    <row r="1288" spans="1:20" hidden="1">
      <c r="A1288" s="82" t="s">
        <v>31</v>
      </c>
      <c r="B1288" s="14">
        <v>757</v>
      </c>
      <c r="C1288" s="15" t="s">
        <v>43</v>
      </c>
      <c r="D1288" s="15" t="s">
        <v>18</v>
      </c>
      <c r="E1288" s="15" t="s">
        <v>717</v>
      </c>
      <c r="F1288" s="15" t="s">
        <v>32</v>
      </c>
      <c r="G1288" s="8">
        <f>прил4!G259</f>
        <v>0</v>
      </c>
      <c r="H1288" s="8">
        <f>прил4!H259</f>
        <v>0</v>
      </c>
      <c r="I1288" s="8">
        <f>прил4!I259</f>
        <v>0</v>
      </c>
      <c r="J1288" s="1"/>
    </row>
    <row r="1289" spans="1:20" ht="54.75" hidden="1" customHeight="1">
      <c r="A1289" s="140" t="s">
        <v>749</v>
      </c>
      <c r="B1289" s="14">
        <v>757</v>
      </c>
      <c r="C1289" s="15" t="s">
        <v>43</v>
      </c>
      <c r="D1289" s="15" t="s">
        <v>18</v>
      </c>
      <c r="E1289" s="15" t="s">
        <v>748</v>
      </c>
      <c r="F1289" s="14"/>
      <c r="G1289" s="8">
        <f>G1290</f>
        <v>0</v>
      </c>
      <c r="H1289" s="8">
        <f t="shared" ref="H1289:I1289" si="374">H1290</f>
        <v>0</v>
      </c>
      <c r="I1289" s="8">
        <f t="shared" si="374"/>
        <v>0</v>
      </c>
      <c r="J1289" s="1"/>
    </row>
    <row r="1290" spans="1:20" ht="49.5" hidden="1" customHeight="1">
      <c r="A1290" s="82" t="s">
        <v>29</v>
      </c>
      <c r="B1290" s="14">
        <v>757</v>
      </c>
      <c r="C1290" s="15" t="s">
        <v>43</v>
      </c>
      <c r="D1290" s="15" t="s">
        <v>18</v>
      </c>
      <c r="E1290" s="15" t="s">
        <v>748</v>
      </c>
      <c r="F1290" s="15" t="s">
        <v>30</v>
      </c>
      <c r="G1290" s="8">
        <f>G1291</f>
        <v>0</v>
      </c>
      <c r="H1290" s="8">
        <f>H1291</f>
        <v>0</v>
      </c>
      <c r="I1290" s="8">
        <f>I1291</f>
        <v>0</v>
      </c>
      <c r="J1290" s="1"/>
    </row>
    <row r="1291" spans="1:20" hidden="1">
      <c r="A1291" s="82" t="s">
        <v>31</v>
      </c>
      <c r="B1291" s="14">
        <v>757</v>
      </c>
      <c r="C1291" s="15" t="s">
        <v>43</v>
      </c>
      <c r="D1291" s="15" t="s">
        <v>18</v>
      </c>
      <c r="E1291" s="15" t="s">
        <v>748</v>
      </c>
      <c r="F1291" s="15" t="s">
        <v>32</v>
      </c>
      <c r="G1291" s="8"/>
      <c r="H1291" s="8"/>
      <c r="I1291" s="8"/>
      <c r="J1291" s="1"/>
    </row>
    <row r="1292" spans="1:20" ht="29.25" hidden="1" customHeight="1">
      <c r="A1292" s="132" t="s">
        <v>924</v>
      </c>
      <c r="B1292" s="14">
        <v>757</v>
      </c>
      <c r="C1292" s="15" t="s">
        <v>43</v>
      </c>
      <c r="D1292" s="15" t="s">
        <v>18</v>
      </c>
      <c r="E1292" s="15" t="s">
        <v>923</v>
      </c>
      <c r="F1292" s="14"/>
      <c r="G1292" s="8">
        <f>G1293</f>
        <v>0</v>
      </c>
      <c r="H1292" s="8">
        <f t="shared" ref="H1292:I1292" si="375">H1293</f>
        <v>0</v>
      </c>
      <c r="I1292" s="8">
        <f t="shared" si="375"/>
        <v>0</v>
      </c>
      <c r="J1292" s="174"/>
      <c r="K1292" s="181"/>
      <c r="L1292" s="181"/>
      <c r="M1292" s="181"/>
      <c r="N1292" s="181"/>
      <c r="O1292" s="181"/>
      <c r="P1292" s="181"/>
      <c r="Q1292" s="181"/>
      <c r="R1292" s="181"/>
      <c r="S1292" s="1"/>
      <c r="T1292" s="1"/>
    </row>
    <row r="1293" spans="1:20" ht="49.5" hidden="1" customHeight="1">
      <c r="A1293" s="82" t="s">
        <v>29</v>
      </c>
      <c r="B1293" s="14">
        <v>757</v>
      </c>
      <c r="C1293" s="15" t="s">
        <v>43</v>
      </c>
      <c r="D1293" s="15" t="s">
        <v>18</v>
      </c>
      <c r="E1293" s="15" t="s">
        <v>923</v>
      </c>
      <c r="F1293" s="15" t="s">
        <v>30</v>
      </c>
      <c r="G1293" s="8">
        <f>G1294</f>
        <v>0</v>
      </c>
      <c r="H1293" s="8">
        <f>H1294</f>
        <v>0</v>
      </c>
      <c r="I1293" s="8">
        <f>I1294</f>
        <v>0</v>
      </c>
      <c r="J1293" s="174"/>
      <c r="K1293" s="181"/>
      <c r="L1293" s="181"/>
      <c r="M1293" s="181"/>
      <c r="N1293" s="181"/>
      <c r="O1293" s="181"/>
      <c r="P1293" s="181"/>
      <c r="Q1293" s="181"/>
      <c r="R1293" s="181"/>
      <c r="S1293" s="1"/>
      <c r="T1293" s="1"/>
    </row>
    <row r="1294" spans="1:20" hidden="1">
      <c r="A1294" s="82" t="s">
        <v>31</v>
      </c>
      <c r="B1294" s="14">
        <v>757</v>
      </c>
      <c r="C1294" s="15" t="s">
        <v>43</v>
      </c>
      <c r="D1294" s="15" t="s">
        <v>18</v>
      </c>
      <c r="E1294" s="15" t="s">
        <v>923</v>
      </c>
      <c r="F1294" s="15" t="s">
        <v>32</v>
      </c>
      <c r="G1294" s="8"/>
      <c r="H1294" s="8">
        <v>0</v>
      </c>
      <c r="I1294" s="8">
        <v>0</v>
      </c>
      <c r="J1294" s="174"/>
      <c r="K1294" s="181"/>
      <c r="L1294" s="181"/>
      <c r="M1294" s="181"/>
      <c r="N1294" s="181"/>
      <c r="O1294" s="181"/>
      <c r="P1294" s="181"/>
      <c r="Q1294" s="181"/>
      <c r="R1294" s="181"/>
      <c r="S1294" s="1"/>
      <c r="T1294" s="1"/>
    </row>
    <row r="1295" spans="1:20" ht="29.25" customHeight="1">
      <c r="A1295" s="132" t="s">
        <v>924</v>
      </c>
      <c r="B1295" s="14">
        <v>757</v>
      </c>
      <c r="C1295" s="15" t="s">
        <v>43</v>
      </c>
      <c r="D1295" s="15" t="s">
        <v>18</v>
      </c>
      <c r="E1295" s="15" t="s">
        <v>923</v>
      </c>
      <c r="F1295" s="14"/>
      <c r="G1295" s="8">
        <f>G1296</f>
        <v>412011.16</v>
      </c>
      <c r="H1295" s="8">
        <f t="shared" ref="H1295:I1295" si="376">H1296</f>
        <v>0</v>
      </c>
      <c r="I1295" s="8">
        <f t="shared" si="376"/>
        <v>0</v>
      </c>
      <c r="J1295" s="174"/>
      <c r="K1295" s="181"/>
      <c r="L1295" s="181"/>
      <c r="M1295" s="181"/>
      <c r="N1295" s="181"/>
      <c r="O1295" s="181"/>
      <c r="P1295" s="181"/>
      <c r="Q1295" s="181"/>
      <c r="R1295" s="181"/>
      <c r="S1295" s="1"/>
      <c r="T1295" s="1"/>
    </row>
    <row r="1296" spans="1:20" ht="49.5" customHeight="1">
      <c r="A1296" s="82" t="s">
        <v>29</v>
      </c>
      <c r="B1296" s="14">
        <v>757</v>
      </c>
      <c r="C1296" s="15" t="s">
        <v>43</v>
      </c>
      <c r="D1296" s="15" t="s">
        <v>18</v>
      </c>
      <c r="E1296" s="15" t="s">
        <v>923</v>
      </c>
      <c r="F1296" s="15" t="s">
        <v>30</v>
      </c>
      <c r="G1296" s="8">
        <f>G1297</f>
        <v>412011.16</v>
      </c>
      <c r="H1296" s="8">
        <f>H1297</f>
        <v>0</v>
      </c>
      <c r="I1296" s="8">
        <f>I1297</f>
        <v>0</v>
      </c>
      <c r="J1296" s="174"/>
      <c r="K1296" s="181"/>
      <c r="L1296" s="181"/>
      <c r="M1296" s="181"/>
      <c r="N1296" s="181"/>
      <c r="O1296" s="181"/>
      <c r="P1296" s="181"/>
      <c r="Q1296" s="181"/>
      <c r="R1296" s="181"/>
      <c r="S1296" s="1"/>
      <c r="T1296" s="1"/>
    </row>
    <row r="1297" spans="1:20">
      <c r="A1297" s="82" t="s">
        <v>31</v>
      </c>
      <c r="B1297" s="14">
        <v>757</v>
      </c>
      <c r="C1297" s="15" t="s">
        <v>43</v>
      </c>
      <c r="D1297" s="15" t="s">
        <v>18</v>
      </c>
      <c r="E1297" s="15" t="s">
        <v>923</v>
      </c>
      <c r="F1297" s="15" t="s">
        <v>32</v>
      </c>
      <c r="G1297" s="8">
        <f>прил4!G271</f>
        <v>412011.16</v>
      </c>
      <c r="H1297" s="8">
        <v>0</v>
      </c>
      <c r="I1297" s="8">
        <v>0</v>
      </c>
      <c r="J1297" s="174"/>
      <c r="K1297" s="181"/>
      <c r="L1297" s="181"/>
      <c r="M1297" s="181"/>
      <c r="N1297" s="181"/>
      <c r="O1297" s="181"/>
      <c r="P1297" s="181"/>
      <c r="Q1297" s="181"/>
      <c r="R1297" s="181"/>
      <c r="S1297" s="1"/>
      <c r="T1297" s="1"/>
    </row>
    <row r="1298" spans="1:20">
      <c r="A1298" s="82" t="s">
        <v>1068</v>
      </c>
      <c r="B1298" s="145">
        <v>757</v>
      </c>
      <c r="C1298" s="84" t="s">
        <v>25</v>
      </c>
      <c r="D1298" s="84" t="s">
        <v>69</v>
      </c>
      <c r="E1298" s="84" t="s">
        <v>1069</v>
      </c>
      <c r="F1298" s="84"/>
      <c r="G1298" s="87">
        <f>G1299</f>
        <v>60000</v>
      </c>
      <c r="H1298" s="87">
        <f t="shared" ref="H1298:I1298" si="377">H1299</f>
        <v>0</v>
      </c>
      <c r="I1298" s="87">
        <f t="shared" si="377"/>
        <v>0</v>
      </c>
      <c r="J1298" s="173"/>
      <c r="K1298" s="181"/>
      <c r="L1298" s="181"/>
      <c r="M1298" s="181"/>
      <c r="N1298" s="181"/>
      <c r="O1298" s="181"/>
      <c r="P1298" s="181"/>
      <c r="Q1298" s="181"/>
      <c r="R1298" s="181"/>
      <c r="S1298" s="1"/>
      <c r="T1298" s="1"/>
    </row>
    <row r="1299" spans="1:20" ht="26.4">
      <c r="A1299" s="82" t="s">
        <v>29</v>
      </c>
      <c r="B1299" s="145">
        <v>757</v>
      </c>
      <c r="C1299" s="84" t="s">
        <v>25</v>
      </c>
      <c r="D1299" s="84" t="s">
        <v>69</v>
      </c>
      <c r="E1299" s="84" t="s">
        <v>1069</v>
      </c>
      <c r="F1299" s="84" t="s">
        <v>30</v>
      </c>
      <c r="G1299" s="87">
        <f>G1300</f>
        <v>60000</v>
      </c>
      <c r="H1299" s="87">
        <f>H1300</f>
        <v>0</v>
      </c>
      <c r="I1299" s="87">
        <f>I1300</f>
        <v>0</v>
      </c>
      <c r="J1299" s="173"/>
      <c r="K1299" s="181"/>
      <c r="L1299" s="181"/>
      <c r="M1299" s="181"/>
      <c r="N1299" s="181"/>
      <c r="O1299" s="181"/>
      <c r="P1299" s="181"/>
      <c r="Q1299" s="181"/>
      <c r="R1299" s="181"/>
      <c r="S1299" s="1"/>
      <c r="T1299" s="1"/>
    </row>
    <row r="1300" spans="1:20" ht="19.5" customHeight="1">
      <c r="A1300" s="82" t="s">
        <v>31</v>
      </c>
      <c r="B1300" s="145">
        <v>757</v>
      </c>
      <c r="C1300" s="84" t="s">
        <v>25</v>
      </c>
      <c r="D1300" s="84" t="s">
        <v>69</v>
      </c>
      <c r="E1300" s="84" t="s">
        <v>1069</v>
      </c>
      <c r="F1300" s="84" t="s">
        <v>32</v>
      </c>
      <c r="G1300" s="87">
        <f>прил4!G115</f>
        <v>60000</v>
      </c>
      <c r="H1300" s="87">
        <f>прил4!H115</f>
        <v>0</v>
      </c>
      <c r="I1300" s="87">
        <f>прил4!I115</f>
        <v>0</v>
      </c>
      <c r="J1300" s="173"/>
      <c r="K1300" s="181"/>
      <c r="L1300" s="181"/>
      <c r="M1300" s="181"/>
      <c r="N1300" s="181"/>
      <c r="O1300" s="181"/>
      <c r="P1300" s="181"/>
      <c r="Q1300" s="181"/>
      <c r="R1300" s="181"/>
      <c r="S1300" s="1"/>
      <c r="T1300" s="1"/>
    </row>
    <row r="1301" spans="1:20" ht="39.75" hidden="1" customHeight="1">
      <c r="A1301" s="140" t="s">
        <v>718</v>
      </c>
      <c r="B1301" s="14">
        <v>757</v>
      </c>
      <c r="C1301" s="15" t="s">
        <v>43</v>
      </c>
      <c r="D1301" s="15" t="s">
        <v>18</v>
      </c>
      <c r="E1301" s="15" t="s">
        <v>985</v>
      </c>
      <c r="F1301" s="14"/>
      <c r="G1301" s="8">
        <f>G1302</f>
        <v>0</v>
      </c>
      <c r="H1301" s="8">
        <f t="shared" ref="H1301:I1301" si="378">H1302</f>
        <v>0</v>
      </c>
      <c r="I1301" s="8">
        <f t="shared" si="378"/>
        <v>0</v>
      </c>
      <c r="J1301" s="1"/>
    </row>
    <row r="1302" spans="1:20" ht="49.5" hidden="1" customHeight="1">
      <c r="A1302" s="82" t="s">
        <v>29</v>
      </c>
      <c r="B1302" s="14">
        <v>757</v>
      </c>
      <c r="C1302" s="15" t="s">
        <v>43</v>
      </c>
      <c r="D1302" s="15" t="s">
        <v>18</v>
      </c>
      <c r="E1302" s="15" t="s">
        <v>985</v>
      </c>
      <c r="F1302" s="15" t="s">
        <v>30</v>
      </c>
      <c r="G1302" s="8">
        <f>G1303</f>
        <v>0</v>
      </c>
      <c r="H1302" s="8">
        <f>H1303</f>
        <v>0</v>
      </c>
      <c r="I1302" s="8">
        <f>I1303</f>
        <v>0</v>
      </c>
      <c r="J1302" s="1"/>
    </row>
    <row r="1303" spans="1:20" hidden="1">
      <c r="A1303" s="82" t="s">
        <v>31</v>
      </c>
      <c r="B1303" s="14">
        <v>757</v>
      </c>
      <c r="C1303" s="15" t="s">
        <v>43</v>
      </c>
      <c r="D1303" s="15" t="s">
        <v>18</v>
      </c>
      <c r="E1303" s="15" t="s">
        <v>985</v>
      </c>
      <c r="F1303" s="15" t="s">
        <v>32</v>
      </c>
      <c r="G1303" s="8">
        <f>прил4!G425</f>
        <v>0</v>
      </c>
      <c r="H1303" s="8">
        <f>прил4!H425</f>
        <v>0</v>
      </c>
      <c r="I1303" s="8">
        <f>прил4!I425</f>
        <v>0</v>
      </c>
      <c r="J1303" s="1"/>
    </row>
    <row r="1304" spans="1:20" ht="21" customHeight="1">
      <c r="A1304" s="132" t="s">
        <v>1257</v>
      </c>
      <c r="B1304" s="145">
        <v>757</v>
      </c>
      <c r="C1304" s="84" t="s">
        <v>43</v>
      </c>
      <c r="D1304" s="84" t="s">
        <v>18</v>
      </c>
      <c r="E1304" s="84" t="s">
        <v>1256</v>
      </c>
      <c r="F1304" s="145"/>
      <c r="G1304" s="85">
        <f>G1305</f>
        <v>8800</v>
      </c>
      <c r="H1304" s="85">
        <f t="shared" ref="H1304:I1304" si="379">H1305</f>
        <v>123626.37</v>
      </c>
      <c r="I1304" s="85">
        <f t="shared" si="379"/>
        <v>0</v>
      </c>
      <c r="J1304" s="174"/>
      <c r="K1304" s="181"/>
      <c r="L1304" s="181"/>
      <c r="M1304" s="181"/>
      <c r="N1304" s="181"/>
      <c r="O1304" s="181"/>
      <c r="P1304" s="181"/>
      <c r="Q1304" s="181"/>
      <c r="R1304" s="181"/>
      <c r="S1304" s="1"/>
      <c r="T1304" s="1"/>
    </row>
    <row r="1305" spans="1:20" ht="33" customHeight="1">
      <c r="A1305" s="82" t="s">
        <v>29</v>
      </c>
      <c r="B1305" s="145">
        <v>757</v>
      </c>
      <c r="C1305" s="84" t="s">
        <v>43</v>
      </c>
      <c r="D1305" s="84" t="s">
        <v>18</v>
      </c>
      <c r="E1305" s="84" t="s">
        <v>1256</v>
      </c>
      <c r="F1305" s="84" t="s">
        <v>30</v>
      </c>
      <c r="G1305" s="85">
        <f>G1306</f>
        <v>8800</v>
      </c>
      <c r="H1305" s="85">
        <f>H1306</f>
        <v>123626.37</v>
      </c>
      <c r="I1305" s="85">
        <f>I1306</f>
        <v>0</v>
      </c>
      <c r="J1305" s="174"/>
      <c r="K1305" s="181"/>
      <c r="L1305" s="181"/>
      <c r="M1305" s="181"/>
      <c r="N1305" s="181"/>
      <c r="O1305" s="181"/>
      <c r="P1305" s="181"/>
      <c r="Q1305" s="181"/>
      <c r="R1305" s="181"/>
      <c r="S1305" s="1"/>
      <c r="T1305" s="1"/>
    </row>
    <row r="1306" spans="1:20">
      <c r="A1306" s="82" t="s">
        <v>31</v>
      </c>
      <c r="B1306" s="145">
        <v>757</v>
      </c>
      <c r="C1306" s="84" t="s">
        <v>43</v>
      </c>
      <c r="D1306" s="84" t="s">
        <v>18</v>
      </c>
      <c r="E1306" s="84" t="s">
        <v>1256</v>
      </c>
      <c r="F1306" s="84" t="s">
        <v>32</v>
      </c>
      <c r="G1306" s="8">
        <f>прил4!G268</f>
        <v>8800</v>
      </c>
      <c r="H1306" s="8">
        <f>прил4!H268</f>
        <v>123626.37</v>
      </c>
      <c r="I1306" s="8">
        <f>прил4!I268</f>
        <v>0</v>
      </c>
      <c r="J1306" s="174"/>
      <c r="K1306" s="181"/>
      <c r="L1306" s="181"/>
      <c r="M1306" s="181"/>
      <c r="N1306" s="181"/>
      <c r="O1306" s="181"/>
      <c r="P1306" s="181"/>
      <c r="Q1306" s="181"/>
      <c r="R1306" s="181"/>
      <c r="S1306" s="1"/>
      <c r="T1306" s="1"/>
    </row>
    <row r="1307" spans="1:20" s="28" customFormat="1" ht="26.4">
      <c r="A1307" s="13" t="s">
        <v>75</v>
      </c>
      <c r="B1307" s="14">
        <v>757</v>
      </c>
      <c r="C1307" s="15" t="s">
        <v>43</v>
      </c>
      <c r="D1307" s="15" t="s">
        <v>53</v>
      </c>
      <c r="E1307" s="15" t="s">
        <v>198</v>
      </c>
      <c r="F1307" s="15"/>
      <c r="G1307" s="93">
        <f>G1308+G1310+G1312</f>
        <v>11537959.389999999</v>
      </c>
      <c r="H1307" s="29">
        <f>H1308+H1310+H1312</f>
        <v>11981906.949999999</v>
      </c>
      <c r="I1307" s="29">
        <f>I1308+I1310+I1312</f>
        <v>12447339.989999998</v>
      </c>
      <c r="J1307" s="109"/>
      <c r="P1307" s="109"/>
      <c r="Q1307" s="109"/>
      <c r="R1307" s="109"/>
      <c r="S1307" s="109"/>
      <c r="T1307" s="109"/>
    </row>
    <row r="1308" spans="1:20" s="32" customFormat="1" ht="52.8">
      <c r="A1308" s="16" t="s">
        <v>54</v>
      </c>
      <c r="B1308" s="14">
        <v>757</v>
      </c>
      <c r="C1308" s="15" t="s">
        <v>43</v>
      </c>
      <c r="D1308" s="15" t="s">
        <v>53</v>
      </c>
      <c r="E1308" s="15" t="s">
        <v>198</v>
      </c>
      <c r="F1308" s="15" t="s">
        <v>57</v>
      </c>
      <c r="G1308" s="87">
        <f>G1309</f>
        <v>11335798.189999999</v>
      </c>
      <c r="H1308" s="87">
        <f>H1309</f>
        <v>11813745.75</v>
      </c>
      <c r="I1308" s="87">
        <f>I1309</f>
        <v>12279178.789999999</v>
      </c>
      <c r="J1308" s="31"/>
      <c r="P1308" s="31"/>
      <c r="Q1308" s="31"/>
      <c r="R1308" s="31"/>
      <c r="S1308" s="31"/>
      <c r="T1308" s="31"/>
    </row>
    <row r="1309" spans="1:20" s="32" customFormat="1" ht="26.4">
      <c r="A1309" s="16" t="s">
        <v>55</v>
      </c>
      <c r="B1309" s="14">
        <v>757</v>
      </c>
      <c r="C1309" s="15" t="s">
        <v>43</v>
      </c>
      <c r="D1309" s="15" t="s">
        <v>53</v>
      </c>
      <c r="E1309" s="15" t="s">
        <v>198</v>
      </c>
      <c r="F1309" s="15" t="s">
        <v>58</v>
      </c>
      <c r="G1309" s="87">
        <f>прил4!G475</f>
        <v>11335798.189999999</v>
      </c>
      <c r="H1309" s="87">
        <f>прил4!H475</f>
        <v>11813745.75</v>
      </c>
      <c r="I1309" s="87">
        <f>прил4!I475</f>
        <v>12279178.789999999</v>
      </c>
      <c r="J1309" s="31"/>
      <c r="P1309" s="31"/>
      <c r="Q1309" s="31"/>
      <c r="R1309" s="31"/>
      <c r="S1309" s="31"/>
      <c r="T1309" s="31"/>
    </row>
    <row r="1310" spans="1:20" s="32" customFormat="1" ht="28.5" customHeight="1">
      <c r="A1310" s="16" t="s">
        <v>35</v>
      </c>
      <c r="B1310" s="14">
        <v>757</v>
      </c>
      <c r="C1310" s="15" t="s">
        <v>43</v>
      </c>
      <c r="D1310" s="15" t="s">
        <v>53</v>
      </c>
      <c r="E1310" s="15" t="s">
        <v>198</v>
      </c>
      <c r="F1310" s="15" t="s">
        <v>36</v>
      </c>
      <c r="G1310" s="87">
        <f>G1311</f>
        <v>202161.2</v>
      </c>
      <c r="H1310" s="87">
        <f>H1311</f>
        <v>168161.2</v>
      </c>
      <c r="I1310" s="87">
        <f>I1311</f>
        <v>168161.2</v>
      </c>
      <c r="J1310" s="31"/>
      <c r="P1310" s="31"/>
      <c r="Q1310" s="31"/>
      <c r="R1310" s="31"/>
      <c r="S1310" s="31"/>
      <c r="T1310" s="31"/>
    </row>
    <row r="1311" spans="1:20" s="32" customFormat="1" ht="26.4">
      <c r="A1311" s="16" t="s">
        <v>37</v>
      </c>
      <c r="B1311" s="14">
        <v>757</v>
      </c>
      <c r="C1311" s="15" t="s">
        <v>43</v>
      </c>
      <c r="D1311" s="15" t="s">
        <v>53</v>
      </c>
      <c r="E1311" s="15" t="s">
        <v>198</v>
      </c>
      <c r="F1311" s="15" t="s">
        <v>38</v>
      </c>
      <c r="G1311" s="87">
        <f>прил4!G477</f>
        <v>202161.2</v>
      </c>
      <c r="H1311" s="87">
        <f>прил4!H477</f>
        <v>168161.2</v>
      </c>
      <c r="I1311" s="87">
        <f>прил4!I477</f>
        <v>168161.2</v>
      </c>
      <c r="J1311" s="31"/>
      <c r="P1311" s="31"/>
      <c r="Q1311" s="31"/>
      <c r="R1311" s="31"/>
      <c r="S1311" s="31"/>
      <c r="T1311" s="31"/>
    </row>
    <row r="1312" spans="1:20" s="32" customFormat="1" hidden="1">
      <c r="A1312" s="16" t="s">
        <v>62</v>
      </c>
      <c r="B1312" s="14"/>
      <c r="C1312" s="15"/>
      <c r="D1312" s="15"/>
      <c r="E1312" s="15" t="s">
        <v>198</v>
      </c>
      <c r="F1312" s="15" t="s">
        <v>63</v>
      </c>
      <c r="G1312" s="87">
        <f>G1313</f>
        <v>0</v>
      </c>
      <c r="H1312" s="87">
        <f>H1313</f>
        <v>0</v>
      </c>
      <c r="I1312" s="87">
        <f>I1313</f>
        <v>0</v>
      </c>
      <c r="J1312" s="31"/>
      <c r="P1312" s="31"/>
      <c r="Q1312" s="31"/>
      <c r="R1312" s="31"/>
      <c r="S1312" s="31"/>
      <c r="T1312" s="31"/>
    </row>
    <row r="1313" spans="1:20" hidden="1">
      <c r="A1313" s="16" t="s">
        <v>65</v>
      </c>
      <c r="B1313" s="14">
        <v>757</v>
      </c>
      <c r="C1313" s="15" t="s">
        <v>43</v>
      </c>
      <c r="D1313" s="15" t="s">
        <v>53</v>
      </c>
      <c r="E1313" s="15" t="s">
        <v>198</v>
      </c>
      <c r="F1313" s="15" t="s">
        <v>66</v>
      </c>
      <c r="G1313" s="94">
        <f>прил4!G479</f>
        <v>0</v>
      </c>
      <c r="H1313" s="94">
        <f>прил4!H479</f>
        <v>0</v>
      </c>
      <c r="I1313" s="94">
        <f>прил4!I479</f>
        <v>0</v>
      </c>
    </row>
    <row r="1314" spans="1:20" ht="79.2" hidden="1">
      <c r="A1314" s="16" t="s">
        <v>382</v>
      </c>
      <c r="B1314" s="14">
        <v>757</v>
      </c>
      <c r="C1314" s="15" t="s">
        <v>43</v>
      </c>
      <c r="D1314" s="15" t="s">
        <v>18</v>
      </c>
      <c r="E1314" s="15" t="s">
        <v>381</v>
      </c>
      <c r="F1314" s="15"/>
      <c r="G1314" s="85">
        <f>G1315</f>
        <v>0</v>
      </c>
      <c r="H1314" s="85">
        <f>H1315</f>
        <v>0</v>
      </c>
      <c r="I1314" s="85">
        <f>I1315</f>
        <v>0</v>
      </c>
    </row>
    <row r="1315" spans="1:20" hidden="1">
      <c r="A1315" s="16" t="s">
        <v>31</v>
      </c>
      <c r="B1315" s="14">
        <v>757</v>
      </c>
      <c r="C1315" s="15" t="s">
        <v>43</v>
      </c>
      <c r="D1315" s="15" t="s">
        <v>18</v>
      </c>
      <c r="E1315" s="15" t="s">
        <v>381</v>
      </c>
      <c r="F1315" s="15" t="s">
        <v>32</v>
      </c>
      <c r="G1315" s="85">
        <f>прил4!G292</f>
        <v>0</v>
      </c>
      <c r="H1315" s="85">
        <f>прил4!H292</f>
        <v>0</v>
      </c>
      <c r="I1315" s="85">
        <f>прил4!I292</f>
        <v>0</v>
      </c>
    </row>
    <row r="1316" spans="1:20" ht="45" hidden="1" customHeight="1">
      <c r="A1316" s="16" t="s">
        <v>572</v>
      </c>
      <c r="B1316" s="15"/>
      <c r="C1316" s="15"/>
      <c r="D1316" s="15"/>
      <c r="E1316" s="15" t="s">
        <v>514</v>
      </c>
      <c r="F1316" s="15"/>
      <c r="G1316" s="87">
        <f>G1317</f>
        <v>0</v>
      </c>
      <c r="H1316" s="85">
        <v>0</v>
      </c>
      <c r="I1316" s="85">
        <v>0</v>
      </c>
    </row>
    <row r="1317" spans="1:20" ht="34.5" hidden="1" customHeight="1">
      <c r="A1317" s="16" t="s">
        <v>94</v>
      </c>
      <c r="B1317" s="15"/>
      <c r="C1317" s="15"/>
      <c r="D1317" s="15"/>
      <c r="E1317" s="15" t="s">
        <v>514</v>
      </c>
      <c r="F1317" s="15" t="s">
        <v>338</v>
      </c>
      <c r="G1317" s="87">
        <f>G1318</f>
        <v>0</v>
      </c>
      <c r="H1317" s="85">
        <v>0</v>
      </c>
      <c r="I1317" s="85">
        <v>0</v>
      </c>
    </row>
    <row r="1318" spans="1:20" ht="68.25" hidden="1" customHeight="1">
      <c r="A1318" s="50" t="s">
        <v>407</v>
      </c>
      <c r="B1318" s="15"/>
      <c r="C1318" s="15"/>
      <c r="D1318" s="15"/>
      <c r="E1318" s="15" t="s">
        <v>514</v>
      </c>
      <c r="F1318" s="15" t="s">
        <v>406</v>
      </c>
      <c r="G1318" s="87">
        <f>прил4!G199</f>
        <v>0</v>
      </c>
      <c r="H1318" s="85">
        <v>0</v>
      </c>
      <c r="I1318" s="85">
        <v>0</v>
      </c>
    </row>
    <row r="1319" spans="1:20" ht="49.5" hidden="1" customHeight="1">
      <c r="A1319" s="50" t="s">
        <v>573</v>
      </c>
      <c r="B1319" s="15"/>
      <c r="C1319" s="15"/>
      <c r="D1319" s="15"/>
      <c r="E1319" s="15" t="s">
        <v>515</v>
      </c>
      <c r="F1319" s="15"/>
      <c r="G1319" s="85">
        <f>G1320</f>
        <v>0</v>
      </c>
      <c r="H1319" s="85">
        <v>0</v>
      </c>
      <c r="I1319" s="85">
        <v>0</v>
      </c>
    </row>
    <row r="1320" spans="1:20" ht="39" hidden="1" customHeight="1">
      <c r="A1320" s="16" t="s">
        <v>94</v>
      </c>
      <c r="B1320" s="15"/>
      <c r="C1320" s="15"/>
      <c r="D1320" s="15"/>
      <c r="E1320" s="15" t="s">
        <v>515</v>
      </c>
      <c r="F1320" s="15" t="s">
        <v>338</v>
      </c>
      <c r="G1320" s="85">
        <f>G1321</f>
        <v>0</v>
      </c>
      <c r="H1320" s="85">
        <v>0</v>
      </c>
      <c r="I1320" s="85">
        <v>0</v>
      </c>
    </row>
    <row r="1321" spans="1:20" ht="50.25" hidden="1" customHeight="1">
      <c r="A1321" s="50" t="s">
        <v>407</v>
      </c>
      <c r="B1321" s="15"/>
      <c r="C1321" s="15"/>
      <c r="D1321" s="15"/>
      <c r="E1321" s="15" t="s">
        <v>516</v>
      </c>
      <c r="F1321" s="15" t="s">
        <v>406</v>
      </c>
      <c r="G1321" s="85"/>
      <c r="H1321" s="85">
        <v>0</v>
      </c>
      <c r="I1321" s="85">
        <v>0</v>
      </c>
    </row>
    <row r="1322" spans="1:20" ht="84.75" customHeight="1">
      <c r="A1322" s="82" t="s">
        <v>1435</v>
      </c>
      <c r="B1322" s="145">
        <v>757</v>
      </c>
      <c r="C1322" s="84" t="s">
        <v>43</v>
      </c>
      <c r="D1322" s="84" t="s">
        <v>53</v>
      </c>
      <c r="E1322" s="84" t="s">
        <v>1530</v>
      </c>
      <c r="F1322" s="84"/>
      <c r="G1322" s="87">
        <f>G1323</f>
        <v>125138.72</v>
      </c>
      <c r="H1322" s="87">
        <f t="shared" ref="H1322:I1322" si="380">H1323</f>
        <v>0</v>
      </c>
      <c r="I1322" s="87">
        <f t="shared" si="380"/>
        <v>0</v>
      </c>
      <c r="J1322" s="173"/>
      <c r="K1322" s="181"/>
      <c r="L1322" s="181"/>
      <c r="M1322" s="181"/>
      <c r="N1322" s="181"/>
      <c r="O1322" s="181"/>
      <c r="P1322" s="181"/>
      <c r="Q1322" s="181"/>
      <c r="R1322" s="181"/>
      <c r="S1322" s="1"/>
      <c r="T1322" s="1"/>
    </row>
    <row r="1323" spans="1:20" ht="29.25" customHeight="1">
      <c r="A1323" s="82" t="s">
        <v>54</v>
      </c>
      <c r="B1323" s="145">
        <v>757</v>
      </c>
      <c r="C1323" s="84" t="s">
        <v>43</v>
      </c>
      <c r="D1323" s="84" t="s">
        <v>53</v>
      </c>
      <c r="E1323" s="84" t="s">
        <v>1530</v>
      </c>
      <c r="F1323" s="84" t="s">
        <v>57</v>
      </c>
      <c r="G1323" s="87">
        <f>G1324</f>
        <v>125138.72</v>
      </c>
      <c r="H1323" s="87">
        <f>H1324</f>
        <v>0</v>
      </c>
      <c r="I1323" s="87">
        <f>I1324</f>
        <v>0</v>
      </c>
      <c r="J1323" s="173"/>
      <c r="K1323" s="181"/>
      <c r="L1323" s="181"/>
      <c r="M1323" s="181"/>
      <c r="N1323" s="181"/>
      <c r="O1323" s="181"/>
      <c r="P1323" s="181"/>
      <c r="Q1323" s="181"/>
      <c r="R1323" s="181"/>
      <c r="S1323" s="1"/>
      <c r="T1323" s="1"/>
    </row>
    <row r="1324" spans="1:20" ht="36.75" customHeight="1">
      <c r="A1324" s="82" t="s">
        <v>55</v>
      </c>
      <c r="B1324" s="145">
        <v>757</v>
      </c>
      <c r="C1324" s="84" t="s">
        <v>43</v>
      </c>
      <c r="D1324" s="84" t="s">
        <v>53</v>
      </c>
      <c r="E1324" s="84" t="s">
        <v>1530</v>
      </c>
      <c r="F1324" s="84" t="s">
        <v>58</v>
      </c>
      <c r="G1324" s="70">
        <f>прил4!G509</f>
        <v>125138.72</v>
      </c>
      <c r="H1324" s="87">
        <v>0</v>
      </c>
      <c r="I1324" s="87">
        <v>0</v>
      </c>
      <c r="J1324" s="173"/>
      <c r="K1324" s="181"/>
      <c r="L1324" s="181"/>
      <c r="M1324" s="181"/>
      <c r="N1324" s="181"/>
      <c r="O1324" s="181"/>
      <c r="P1324" s="181"/>
      <c r="Q1324" s="181"/>
      <c r="R1324" s="181"/>
      <c r="S1324" s="1"/>
      <c r="T1324" s="1"/>
    </row>
    <row r="1325" spans="1:20" ht="29.25" customHeight="1">
      <c r="A1325" s="16" t="s">
        <v>635</v>
      </c>
      <c r="B1325" s="15"/>
      <c r="C1325" s="15"/>
      <c r="D1325" s="15"/>
      <c r="E1325" s="15" t="s">
        <v>721</v>
      </c>
      <c r="F1325" s="15"/>
      <c r="G1325" s="85">
        <f>G1326</f>
        <v>42300</v>
      </c>
      <c r="H1325" s="85">
        <f t="shared" ref="H1325:I1326" si="381">H1326</f>
        <v>42300</v>
      </c>
      <c r="I1325" s="85">
        <f t="shared" si="381"/>
        <v>42300</v>
      </c>
    </row>
    <row r="1326" spans="1:20" ht="18.75" customHeight="1">
      <c r="A1326" s="50" t="s">
        <v>574</v>
      </c>
      <c r="B1326" s="15"/>
      <c r="C1326" s="15"/>
      <c r="D1326" s="15"/>
      <c r="E1326" s="15" t="s">
        <v>721</v>
      </c>
      <c r="F1326" s="15" t="s">
        <v>36</v>
      </c>
      <c r="G1326" s="85">
        <f>G1327</f>
        <v>42300</v>
      </c>
      <c r="H1326" s="85">
        <f t="shared" si="381"/>
        <v>42300</v>
      </c>
      <c r="I1326" s="85">
        <f t="shared" si="381"/>
        <v>42300</v>
      </c>
    </row>
    <row r="1327" spans="1:20" ht="27" customHeight="1">
      <c r="A1327" s="50" t="s">
        <v>37</v>
      </c>
      <c r="B1327" s="15"/>
      <c r="C1327" s="15"/>
      <c r="D1327" s="15"/>
      <c r="E1327" s="15" t="s">
        <v>721</v>
      </c>
      <c r="F1327" s="15" t="s">
        <v>38</v>
      </c>
      <c r="G1327" s="85">
        <f>прил4!G1637</f>
        <v>42300</v>
      </c>
      <c r="H1327" s="85">
        <f>прил4!H1637</f>
        <v>42300</v>
      </c>
      <c r="I1327" s="85">
        <f>прил4!I1637</f>
        <v>42300</v>
      </c>
    </row>
    <row r="1328" spans="1:20" ht="66" hidden="1" customHeight="1">
      <c r="A1328" s="16" t="s">
        <v>513</v>
      </c>
      <c r="B1328" s="14">
        <v>757</v>
      </c>
      <c r="C1328" s="15" t="s">
        <v>25</v>
      </c>
      <c r="D1328" s="15" t="s">
        <v>69</v>
      </c>
      <c r="E1328" s="15" t="s">
        <v>600</v>
      </c>
      <c r="F1328" s="15"/>
      <c r="G1328" s="70">
        <f>G1329</f>
        <v>0</v>
      </c>
      <c r="H1328" s="70">
        <f t="shared" ref="H1328:I1329" si="382">H1329</f>
        <v>0</v>
      </c>
      <c r="I1328" s="87">
        <f t="shared" si="382"/>
        <v>0</v>
      </c>
      <c r="J1328" s="1"/>
    </row>
    <row r="1329" spans="1:11" ht="33.75" hidden="1" customHeight="1">
      <c r="A1329" s="16" t="s">
        <v>29</v>
      </c>
      <c r="B1329" s="14">
        <v>757</v>
      </c>
      <c r="C1329" s="15" t="s">
        <v>25</v>
      </c>
      <c r="D1329" s="15" t="s">
        <v>69</v>
      </c>
      <c r="E1329" s="15" t="s">
        <v>600</v>
      </c>
      <c r="F1329" s="15" t="s">
        <v>30</v>
      </c>
      <c r="G1329" s="70">
        <f>G1330</f>
        <v>0</v>
      </c>
      <c r="H1329" s="70">
        <f t="shared" si="382"/>
        <v>0</v>
      </c>
      <c r="I1329" s="87">
        <f t="shared" si="382"/>
        <v>0</v>
      </c>
      <c r="J1329" s="1"/>
    </row>
    <row r="1330" spans="1:11" ht="27.75" hidden="1" customHeight="1">
      <c r="A1330" s="16" t="s">
        <v>31</v>
      </c>
      <c r="B1330" s="14">
        <v>757</v>
      </c>
      <c r="C1330" s="15" t="s">
        <v>25</v>
      </c>
      <c r="D1330" s="15" t="s">
        <v>69</v>
      </c>
      <c r="E1330" s="15" t="s">
        <v>600</v>
      </c>
      <c r="F1330" s="15" t="s">
        <v>32</v>
      </c>
      <c r="G1330" s="70"/>
      <c r="H1330" s="70"/>
      <c r="I1330" s="87">
        <f>прил4!I69</f>
        <v>0</v>
      </c>
      <c r="J1330" s="1"/>
    </row>
    <row r="1331" spans="1:11" ht="18" hidden="1" customHeight="1">
      <c r="A1331" s="16" t="s">
        <v>633</v>
      </c>
      <c r="B1331" s="14">
        <v>793</v>
      </c>
      <c r="C1331" s="15" t="s">
        <v>18</v>
      </c>
      <c r="D1331" s="15" t="s">
        <v>22</v>
      </c>
      <c r="E1331" s="15" t="s">
        <v>632</v>
      </c>
      <c r="F1331" s="15"/>
      <c r="G1331" s="70">
        <f>G1332</f>
        <v>0</v>
      </c>
      <c r="H1331" s="70">
        <f t="shared" ref="H1331:I1332" si="383">H1332</f>
        <v>0</v>
      </c>
      <c r="I1331" s="70">
        <f t="shared" si="383"/>
        <v>0</v>
      </c>
      <c r="J1331" s="1"/>
    </row>
    <row r="1332" spans="1:11" ht="19.5" hidden="1" customHeight="1">
      <c r="A1332" s="16" t="s">
        <v>316</v>
      </c>
      <c r="B1332" s="14">
        <v>793</v>
      </c>
      <c r="C1332" s="15" t="s">
        <v>18</v>
      </c>
      <c r="D1332" s="15" t="s">
        <v>22</v>
      </c>
      <c r="E1332" s="15" t="s">
        <v>632</v>
      </c>
      <c r="F1332" s="15" t="s">
        <v>36</v>
      </c>
      <c r="G1332" s="70">
        <f>G1333</f>
        <v>0</v>
      </c>
      <c r="H1332" s="70">
        <f t="shared" si="383"/>
        <v>0</v>
      </c>
      <c r="I1332" s="70">
        <f t="shared" si="383"/>
        <v>0</v>
      </c>
      <c r="J1332" s="1"/>
    </row>
    <row r="1333" spans="1:11" ht="25.5" hidden="1" customHeight="1">
      <c r="A1333" s="16" t="s">
        <v>37</v>
      </c>
      <c r="B1333" s="14">
        <v>793</v>
      </c>
      <c r="C1333" s="15" t="s">
        <v>18</v>
      </c>
      <c r="D1333" s="15" t="s">
        <v>22</v>
      </c>
      <c r="E1333" s="15" t="s">
        <v>632</v>
      </c>
      <c r="F1333" s="15" t="s">
        <v>38</v>
      </c>
      <c r="G1333" s="70">
        <f>прил4!G1640</f>
        <v>0</v>
      </c>
      <c r="H1333" s="70">
        <f>прил4!H1640</f>
        <v>0</v>
      </c>
      <c r="I1333" s="70">
        <f>прил4!I1640</f>
        <v>0</v>
      </c>
      <c r="J1333" s="1"/>
    </row>
    <row r="1334" spans="1:11" ht="81.75" hidden="1" customHeight="1">
      <c r="A1334" s="16" t="s">
        <v>602</v>
      </c>
      <c r="B1334" s="14">
        <v>757</v>
      </c>
      <c r="C1334" s="15" t="s">
        <v>25</v>
      </c>
      <c r="D1334" s="15" t="s">
        <v>69</v>
      </c>
      <c r="E1334" s="15" t="s">
        <v>601</v>
      </c>
      <c r="F1334" s="15"/>
      <c r="G1334" s="70">
        <f>G1335</f>
        <v>0</v>
      </c>
      <c r="H1334" s="70">
        <f t="shared" ref="H1334:I1335" si="384">H1335</f>
        <v>0</v>
      </c>
      <c r="I1334" s="87">
        <f t="shared" si="384"/>
        <v>0</v>
      </c>
      <c r="J1334" s="1"/>
    </row>
    <row r="1335" spans="1:11" ht="47.25" hidden="1" customHeight="1">
      <c r="A1335" s="16" t="s">
        <v>94</v>
      </c>
      <c r="B1335" s="14">
        <v>757</v>
      </c>
      <c r="C1335" s="15" t="s">
        <v>25</v>
      </c>
      <c r="D1335" s="15" t="s">
        <v>69</v>
      </c>
      <c r="E1335" s="15" t="s">
        <v>601</v>
      </c>
      <c r="F1335" s="15" t="s">
        <v>338</v>
      </c>
      <c r="G1335" s="70">
        <f>G1336</f>
        <v>0</v>
      </c>
      <c r="H1335" s="70">
        <f t="shared" si="384"/>
        <v>0</v>
      </c>
      <c r="I1335" s="70">
        <f t="shared" si="384"/>
        <v>0</v>
      </c>
      <c r="J1335" s="1"/>
    </row>
    <row r="1336" spans="1:11" ht="98.25" hidden="1" customHeight="1">
      <c r="A1336" s="50" t="s">
        <v>407</v>
      </c>
      <c r="B1336" s="14">
        <v>757</v>
      </c>
      <c r="C1336" s="15" t="s">
        <v>25</v>
      </c>
      <c r="D1336" s="15" t="s">
        <v>69</v>
      </c>
      <c r="E1336" s="15" t="s">
        <v>601</v>
      </c>
      <c r="F1336" s="15" t="s">
        <v>406</v>
      </c>
      <c r="G1336" s="70"/>
      <c r="H1336" s="70">
        <v>0</v>
      </c>
      <c r="I1336" s="70"/>
      <c r="J1336" s="1"/>
    </row>
    <row r="1337" spans="1:11" ht="19.5" hidden="1" customHeight="1">
      <c r="A1337" s="16" t="s">
        <v>380</v>
      </c>
      <c r="B1337" s="14">
        <v>757</v>
      </c>
      <c r="C1337" s="15" t="s">
        <v>25</v>
      </c>
      <c r="D1337" s="15" t="s">
        <v>69</v>
      </c>
      <c r="E1337" s="15" t="s">
        <v>123</v>
      </c>
      <c r="F1337" s="15"/>
      <c r="G1337" s="87">
        <f>G1338</f>
        <v>0</v>
      </c>
      <c r="H1337" s="85">
        <v>0</v>
      </c>
      <c r="I1337" s="85">
        <v>0</v>
      </c>
      <c r="J1337" s="1"/>
    </row>
    <row r="1338" spans="1:11" ht="39.75" hidden="1" customHeight="1">
      <c r="A1338" s="16" t="s">
        <v>29</v>
      </c>
      <c r="B1338" s="14">
        <v>757</v>
      </c>
      <c r="C1338" s="15" t="s">
        <v>25</v>
      </c>
      <c r="D1338" s="15" t="s">
        <v>69</v>
      </c>
      <c r="E1338" s="15" t="s">
        <v>123</v>
      </c>
      <c r="F1338" s="15" t="s">
        <v>30</v>
      </c>
      <c r="G1338" s="87">
        <f>G1339</f>
        <v>0</v>
      </c>
      <c r="H1338" s="85">
        <v>0</v>
      </c>
      <c r="I1338" s="85">
        <v>0</v>
      </c>
      <c r="J1338" s="1"/>
    </row>
    <row r="1339" spans="1:11" ht="20.25" hidden="1" customHeight="1">
      <c r="A1339" s="16" t="s">
        <v>31</v>
      </c>
      <c r="B1339" s="14">
        <v>757</v>
      </c>
      <c r="C1339" s="15" t="s">
        <v>25</v>
      </c>
      <c r="D1339" s="15" t="s">
        <v>69</v>
      </c>
      <c r="E1339" s="15" t="s">
        <v>123</v>
      </c>
      <c r="F1339" s="15" t="s">
        <v>32</v>
      </c>
      <c r="G1339" s="87">
        <f>прил4!G78+прил4!G295</f>
        <v>0</v>
      </c>
      <c r="H1339" s="85">
        <v>0</v>
      </c>
      <c r="I1339" s="85">
        <v>0</v>
      </c>
      <c r="J1339" s="1"/>
    </row>
    <row r="1340" spans="1:11" ht="39" hidden="1" customHeight="1">
      <c r="A1340" s="16" t="s">
        <v>178</v>
      </c>
      <c r="B1340" s="14">
        <v>757</v>
      </c>
      <c r="C1340" s="15" t="s">
        <v>43</v>
      </c>
      <c r="D1340" s="15" t="s">
        <v>18</v>
      </c>
      <c r="E1340" s="15" t="s">
        <v>177</v>
      </c>
      <c r="F1340" s="15"/>
      <c r="G1340" s="87">
        <f>G1341</f>
        <v>0</v>
      </c>
      <c r="H1340" s="70">
        <f t="shared" ref="H1340:I1341" si="385">H1341</f>
        <v>0</v>
      </c>
      <c r="I1340" s="70">
        <f t="shared" si="385"/>
        <v>0</v>
      </c>
      <c r="J1340" s="1"/>
    </row>
    <row r="1341" spans="1:11" ht="39.75" hidden="1" customHeight="1">
      <c r="A1341" s="16" t="s">
        <v>29</v>
      </c>
      <c r="B1341" s="14">
        <v>757</v>
      </c>
      <c r="C1341" s="15" t="s">
        <v>43</v>
      </c>
      <c r="D1341" s="15" t="s">
        <v>18</v>
      </c>
      <c r="E1341" s="15" t="s">
        <v>177</v>
      </c>
      <c r="F1341" s="15" t="s">
        <v>30</v>
      </c>
      <c r="G1341" s="87">
        <f>G1342</f>
        <v>0</v>
      </c>
      <c r="H1341" s="70">
        <f t="shared" si="385"/>
        <v>0</v>
      </c>
      <c r="I1341" s="70">
        <f t="shared" si="385"/>
        <v>0</v>
      </c>
      <c r="J1341" s="1"/>
    </row>
    <row r="1342" spans="1:11" ht="20.25" hidden="1" customHeight="1">
      <c r="A1342" s="16" t="s">
        <v>31</v>
      </c>
      <c r="B1342" s="14">
        <v>757</v>
      </c>
      <c r="C1342" s="15" t="s">
        <v>43</v>
      </c>
      <c r="D1342" s="15" t="s">
        <v>18</v>
      </c>
      <c r="E1342" s="15" t="s">
        <v>177</v>
      </c>
      <c r="F1342" s="15" t="s">
        <v>32</v>
      </c>
      <c r="G1342" s="87">
        <v>0</v>
      </c>
      <c r="H1342" s="70">
        <f>прил4!H298</f>
        <v>0</v>
      </c>
      <c r="I1342" s="70">
        <v>0</v>
      </c>
      <c r="J1342" s="1"/>
    </row>
    <row r="1343" spans="1:11" ht="87.75" hidden="1" customHeight="1">
      <c r="A1343" s="16" t="s">
        <v>484</v>
      </c>
      <c r="B1343" s="14">
        <v>757</v>
      </c>
      <c r="C1343" s="15" t="s">
        <v>25</v>
      </c>
      <c r="D1343" s="15" t="s">
        <v>69</v>
      </c>
      <c r="E1343" s="15" t="s">
        <v>485</v>
      </c>
      <c r="F1343" s="15"/>
      <c r="G1343" s="87">
        <f>G1344</f>
        <v>0</v>
      </c>
      <c r="H1343" s="70">
        <f t="shared" ref="H1343:K1344" si="386">H1344</f>
        <v>0</v>
      </c>
      <c r="I1343" s="70">
        <f t="shared" si="386"/>
        <v>0</v>
      </c>
      <c r="J1343" s="1"/>
    </row>
    <row r="1344" spans="1:11" ht="45" hidden="1" customHeight="1">
      <c r="A1344" s="16" t="s">
        <v>29</v>
      </c>
      <c r="B1344" s="14">
        <v>757</v>
      </c>
      <c r="C1344" s="15" t="s">
        <v>25</v>
      </c>
      <c r="D1344" s="15" t="s">
        <v>69</v>
      </c>
      <c r="E1344" s="15" t="s">
        <v>485</v>
      </c>
      <c r="F1344" s="15" t="s">
        <v>30</v>
      </c>
      <c r="G1344" s="87">
        <f>G1345</f>
        <v>0</v>
      </c>
      <c r="H1344" s="70">
        <f t="shared" si="386"/>
        <v>0</v>
      </c>
      <c r="I1344" s="70">
        <f t="shared" si="386"/>
        <v>0</v>
      </c>
      <c r="J1344" s="70">
        <f t="shared" si="386"/>
        <v>0</v>
      </c>
      <c r="K1344" s="70">
        <f t="shared" si="386"/>
        <v>0</v>
      </c>
    </row>
    <row r="1345" spans="1:11" ht="19.5" hidden="1" customHeight="1">
      <c r="A1345" s="16" t="s">
        <v>31</v>
      </c>
      <c r="B1345" s="14">
        <v>757</v>
      </c>
      <c r="C1345" s="15" t="s">
        <v>25</v>
      </c>
      <c r="D1345" s="15" t="s">
        <v>69</v>
      </c>
      <c r="E1345" s="15" t="s">
        <v>485</v>
      </c>
      <c r="F1345" s="15" t="s">
        <v>32</v>
      </c>
      <c r="G1345" s="87">
        <v>0</v>
      </c>
      <c r="H1345" s="70">
        <f>прил4!H81</f>
        <v>0</v>
      </c>
      <c r="I1345" s="70">
        <v>0</v>
      </c>
      <c r="J1345" s="1"/>
    </row>
    <row r="1346" spans="1:11" ht="36" hidden="1" customHeight="1">
      <c r="A1346" s="16" t="s">
        <v>496</v>
      </c>
      <c r="B1346" s="14">
        <v>757</v>
      </c>
      <c r="C1346" s="15" t="s">
        <v>43</v>
      </c>
      <c r="D1346" s="15" t="s">
        <v>18</v>
      </c>
      <c r="E1346" s="15" t="s">
        <v>495</v>
      </c>
      <c r="F1346" s="15"/>
      <c r="G1346" s="87">
        <f>G1347</f>
        <v>0</v>
      </c>
      <c r="H1346" s="70">
        <f t="shared" ref="H1346:K1347" si="387">H1347</f>
        <v>0</v>
      </c>
      <c r="I1346" s="70">
        <f t="shared" si="387"/>
        <v>0</v>
      </c>
      <c r="J1346" s="1"/>
    </row>
    <row r="1347" spans="1:11" ht="45" hidden="1" customHeight="1">
      <c r="A1347" s="16" t="s">
        <v>29</v>
      </c>
      <c r="B1347" s="14">
        <v>757</v>
      </c>
      <c r="C1347" s="15" t="s">
        <v>43</v>
      </c>
      <c r="D1347" s="15" t="s">
        <v>18</v>
      </c>
      <c r="E1347" s="15" t="s">
        <v>495</v>
      </c>
      <c r="F1347" s="15" t="s">
        <v>30</v>
      </c>
      <c r="G1347" s="87">
        <f>G1348</f>
        <v>0</v>
      </c>
      <c r="H1347" s="70">
        <f t="shared" si="387"/>
        <v>0</v>
      </c>
      <c r="I1347" s="70">
        <f t="shared" si="387"/>
        <v>0</v>
      </c>
      <c r="J1347" s="70">
        <f t="shared" si="387"/>
        <v>0</v>
      </c>
      <c r="K1347" s="70">
        <f t="shared" si="387"/>
        <v>0</v>
      </c>
    </row>
    <row r="1348" spans="1:11" ht="19.5" hidden="1" customHeight="1">
      <c r="A1348" s="16" t="s">
        <v>31</v>
      </c>
      <c r="B1348" s="14">
        <v>757</v>
      </c>
      <c r="C1348" s="15" t="s">
        <v>43</v>
      </c>
      <c r="D1348" s="15" t="s">
        <v>18</v>
      </c>
      <c r="E1348" s="15" t="s">
        <v>495</v>
      </c>
      <c r="F1348" s="15" t="s">
        <v>32</v>
      </c>
      <c r="G1348" s="87">
        <v>0</v>
      </c>
      <c r="H1348" s="70">
        <f>прил4!H320</f>
        <v>0</v>
      </c>
      <c r="I1348" s="70">
        <f>прил4!I320</f>
        <v>0</v>
      </c>
      <c r="J1348" s="1"/>
    </row>
    <row r="1349" spans="1:11" ht="82.5" hidden="1" customHeight="1">
      <c r="A1349" s="16" t="s">
        <v>548</v>
      </c>
      <c r="B1349" s="14">
        <v>757</v>
      </c>
      <c r="C1349" s="15" t="s">
        <v>43</v>
      </c>
      <c r="D1349" s="15" t="s">
        <v>18</v>
      </c>
      <c r="E1349" s="15" t="s">
        <v>547</v>
      </c>
      <c r="F1349" s="15"/>
      <c r="G1349" s="85">
        <f>G1350+G1355+G1358+G1361</f>
        <v>0</v>
      </c>
      <c r="H1349" s="8">
        <f t="shared" ref="H1349:I1349" si="388">H1350</f>
        <v>0</v>
      </c>
      <c r="I1349" s="8">
        <f t="shared" si="388"/>
        <v>0</v>
      </c>
      <c r="J1349" s="1"/>
    </row>
    <row r="1350" spans="1:11" ht="91.5" hidden="1" customHeight="1">
      <c r="A1350" s="23" t="s">
        <v>546</v>
      </c>
      <c r="B1350" s="14">
        <v>757</v>
      </c>
      <c r="C1350" s="15" t="s">
        <v>43</v>
      </c>
      <c r="D1350" s="15" t="s">
        <v>18</v>
      </c>
      <c r="E1350" s="15" t="s">
        <v>545</v>
      </c>
      <c r="F1350" s="14"/>
      <c r="G1350" s="85">
        <f>G1351+G1353</f>
        <v>0</v>
      </c>
      <c r="H1350" s="85">
        <v>0</v>
      </c>
      <c r="I1350" s="85">
        <v>0</v>
      </c>
      <c r="J1350" s="1"/>
    </row>
    <row r="1351" spans="1:11" ht="26.4" hidden="1">
      <c r="A1351" s="16" t="s">
        <v>29</v>
      </c>
      <c r="B1351" s="14">
        <v>757</v>
      </c>
      <c r="C1351" s="15" t="s">
        <v>43</v>
      </c>
      <c r="D1351" s="15" t="s">
        <v>18</v>
      </c>
      <c r="E1351" s="15" t="s">
        <v>545</v>
      </c>
      <c r="F1351" s="15" t="s">
        <v>30</v>
      </c>
      <c r="G1351" s="85">
        <f>G1352</f>
        <v>0</v>
      </c>
      <c r="H1351" s="8">
        <f>H1352</f>
        <v>0</v>
      </c>
      <c r="I1351" s="8">
        <f>I1352</f>
        <v>0</v>
      </c>
      <c r="J1351" s="1"/>
    </row>
    <row r="1352" spans="1:11" hidden="1">
      <c r="A1352" s="16" t="s">
        <v>31</v>
      </c>
      <c r="B1352" s="14">
        <v>757</v>
      </c>
      <c r="C1352" s="15" t="s">
        <v>43</v>
      </c>
      <c r="D1352" s="15" t="s">
        <v>18</v>
      </c>
      <c r="E1352" s="15" t="s">
        <v>545</v>
      </c>
      <c r="F1352" s="15" t="s">
        <v>32</v>
      </c>
      <c r="G1352" s="85">
        <f>прил4!G231</f>
        <v>0</v>
      </c>
      <c r="H1352" s="85">
        <v>0</v>
      </c>
      <c r="I1352" s="85">
        <v>0</v>
      </c>
      <c r="J1352" s="1"/>
    </row>
    <row r="1353" spans="1:11" hidden="1">
      <c r="A1353" s="16" t="s">
        <v>152</v>
      </c>
      <c r="B1353" s="14">
        <v>757</v>
      </c>
      <c r="C1353" s="15" t="s">
        <v>43</v>
      </c>
      <c r="D1353" s="15" t="s">
        <v>18</v>
      </c>
      <c r="E1353" s="15" t="s">
        <v>545</v>
      </c>
      <c r="F1353" s="15" t="s">
        <v>153</v>
      </c>
      <c r="G1353" s="85">
        <f>G1354</f>
        <v>0</v>
      </c>
      <c r="H1353" s="85">
        <v>0</v>
      </c>
      <c r="I1353" s="85">
        <v>0</v>
      </c>
      <c r="J1353" s="1"/>
    </row>
    <row r="1354" spans="1:11" hidden="1">
      <c r="A1354" s="16" t="s">
        <v>164</v>
      </c>
      <c r="B1354" s="14">
        <v>757</v>
      </c>
      <c r="C1354" s="15" t="s">
        <v>43</v>
      </c>
      <c r="D1354" s="15" t="s">
        <v>18</v>
      </c>
      <c r="E1354" s="15" t="s">
        <v>545</v>
      </c>
      <c r="F1354" s="15" t="s">
        <v>165</v>
      </c>
      <c r="G1354" s="85">
        <f>прил4!G233</f>
        <v>0</v>
      </c>
      <c r="H1354" s="85">
        <v>0</v>
      </c>
      <c r="I1354" s="85">
        <v>0</v>
      </c>
      <c r="J1354" s="1"/>
    </row>
    <row r="1355" spans="1:11" ht="91.5" hidden="1" customHeight="1">
      <c r="A1355" s="23" t="s">
        <v>550</v>
      </c>
      <c r="B1355" s="14">
        <v>757</v>
      </c>
      <c r="C1355" s="15" t="s">
        <v>43</v>
      </c>
      <c r="D1355" s="15" t="s">
        <v>18</v>
      </c>
      <c r="E1355" s="15" t="s">
        <v>549</v>
      </c>
      <c r="F1355" s="14"/>
      <c r="G1355" s="85">
        <f>G1356</f>
        <v>0</v>
      </c>
      <c r="H1355" s="85">
        <v>0</v>
      </c>
      <c r="I1355" s="85">
        <v>0</v>
      </c>
      <c r="J1355" s="1"/>
    </row>
    <row r="1356" spans="1:11" ht="26.4" hidden="1">
      <c r="A1356" s="16" t="s">
        <v>29</v>
      </c>
      <c r="B1356" s="14">
        <v>757</v>
      </c>
      <c r="C1356" s="15" t="s">
        <v>43</v>
      </c>
      <c r="D1356" s="15" t="s">
        <v>18</v>
      </c>
      <c r="E1356" s="15" t="s">
        <v>549</v>
      </c>
      <c r="F1356" s="15" t="s">
        <v>30</v>
      </c>
      <c r="G1356" s="85">
        <f>G1357</f>
        <v>0</v>
      </c>
      <c r="H1356" s="8">
        <f>H1357</f>
        <v>0</v>
      </c>
      <c r="I1356" s="8">
        <f>I1357</f>
        <v>0</v>
      </c>
      <c r="J1356" s="1"/>
    </row>
    <row r="1357" spans="1:11" hidden="1">
      <c r="A1357" s="16" t="s">
        <v>31</v>
      </c>
      <c r="B1357" s="14">
        <v>757</v>
      </c>
      <c r="C1357" s="15" t="s">
        <v>43</v>
      </c>
      <c r="D1357" s="15" t="s">
        <v>18</v>
      </c>
      <c r="E1357" s="15" t="s">
        <v>549</v>
      </c>
      <c r="F1357" s="15" t="s">
        <v>32</v>
      </c>
      <c r="G1357" s="85">
        <f>прил4!G236</f>
        <v>0</v>
      </c>
      <c r="H1357" s="85">
        <v>0</v>
      </c>
      <c r="I1357" s="85">
        <v>0</v>
      </c>
      <c r="J1357" s="1"/>
    </row>
    <row r="1358" spans="1:11" ht="91.5" hidden="1" customHeight="1">
      <c r="A1358" s="23" t="s">
        <v>551</v>
      </c>
      <c r="B1358" s="14">
        <v>757</v>
      </c>
      <c r="C1358" s="15" t="s">
        <v>43</v>
      </c>
      <c r="D1358" s="15" t="s">
        <v>18</v>
      </c>
      <c r="E1358" s="15" t="s">
        <v>552</v>
      </c>
      <c r="F1358" s="14"/>
      <c r="G1358" s="85">
        <f>G1359</f>
        <v>0</v>
      </c>
      <c r="H1358" s="85">
        <v>0</v>
      </c>
      <c r="I1358" s="85">
        <v>0</v>
      </c>
      <c r="J1358" s="1"/>
    </row>
    <row r="1359" spans="1:11" ht="26.4" hidden="1">
      <c r="A1359" s="16" t="s">
        <v>29</v>
      </c>
      <c r="B1359" s="14">
        <v>757</v>
      </c>
      <c r="C1359" s="15" t="s">
        <v>43</v>
      </c>
      <c r="D1359" s="15" t="s">
        <v>18</v>
      </c>
      <c r="E1359" s="15" t="s">
        <v>552</v>
      </c>
      <c r="F1359" s="15" t="s">
        <v>30</v>
      </c>
      <c r="G1359" s="85">
        <f>G1360</f>
        <v>0</v>
      </c>
      <c r="H1359" s="8">
        <f>H1360</f>
        <v>0</v>
      </c>
      <c r="I1359" s="8">
        <f>I1360</f>
        <v>0</v>
      </c>
      <c r="J1359" s="1"/>
    </row>
    <row r="1360" spans="1:11" hidden="1">
      <c r="A1360" s="16" t="s">
        <v>31</v>
      </c>
      <c r="B1360" s="14">
        <v>757</v>
      </c>
      <c r="C1360" s="15" t="s">
        <v>43</v>
      </c>
      <c r="D1360" s="15" t="s">
        <v>18</v>
      </c>
      <c r="E1360" s="15" t="s">
        <v>552</v>
      </c>
      <c r="F1360" s="15" t="s">
        <v>32</v>
      </c>
      <c r="G1360" s="85">
        <f>прил4!G239</f>
        <v>0</v>
      </c>
      <c r="H1360" s="85">
        <v>0</v>
      </c>
      <c r="I1360" s="85">
        <v>0</v>
      </c>
      <c r="J1360" s="1"/>
    </row>
    <row r="1361" spans="1:18" ht="68.25" hidden="1" customHeight="1">
      <c r="A1361" s="23" t="s">
        <v>554</v>
      </c>
      <c r="B1361" s="14">
        <v>757</v>
      </c>
      <c r="C1361" s="15" t="s">
        <v>43</v>
      </c>
      <c r="D1361" s="15" t="s">
        <v>18</v>
      </c>
      <c r="E1361" s="15" t="s">
        <v>553</v>
      </c>
      <c r="F1361" s="14"/>
      <c r="G1361" s="85">
        <f>G1364+G1362</f>
        <v>0</v>
      </c>
      <c r="H1361" s="85">
        <f t="shared" ref="H1361:I1361" si="389">H1364+H1362</f>
        <v>0</v>
      </c>
      <c r="I1361" s="85">
        <f t="shared" si="389"/>
        <v>0</v>
      </c>
      <c r="J1361" s="1"/>
    </row>
    <row r="1362" spans="1:18" ht="19.5" hidden="1" customHeight="1">
      <c r="A1362" s="127" t="s">
        <v>152</v>
      </c>
      <c r="B1362" s="14">
        <v>757</v>
      </c>
      <c r="C1362" s="15" t="s">
        <v>43</v>
      </c>
      <c r="D1362" s="15" t="s">
        <v>18</v>
      </c>
      <c r="E1362" s="15" t="s">
        <v>553</v>
      </c>
      <c r="F1362" s="14">
        <v>500</v>
      </c>
      <c r="G1362" s="85">
        <f>G1363</f>
        <v>0</v>
      </c>
      <c r="H1362" s="70"/>
      <c r="I1362" s="70"/>
      <c r="J1362" s="1"/>
    </row>
    <row r="1363" spans="1:18" ht="21.75" hidden="1" customHeight="1">
      <c r="A1363" s="127" t="s">
        <v>172</v>
      </c>
      <c r="B1363" s="14">
        <v>757</v>
      </c>
      <c r="C1363" s="15" t="s">
        <v>43</v>
      </c>
      <c r="D1363" s="15" t="s">
        <v>18</v>
      </c>
      <c r="E1363" s="15" t="s">
        <v>553</v>
      </c>
      <c r="F1363" s="14">
        <v>520</v>
      </c>
      <c r="G1363" s="85">
        <f>прил4!G243</f>
        <v>0</v>
      </c>
      <c r="H1363" s="70"/>
      <c r="I1363" s="70"/>
      <c r="J1363" s="1"/>
    </row>
    <row r="1364" spans="1:18" hidden="1">
      <c r="A1364" s="16" t="s">
        <v>62</v>
      </c>
      <c r="B1364" s="14">
        <v>757</v>
      </c>
      <c r="C1364" s="15" t="s">
        <v>43</v>
      </c>
      <c r="D1364" s="15" t="s">
        <v>18</v>
      </c>
      <c r="E1364" s="15" t="s">
        <v>553</v>
      </c>
      <c r="F1364" s="15" t="s">
        <v>63</v>
      </c>
      <c r="G1364" s="85">
        <f>G1365</f>
        <v>0</v>
      </c>
      <c r="H1364" s="8">
        <f>H1365</f>
        <v>0</v>
      </c>
      <c r="I1364" s="8">
        <f>I1365</f>
        <v>0</v>
      </c>
      <c r="J1364" s="1"/>
    </row>
    <row r="1365" spans="1:18" hidden="1">
      <c r="A1365" s="16" t="s">
        <v>174</v>
      </c>
      <c r="B1365" s="14">
        <v>757</v>
      </c>
      <c r="C1365" s="15" t="s">
        <v>43</v>
      </c>
      <c r="D1365" s="15" t="s">
        <v>18</v>
      </c>
      <c r="E1365" s="15" t="s">
        <v>553</v>
      </c>
      <c r="F1365" s="15" t="s">
        <v>175</v>
      </c>
      <c r="G1365" s="85">
        <f>прил4!G247</f>
        <v>0</v>
      </c>
      <c r="H1365" s="85">
        <v>0</v>
      </c>
      <c r="I1365" s="85">
        <v>0</v>
      </c>
      <c r="J1365" s="1"/>
    </row>
    <row r="1366" spans="1:18" ht="84" hidden="1" customHeight="1">
      <c r="A1366" s="16" t="s">
        <v>484</v>
      </c>
      <c r="B1366" s="14">
        <v>757</v>
      </c>
      <c r="C1366" s="15" t="s">
        <v>25</v>
      </c>
      <c r="D1366" s="15" t="s">
        <v>69</v>
      </c>
      <c r="E1366" s="15" t="s">
        <v>654</v>
      </c>
      <c r="F1366" s="15"/>
      <c r="G1366" s="70">
        <f>G1367</f>
        <v>0</v>
      </c>
      <c r="H1366" s="70">
        <v>0</v>
      </c>
      <c r="I1366" s="70">
        <v>0</v>
      </c>
      <c r="J1366" s="1"/>
    </row>
    <row r="1367" spans="1:18" ht="60" hidden="1" customHeight="1">
      <c r="A1367" s="16" t="s">
        <v>29</v>
      </c>
      <c r="B1367" s="14">
        <v>757</v>
      </c>
      <c r="C1367" s="15" t="s">
        <v>25</v>
      </c>
      <c r="D1367" s="15" t="s">
        <v>69</v>
      </c>
      <c r="E1367" s="15" t="s">
        <v>654</v>
      </c>
      <c r="F1367" s="15" t="s">
        <v>30</v>
      </c>
      <c r="G1367" s="70">
        <f>G1368</f>
        <v>0</v>
      </c>
      <c r="H1367" s="70">
        <v>0</v>
      </c>
      <c r="I1367" s="70">
        <v>0</v>
      </c>
      <c r="J1367" s="70">
        <f t="shared" ref="J1367:K1367" si="390">J1368</f>
        <v>0</v>
      </c>
      <c r="K1367" s="70">
        <f t="shared" si="390"/>
        <v>0</v>
      </c>
    </row>
    <row r="1368" spans="1:18" ht="60" hidden="1" customHeight="1">
      <c r="A1368" s="16" t="s">
        <v>31</v>
      </c>
      <c r="B1368" s="14">
        <v>757</v>
      </c>
      <c r="C1368" s="15" t="s">
        <v>25</v>
      </c>
      <c r="D1368" s="15" t="s">
        <v>69</v>
      </c>
      <c r="E1368" s="15" t="s">
        <v>654</v>
      </c>
      <c r="F1368" s="15" t="s">
        <v>32</v>
      </c>
      <c r="G1368" s="70"/>
      <c r="H1368" s="70"/>
      <c r="I1368" s="70"/>
      <c r="J1368" s="1"/>
    </row>
    <row r="1369" spans="1:18" s="3" customFormat="1" ht="26.4" hidden="1">
      <c r="A1369" s="82" t="s">
        <v>1066</v>
      </c>
      <c r="B1369" s="145">
        <v>757</v>
      </c>
      <c r="C1369" s="84" t="s">
        <v>25</v>
      </c>
      <c r="D1369" s="84" t="s">
        <v>69</v>
      </c>
      <c r="E1369" s="84" t="s">
        <v>1081</v>
      </c>
      <c r="F1369" s="84"/>
      <c r="G1369" s="87">
        <f t="shared" ref="G1369:I1370" si="391">G1370</f>
        <v>0</v>
      </c>
      <c r="H1369" s="87">
        <f t="shared" si="391"/>
        <v>0</v>
      </c>
      <c r="I1369" s="87">
        <f t="shared" si="391"/>
        <v>0</v>
      </c>
      <c r="J1369" s="173"/>
      <c r="K1369" s="194"/>
      <c r="L1369" s="194"/>
      <c r="M1369" s="194"/>
      <c r="N1369" s="194"/>
      <c r="O1369" s="194"/>
      <c r="P1369" s="194"/>
      <c r="Q1369" s="194"/>
      <c r="R1369" s="194"/>
    </row>
    <row r="1370" spans="1:18" s="3" customFormat="1" ht="26.4" hidden="1">
      <c r="A1370" s="82" t="s">
        <v>29</v>
      </c>
      <c r="B1370" s="145">
        <v>757</v>
      </c>
      <c r="C1370" s="84" t="s">
        <v>25</v>
      </c>
      <c r="D1370" s="84" t="s">
        <v>69</v>
      </c>
      <c r="E1370" s="84" t="s">
        <v>1081</v>
      </c>
      <c r="F1370" s="84" t="s">
        <v>30</v>
      </c>
      <c r="G1370" s="87">
        <f t="shared" si="391"/>
        <v>0</v>
      </c>
      <c r="H1370" s="87">
        <f t="shared" si="391"/>
        <v>0</v>
      </c>
      <c r="I1370" s="87">
        <f t="shared" si="391"/>
        <v>0</v>
      </c>
      <c r="J1370" s="173"/>
      <c r="K1370" s="194"/>
      <c r="L1370" s="194"/>
      <c r="M1370" s="194"/>
      <c r="N1370" s="194"/>
      <c r="O1370" s="194"/>
      <c r="P1370" s="194"/>
      <c r="Q1370" s="194"/>
      <c r="R1370" s="194"/>
    </row>
    <row r="1371" spans="1:18" s="3" customFormat="1" hidden="1">
      <c r="A1371" s="82" t="s">
        <v>31</v>
      </c>
      <c r="B1371" s="145">
        <v>757</v>
      </c>
      <c r="C1371" s="84" t="s">
        <v>25</v>
      </c>
      <c r="D1371" s="84" t="s">
        <v>69</v>
      </c>
      <c r="E1371" s="84" t="s">
        <v>1081</v>
      </c>
      <c r="F1371" s="84" t="s">
        <v>32</v>
      </c>
      <c r="G1371" s="87">
        <f>прил4!G118+прил4!G442</f>
        <v>0</v>
      </c>
      <c r="H1371" s="87">
        <v>0</v>
      </c>
      <c r="I1371" s="87">
        <v>0</v>
      </c>
      <c r="J1371" s="173"/>
      <c r="K1371" s="194"/>
      <c r="L1371" s="194"/>
      <c r="M1371" s="194"/>
      <c r="N1371" s="194"/>
      <c r="O1371" s="194"/>
      <c r="P1371" s="194"/>
      <c r="Q1371" s="194"/>
      <c r="R1371" s="194"/>
    </row>
    <row r="1372" spans="1:18" ht="28.5" hidden="1" customHeight="1">
      <c r="A1372" s="16" t="s">
        <v>881</v>
      </c>
      <c r="B1372" s="14">
        <v>757</v>
      </c>
      <c r="C1372" s="15" t="s">
        <v>43</v>
      </c>
      <c r="D1372" s="15" t="s">
        <v>18</v>
      </c>
      <c r="E1372" s="15" t="s">
        <v>880</v>
      </c>
      <c r="F1372" s="15"/>
      <c r="G1372" s="70">
        <f>G1373</f>
        <v>0</v>
      </c>
      <c r="H1372" s="70">
        <f t="shared" ref="H1372:I1372" si="392">H1373</f>
        <v>0</v>
      </c>
      <c r="I1372" s="70">
        <f t="shared" si="392"/>
        <v>0</v>
      </c>
      <c r="J1372" s="1"/>
    </row>
    <row r="1373" spans="1:18" ht="42" hidden="1" customHeight="1">
      <c r="A1373" s="16" t="s">
        <v>29</v>
      </c>
      <c r="B1373" s="14">
        <v>757</v>
      </c>
      <c r="C1373" s="15" t="s">
        <v>43</v>
      </c>
      <c r="D1373" s="15" t="s">
        <v>18</v>
      </c>
      <c r="E1373" s="15" t="s">
        <v>880</v>
      </c>
      <c r="F1373" s="15" t="s">
        <v>30</v>
      </c>
      <c r="G1373" s="70">
        <f>G1374</f>
        <v>0</v>
      </c>
      <c r="H1373" s="70">
        <f t="shared" ref="H1373:I1373" si="393">H1374</f>
        <v>0</v>
      </c>
      <c r="I1373" s="70">
        <f t="shared" si="393"/>
        <v>0</v>
      </c>
      <c r="J1373" s="70">
        <f t="shared" ref="J1373:K1373" si="394">J1374</f>
        <v>0</v>
      </c>
      <c r="K1373" s="70">
        <f t="shared" si="394"/>
        <v>0</v>
      </c>
    </row>
    <row r="1374" spans="1:18" ht="30" hidden="1" customHeight="1">
      <c r="A1374" s="16" t="s">
        <v>31</v>
      </c>
      <c r="B1374" s="14">
        <v>757</v>
      </c>
      <c r="C1374" s="15" t="s">
        <v>43</v>
      </c>
      <c r="D1374" s="15" t="s">
        <v>18</v>
      </c>
      <c r="E1374" s="15" t="s">
        <v>880</v>
      </c>
      <c r="F1374" s="15" t="s">
        <v>32</v>
      </c>
      <c r="G1374" s="70">
        <f>прил4!G329</f>
        <v>0</v>
      </c>
      <c r="H1374" s="70">
        <f>прил4!H329</f>
        <v>0</v>
      </c>
      <c r="I1374" s="70">
        <f>прил4!I329</f>
        <v>0</v>
      </c>
      <c r="J1374" s="1"/>
    </row>
    <row r="1375" spans="1:18" s="3" customFormat="1" ht="106.5" customHeight="1">
      <c r="A1375" s="82" t="s">
        <v>1218</v>
      </c>
      <c r="B1375" s="145">
        <v>757</v>
      </c>
      <c r="C1375" s="84" t="s">
        <v>25</v>
      </c>
      <c r="D1375" s="84" t="s">
        <v>69</v>
      </c>
      <c r="E1375" s="84" t="s">
        <v>1217</v>
      </c>
      <c r="F1375" s="84"/>
      <c r="G1375" s="87">
        <f t="shared" ref="G1375:I1379" si="395">G1376</f>
        <v>862950</v>
      </c>
      <c r="H1375" s="87">
        <f t="shared" si="395"/>
        <v>0</v>
      </c>
      <c r="I1375" s="87">
        <f t="shared" si="395"/>
        <v>0</v>
      </c>
      <c r="J1375" s="173"/>
      <c r="K1375" s="194"/>
      <c r="L1375" s="194"/>
      <c r="M1375" s="194"/>
      <c r="N1375" s="194"/>
      <c r="O1375" s="194"/>
      <c r="P1375" s="194"/>
      <c r="Q1375" s="194"/>
      <c r="R1375" s="194"/>
    </row>
    <row r="1376" spans="1:18" s="3" customFormat="1" ht="26.4">
      <c r="A1376" s="82" t="s">
        <v>29</v>
      </c>
      <c r="B1376" s="145">
        <v>757</v>
      </c>
      <c r="C1376" s="84" t="s">
        <v>25</v>
      </c>
      <c r="D1376" s="84" t="s">
        <v>69</v>
      </c>
      <c r="E1376" s="84" t="s">
        <v>1217</v>
      </c>
      <c r="F1376" s="84" t="s">
        <v>30</v>
      </c>
      <c r="G1376" s="87">
        <f t="shared" si="395"/>
        <v>862950</v>
      </c>
      <c r="H1376" s="87">
        <f t="shared" si="395"/>
        <v>0</v>
      </c>
      <c r="I1376" s="87">
        <f t="shared" si="395"/>
        <v>0</v>
      </c>
      <c r="J1376" s="173"/>
      <c r="K1376" s="194"/>
      <c r="L1376" s="194"/>
      <c r="M1376" s="194"/>
      <c r="N1376" s="194"/>
      <c r="O1376" s="194"/>
      <c r="P1376" s="194"/>
      <c r="Q1376" s="194"/>
      <c r="R1376" s="194"/>
    </row>
    <row r="1377" spans="1:18" s="3" customFormat="1">
      <c r="A1377" s="82" t="s">
        <v>31</v>
      </c>
      <c r="B1377" s="145">
        <v>757</v>
      </c>
      <c r="C1377" s="84" t="s">
        <v>25</v>
      </c>
      <c r="D1377" s="84" t="s">
        <v>69</v>
      </c>
      <c r="E1377" s="84" t="s">
        <v>1217</v>
      </c>
      <c r="F1377" s="84" t="s">
        <v>32</v>
      </c>
      <c r="G1377" s="87">
        <f>прил4!G124</f>
        <v>862950</v>
      </c>
      <c r="H1377" s="87">
        <v>0</v>
      </c>
      <c r="I1377" s="87">
        <v>0</v>
      </c>
      <c r="J1377" s="173"/>
      <c r="K1377" s="194"/>
      <c r="L1377" s="194"/>
      <c r="M1377" s="194"/>
      <c r="N1377" s="194"/>
      <c r="O1377" s="194"/>
      <c r="P1377" s="194"/>
      <c r="Q1377" s="194"/>
      <c r="R1377" s="194"/>
    </row>
    <row r="1378" spans="1:18" s="3" customFormat="1" ht="96" customHeight="1">
      <c r="A1378" s="130" t="s">
        <v>1494</v>
      </c>
      <c r="B1378" s="145">
        <v>757</v>
      </c>
      <c r="C1378" s="84" t="s">
        <v>25</v>
      </c>
      <c r="D1378" s="84" t="s">
        <v>69</v>
      </c>
      <c r="E1378" s="84" t="s">
        <v>1219</v>
      </c>
      <c r="F1378" s="84"/>
      <c r="G1378" s="87">
        <f t="shared" si="395"/>
        <v>1506520</v>
      </c>
      <c r="H1378" s="87">
        <f t="shared" si="395"/>
        <v>0</v>
      </c>
      <c r="I1378" s="87">
        <f t="shared" si="395"/>
        <v>0</v>
      </c>
      <c r="J1378" s="173"/>
      <c r="K1378" s="194"/>
      <c r="L1378" s="194"/>
      <c r="M1378" s="194"/>
      <c r="N1378" s="194"/>
      <c r="O1378" s="194"/>
      <c r="P1378" s="194"/>
      <c r="Q1378" s="194"/>
      <c r="R1378" s="194"/>
    </row>
    <row r="1379" spans="1:18" s="3" customFormat="1" ht="26.4">
      <c r="A1379" s="82" t="s">
        <v>29</v>
      </c>
      <c r="B1379" s="145">
        <v>757</v>
      </c>
      <c r="C1379" s="84" t="s">
        <v>25</v>
      </c>
      <c r="D1379" s="84" t="s">
        <v>69</v>
      </c>
      <c r="E1379" s="84" t="s">
        <v>1219</v>
      </c>
      <c r="F1379" s="84" t="s">
        <v>30</v>
      </c>
      <c r="G1379" s="87">
        <f t="shared" si="395"/>
        <v>1506520</v>
      </c>
      <c r="H1379" s="87">
        <f t="shared" si="395"/>
        <v>0</v>
      </c>
      <c r="I1379" s="87">
        <f t="shared" si="395"/>
        <v>0</v>
      </c>
      <c r="J1379" s="173"/>
      <c r="K1379" s="194"/>
      <c r="L1379" s="194"/>
      <c r="M1379" s="194"/>
      <c r="N1379" s="194"/>
      <c r="O1379" s="194"/>
      <c r="P1379" s="194"/>
      <c r="Q1379" s="194"/>
      <c r="R1379" s="194"/>
    </row>
    <row r="1380" spans="1:18" s="3" customFormat="1">
      <c r="A1380" s="82" t="s">
        <v>31</v>
      </c>
      <c r="B1380" s="145">
        <v>757</v>
      </c>
      <c r="C1380" s="84" t="s">
        <v>25</v>
      </c>
      <c r="D1380" s="84" t="s">
        <v>69</v>
      </c>
      <c r="E1380" s="84" t="s">
        <v>1219</v>
      </c>
      <c r="F1380" s="84" t="s">
        <v>32</v>
      </c>
      <c r="G1380" s="87">
        <f>прил4!G127</f>
        <v>1506520</v>
      </c>
      <c r="H1380" s="87">
        <v>0</v>
      </c>
      <c r="I1380" s="87">
        <v>0</v>
      </c>
      <c r="J1380" s="173"/>
      <c r="K1380" s="194"/>
      <c r="L1380" s="194"/>
      <c r="M1380" s="194"/>
      <c r="N1380" s="194"/>
      <c r="O1380" s="194"/>
      <c r="P1380" s="194"/>
      <c r="Q1380" s="194"/>
      <c r="R1380" s="194"/>
    </row>
    <row r="1381" spans="1:18" s="3" customFormat="1" ht="91.5" customHeight="1">
      <c r="A1381" s="82" t="s">
        <v>1495</v>
      </c>
      <c r="B1381" s="145">
        <v>757</v>
      </c>
      <c r="C1381" s="84" t="s">
        <v>43</v>
      </c>
      <c r="D1381" s="84" t="s">
        <v>18</v>
      </c>
      <c r="E1381" s="84" t="s">
        <v>1220</v>
      </c>
      <c r="F1381" s="84"/>
      <c r="G1381" s="87">
        <f t="shared" ref="G1381:I1382" si="396">G1382</f>
        <v>462570</v>
      </c>
      <c r="H1381" s="87">
        <f t="shared" si="396"/>
        <v>0</v>
      </c>
      <c r="I1381" s="87">
        <f t="shared" si="396"/>
        <v>0</v>
      </c>
      <c r="J1381" s="173"/>
      <c r="K1381" s="194"/>
      <c r="L1381" s="194"/>
      <c r="M1381" s="194"/>
      <c r="N1381" s="194"/>
      <c r="O1381" s="194"/>
      <c r="P1381" s="194"/>
      <c r="Q1381" s="194"/>
      <c r="R1381" s="194"/>
    </row>
    <row r="1382" spans="1:18" s="3" customFormat="1" ht="26.4">
      <c r="A1382" s="82" t="s">
        <v>29</v>
      </c>
      <c r="B1382" s="145">
        <v>757</v>
      </c>
      <c r="C1382" s="84" t="s">
        <v>43</v>
      </c>
      <c r="D1382" s="84" t="s">
        <v>18</v>
      </c>
      <c r="E1382" s="84" t="s">
        <v>1220</v>
      </c>
      <c r="F1382" s="84" t="s">
        <v>30</v>
      </c>
      <c r="G1382" s="87">
        <f t="shared" si="396"/>
        <v>462570</v>
      </c>
      <c r="H1382" s="87">
        <f t="shared" si="396"/>
        <v>0</v>
      </c>
      <c r="I1382" s="87">
        <f t="shared" si="396"/>
        <v>0</v>
      </c>
      <c r="J1382" s="173"/>
      <c r="K1382" s="194"/>
      <c r="L1382" s="194"/>
      <c r="M1382" s="194"/>
      <c r="N1382" s="194"/>
      <c r="O1382" s="194"/>
      <c r="P1382" s="194"/>
      <c r="Q1382" s="194"/>
      <c r="R1382" s="194"/>
    </row>
    <row r="1383" spans="1:18" s="3" customFormat="1">
      <c r="A1383" s="82" t="s">
        <v>31</v>
      </c>
      <c r="B1383" s="145">
        <v>757</v>
      </c>
      <c r="C1383" s="84" t="s">
        <v>43</v>
      </c>
      <c r="D1383" s="84" t="s">
        <v>18</v>
      </c>
      <c r="E1383" s="84" t="s">
        <v>1220</v>
      </c>
      <c r="F1383" s="84" t="s">
        <v>32</v>
      </c>
      <c r="G1383" s="87">
        <f>прил4!G451</f>
        <v>462570</v>
      </c>
      <c r="H1383" s="87">
        <f>прил4!H451</f>
        <v>0</v>
      </c>
      <c r="I1383" s="87">
        <f>прил4!I451</f>
        <v>0</v>
      </c>
      <c r="J1383" s="173">
        <f>G1383+G1056</f>
        <v>1087931</v>
      </c>
      <c r="K1383" s="194"/>
      <c r="L1383" s="194"/>
      <c r="M1383" s="194"/>
      <c r="N1383" s="194"/>
      <c r="O1383" s="194"/>
      <c r="P1383" s="194"/>
      <c r="Q1383" s="194"/>
      <c r="R1383" s="194"/>
    </row>
    <row r="1384" spans="1:18" s="3" customFormat="1" ht="118.8">
      <c r="A1384" s="82" t="s">
        <v>1222</v>
      </c>
      <c r="B1384" s="145">
        <v>757</v>
      </c>
      <c r="C1384" s="84" t="s">
        <v>43</v>
      </c>
      <c r="D1384" s="84" t="s">
        <v>18</v>
      </c>
      <c r="E1384" s="84" t="s">
        <v>1221</v>
      </c>
      <c r="F1384" s="84"/>
      <c r="G1384" s="87">
        <f t="shared" ref="G1384:I1385" si="397">G1385</f>
        <v>394500</v>
      </c>
      <c r="H1384" s="87">
        <f t="shared" si="397"/>
        <v>0</v>
      </c>
      <c r="I1384" s="87">
        <f t="shared" si="397"/>
        <v>0</v>
      </c>
      <c r="J1384" s="173"/>
      <c r="K1384" s="194"/>
      <c r="L1384" s="194"/>
      <c r="M1384" s="194"/>
      <c r="N1384" s="194"/>
      <c r="O1384" s="194"/>
      <c r="P1384" s="194"/>
      <c r="Q1384" s="194"/>
      <c r="R1384" s="194"/>
    </row>
    <row r="1385" spans="1:18" s="3" customFormat="1" ht="26.4">
      <c r="A1385" s="82" t="s">
        <v>29</v>
      </c>
      <c r="B1385" s="145">
        <v>757</v>
      </c>
      <c r="C1385" s="84" t="s">
        <v>43</v>
      </c>
      <c r="D1385" s="84" t="s">
        <v>18</v>
      </c>
      <c r="E1385" s="84" t="s">
        <v>1221</v>
      </c>
      <c r="F1385" s="84" t="s">
        <v>30</v>
      </c>
      <c r="G1385" s="87">
        <f t="shared" si="397"/>
        <v>394500</v>
      </c>
      <c r="H1385" s="87">
        <f t="shared" si="397"/>
        <v>0</v>
      </c>
      <c r="I1385" s="87">
        <f t="shared" si="397"/>
        <v>0</v>
      </c>
      <c r="J1385" s="173"/>
      <c r="K1385" s="194"/>
      <c r="L1385" s="194"/>
      <c r="M1385" s="194"/>
      <c r="N1385" s="194"/>
      <c r="O1385" s="194"/>
      <c r="P1385" s="194"/>
      <c r="Q1385" s="194"/>
      <c r="R1385" s="194"/>
    </row>
    <row r="1386" spans="1:18" s="3" customFormat="1">
      <c r="A1386" s="82" t="s">
        <v>31</v>
      </c>
      <c r="B1386" s="145">
        <v>757</v>
      </c>
      <c r="C1386" s="84" t="s">
        <v>43</v>
      </c>
      <c r="D1386" s="84" t="s">
        <v>18</v>
      </c>
      <c r="E1386" s="84" t="s">
        <v>1221</v>
      </c>
      <c r="F1386" s="84" t="s">
        <v>32</v>
      </c>
      <c r="G1386" s="87">
        <f>прил4!G454</f>
        <v>394500</v>
      </c>
      <c r="H1386" s="87">
        <f>прил4!H454</f>
        <v>0</v>
      </c>
      <c r="I1386" s="87">
        <f>прил4!I454</f>
        <v>0</v>
      </c>
      <c r="J1386" s="173">
        <f>G1386+G1059</f>
        <v>410708.74</v>
      </c>
      <c r="K1386" s="194"/>
      <c r="L1386" s="194"/>
      <c r="M1386" s="194"/>
      <c r="N1386" s="194"/>
      <c r="O1386" s="194"/>
      <c r="P1386" s="194"/>
      <c r="Q1386" s="194"/>
      <c r="R1386" s="194"/>
    </row>
    <row r="1387" spans="1:18" s="3" customFormat="1" ht="76.5" customHeight="1">
      <c r="A1387" s="82" t="s">
        <v>1496</v>
      </c>
      <c r="B1387" s="145">
        <v>757</v>
      </c>
      <c r="C1387" s="84" t="s">
        <v>43</v>
      </c>
      <c r="D1387" s="84" t="s">
        <v>18</v>
      </c>
      <c r="E1387" s="84" t="s">
        <v>1223</v>
      </c>
      <c r="F1387" s="84"/>
      <c r="G1387" s="87">
        <f t="shared" ref="G1387:I1388" si="398">G1388</f>
        <v>4577870</v>
      </c>
      <c r="H1387" s="87">
        <f t="shared" si="398"/>
        <v>0</v>
      </c>
      <c r="I1387" s="87">
        <f t="shared" si="398"/>
        <v>0</v>
      </c>
      <c r="J1387" s="173"/>
      <c r="K1387" s="194"/>
      <c r="L1387" s="194"/>
      <c r="M1387" s="194"/>
      <c r="N1387" s="194"/>
      <c r="O1387" s="194"/>
      <c r="P1387" s="194"/>
      <c r="Q1387" s="194"/>
      <c r="R1387" s="194"/>
    </row>
    <row r="1388" spans="1:18" s="3" customFormat="1" ht="26.4">
      <c r="A1388" s="82" t="s">
        <v>29</v>
      </c>
      <c r="B1388" s="145">
        <v>757</v>
      </c>
      <c r="C1388" s="84" t="s">
        <v>43</v>
      </c>
      <c r="D1388" s="84" t="s">
        <v>18</v>
      </c>
      <c r="E1388" s="84" t="s">
        <v>1223</v>
      </c>
      <c r="F1388" s="84" t="s">
        <v>30</v>
      </c>
      <c r="G1388" s="87">
        <f t="shared" si="398"/>
        <v>4577870</v>
      </c>
      <c r="H1388" s="87">
        <f t="shared" si="398"/>
        <v>0</v>
      </c>
      <c r="I1388" s="87">
        <f t="shared" si="398"/>
        <v>0</v>
      </c>
      <c r="J1388" s="173"/>
      <c r="K1388" s="194"/>
      <c r="L1388" s="194"/>
      <c r="M1388" s="194"/>
      <c r="N1388" s="194"/>
      <c r="O1388" s="194"/>
      <c r="P1388" s="194"/>
      <c r="Q1388" s="194"/>
      <c r="R1388" s="194"/>
    </row>
    <row r="1389" spans="1:18" s="3" customFormat="1">
      <c r="A1389" s="82" t="s">
        <v>31</v>
      </c>
      <c r="B1389" s="145">
        <v>757</v>
      </c>
      <c r="C1389" s="84" t="s">
        <v>43</v>
      </c>
      <c r="D1389" s="84" t="s">
        <v>18</v>
      </c>
      <c r="E1389" s="84" t="s">
        <v>1223</v>
      </c>
      <c r="F1389" s="84" t="s">
        <v>32</v>
      </c>
      <c r="G1389" s="87">
        <f>прил4!G457</f>
        <v>4577870</v>
      </c>
      <c r="H1389" s="87">
        <f>прил4!H457</f>
        <v>0</v>
      </c>
      <c r="I1389" s="87">
        <f>прил4!I457</f>
        <v>0</v>
      </c>
      <c r="J1389" s="173">
        <f>G1389+G1065</f>
        <v>6577870</v>
      </c>
      <c r="K1389" s="194"/>
      <c r="L1389" s="194"/>
      <c r="M1389" s="194"/>
      <c r="N1389" s="194"/>
      <c r="O1389" s="194"/>
      <c r="P1389" s="194"/>
      <c r="Q1389" s="194"/>
      <c r="R1389" s="194"/>
    </row>
    <row r="1390" spans="1:18" s="3" customFormat="1" ht="65.25" customHeight="1">
      <c r="A1390" s="82" t="s">
        <v>1225</v>
      </c>
      <c r="B1390" s="145">
        <v>757</v>
      </c>
      <c r="C1390" s="84" t="s">
        <v>43</v>
      </c>
      <c r="D1390" s="84" t="s">
        <v>18</v>
      </c>
      <c r="E1390" s="84" t="s">
        <v>1224</v>
      </c>
      <c r="F1390" s="84"/>
      <c r="G1390" s="87">
        <f t="shared" ref="G1390:I1391" si="399">G1391</f>
        <v>250000</v>
      </c>
      <c r="H1390" s="87">
        <f t="shared" si="399"/>
        <v>0</v>
      </c>
      <c r="I1390" s="87">
        <f t="shared" si="399"/>
        <v>0</v>
      </c>
      <c r="J1390" s="173"/>
      <c r="K1390" s="194"/>
      <c r="L1390" s="194"/>
      <c r="M1390" s="194"/>
      <c r="N1390" s="194"/>
      <c r="O1390" s="194"/>
      <c r="P1390" s="194"/>
      <c r="Q1390" s="194"/>
      <c r="R1390" s="194"/>
    </row>
    <row r="1391" spans="1:18" s="3" customFormat="1" ht="26.4">
      <c r="A1391" s="82" t="s">
        <v>29</v>
      </c>
      <c r="B1391" s="145">
        <v>757</v>
      </c>
      <c r="C1391" s="84" t="s">
        <v>43</v>
      </c>
      <c r="D1391" s="84" t="s">
        <v>18</v>
      </c>
      <c r="E1391" s="84" t="s">
        <v>1224</v>
      </c>
      <c r="F1391" s="84" t="s">
        <v>30</v>
      </c>
      <c r="G1391" s="87">
        <f t="shared" si="399"/>
        <v>250000</v>
      </c>
      <c r="H1391" s="87">
        <f t="shared" si="399"/>
        <v>0</v>
      </c>
      <c r="I1391" s="87">
        <f t="shared" si="399"/>
        <v>0</v>
      </c>
      <c r="J1391" s="173"/>
      <c r="K1391" s="194"/>
      <c r="L1391" s="194"/>
      <c r="M1391" s="194"/>
      <c r="N1391" s="194"/>
      <c r="O1391" s="194"/>
      <c r="P1391" s="194"/>
      <c r="Q1391" s="194"/>
      <c r="R1391" s="194"/>
    </row>
    <row r="1392" spans="1:18" s="3" customFormat="1">
      <c r="A1392" s="82" t="s">
        <v>31</v>
      </c>
      <c r="B1392" s="145">
        <v>757</v>
      </c>
      <c r="C1392" s="84" t="s">
        <v>43</v>
      </c>
      <c r="D1392" s="84" t="s">
        <v>18</v>
      </c>
      <c r="E1392" s="84" t="s">
        <v>1224</v>
      </c>
      <c r="F1392" s="84" t="s">
        <v>32</v>
      </c>
      <c r="G1392" s="87">
        <f>прил4!G460</f>
        <v>250000</v>
      </c>
      <c r="H1392" s="87">
        <f>прил4!H460</f>
        <v>0</v>
      </c>
      <c r="I1392" s="87">
        <f>прил4!I460</f>
        <v>0</v>
      </c>
      <c r="J1392" s="173">
        <f>G1392+G1068</f>
        <v>250000</v>
      </c>
      <c r="K1392" s="194"/>
      <c r="L1392" s="194"/>
      <c r="M1392" s="194"/>
      <c r="N1392" s="194"/>
      <c r="O1392" s="194"/>
      <c r="P1392" s="194"/>
      <c r="Q1392" s="194"/>
      <c r="R1392" s="194"/>
    </row>
    <row r="1393" spans="1:20" ht="37.5" customHeight="1">
      <c r="A1393" s="82" t="s">
        <v>1265</v>
      </c>
      <c r="B1393" s="145">
        <v>757</v>
      </c>
      <c r="C1393" s="84" t="s">
        <v>43</v>
      </c>
      <c r="D1393" s="84" t="s">
        <v>18</v>
      </c>
      <c r="E1393" s="84" t="s">
        <v>1264</v>
      </c>
      <c r="F1393" s="84"/>
      <c r="G1393" s="85">
        <f>G1394</f>
        <v>7747252.75</v>
      </c>
      <c r="H1393" s="85">
        <f t="shared" ref="H1393:I1394" si="400">H1394</f>
        <v>0</v>
      </c>
      <c r="I1393" s="85">
        <f t="shared" si="400"/>
        <v>0</v>
      </c>
      <c r="J1393" s="174"/>
      <c r="K1393" s="181"/>
      <c r="L1393" s="181"/>
      <c r="M1393" s="181"/>
      <c r="N1393" s="181"/>
      <c r="O1393" s="181"/>
      <c r="P1393" s="181"/>
      <c r="Q1393" s="181"/>
      <c r="R1393" s="181"/>
      <c r="S1393" s="1"/>
      <c r="T1393" s="1"/>
    </row>
    <row r="1394" spans="1:20" ht="26.4">
      <c r="A1394" s="82" t="s">
        <v>29</v>
      </c>
      <c r="B1394" s="145">
        <v>757</v>
      </c>
      <c r="C1394" s="84" t="s">
        <v>43</v>
      </c>
      <c r="D1394" s="84" t="s">
        <v>18</v>
      </c>
      <c r="E1394" s="84" t="s">
        <v>1264</v>
      </c>
      <c r="F1394" s="84" t="s">
        <v>30</v>
      </c>
      <c r="G1394" s="85">
        <f>G1395</f>
        <v>7747252.75</v>
      </c>
      <c r="H1394" s="85">
        <f t="shared" si="400"/>
        <v>0</v>
      </c>
      <c r="I1394" s="85">
        <f t="shared" si="400"/>
        <v>0</v>
      </c>
      <c r="J1394" s="174"/>
      <c r="K1394" s="181"/>
      <c r="L1394" s="181"/>
      <c r="M1394" s="181"/>
      <c r="N1394" s="181"/>
      <c r="O1394" s="181"/>
      <c r="P1394" s="181"/>
      <c r="Q1394" s="181"/>
      <c r="R1394" s="181"/>
      <c r="S1394" s="1"/>
      <c r="T1394" s="1"/>
    </row>
    <row r="1395" spans="1:20">
      <c r="A1395" s="82" t="s">
        <v>31</v>
      </c>
      <c r="B1395" s="145">
        <v>757</v>
      </c>
      <c r="C1395" s="84" t="s">
        <v>43</v>
      </c>
      <c r="D1395" s="84" t="s">
        <v>18</v>
      </c>
      <c r="E1395" s="84" t="s">
        <v>1264</v>
      </c>
      <c r="F1395" s="84" t="s">
        <v>32</v>
      </c>
      <c r="G1395" s="8">
        <f>прил4!G332</f>
        <v>7747252.75</v>
      </c>
      <c r="H1395" s="85"/>
      <c r="I1395" s="85"/>
      <c r="J1395" s="174"/>
      <c r="K1395" s="181"/>
      <c r="L1395" s="181"/>
      <c r="M1395" s="181"/>
      <c r="N1395" s="181"/>
      <c r="O1395" s="181"/>
      <c r="P1395" s="181"/>
      <c r="Q1395" s="181"/>
      <c r="R1395" s="181"/>
      <c r="S1395" s="1"/>
      <c r="T1395" s="1"/>
    </row>
    <row r="1396" spans="1:20" ht="52.5" hidden="1" customHeight="1">
      <c r="A1396" s="104" t="s">
        <v>848</v>
      </c>
      <c r="B1396" s="14">
        <v>757</v>
      </c>
      <c r="C1396" s="15" t="s">
        <v>43</v>
      </c>
      <c r="D1396" s="15" t="s">
        <v>18</v>
      </c>
      <c r="E1396" s="15" t="s">
        <v>657</v>
      </c>
      <c r="F1396" s="15"/>
      <c r="G1396" s="70">
        <f>G1397</f>
        <v>0</v>
      </c>
      <c r="H1396" s="70">
        <f t="shared" ref="H1396:K1397" si="401">H1397</f>
        <v>0</v>
      </c>
      <c r="I1396" s="70">
        <f t="shared" si="401"/>
        <v>0</v>
      </c>
      <c r="J1396" s="1"/>
    </row>
    <row r="1397" spans="1:20" ht="36" hidden="1" customHeight="1">
      <c r="A1397" s="16" t="s">
        <v>29</v>
      </c>
      <c r="B1397" s="14">
        <v>757</v>
      </c>
      <c r="C1397" s="15" t="s">
        <v>43</v>
      </c>
      <c r="D1397" s="15" t="s">
        <v>18</v>
      </c>
      <c r="E1397" s="15" t="s">
        <v>657</v>
      </c>
      <c r="F1397" s="15" t="s">
        <v>30</v>
      </c>
      <c r="G1397" s="70">
        <f>G1398</f>
        <v>0</v>
      </c>
      <c r="H1397" s="70">
        <f t="shared" si="401"/>
        <v>0</v>
      </c>
      <c r="I1397" s="70">
        <f t="shared" si="401"/>
        <v>0</v>
      </c>
      <c r="J1397" s="70">
        <f t="shared" si="401"/>
        <v>0</v>
      </c>
      <c r="K1397" s="70">
        <f t="shared" si="401"/>
        <v>0</v>
      </c>
    </row>
    <row r="1398" spans="1:20" ht="26.25" hidden="1" customHeight="1">
      <c r="A1398" s="16" t="s">
        <v>31</v>
      </c>
      <c r="B1398" s="14">
        <v>757</v>
      </c>
      <c r="C1398" s="15" t="s">
        <v>43</v>
      </c>
      <c r="D1398" s="15" t="s">
        <v>18</v>
      </c>
      <c r="E1398" s="15" t="s">
        <v>657</v>
      </c>
      <c r="F1398" s="15" t="s">
        <v>32</v>
      </c>
      <c r="G1398" s="70">
        <f>прил4!G335</f>
        <v>0</v>
      </c>
      <c r="H1398" s="70">
        <f>прил4!H335</f>
        <v>0</v>
      </c>
      <c r="I1398" s="70">
        <f>прил4!I335</f>
        <v>0</v>
      </c>
      <c r="J1398" s="1"/>
    </row>
    <row r="1399" spans="1:20" ht="84" hidden="1" customHeight="1">
      <c r="A1399" s="16" t="s">
        <v>656</v>
      </c>
      <c r="B1399" s="14">
        <v>757</v>
      </c>
      <c r="C1399" s="15" t="s">
        <v>25</v>
      </c>
      <c r="D1399" s="15" t="s">
        <v>69</v>
      </c>
      <c r="E1399" s="15" t="s">
        <v>655</v>
      </c>
      <c r="F1399" s="15"/>
      <c r="G1399" s="70">
        <f>G1400</f>
        <v>0</v>
      </c>
      <c r="H1399" s="70">
        <f>H1400</f>
        <v>0</v>
      </c>
      <c r="I1399" s="70">
        <f>I1400</f>
        <v>0</v>
      </c>
      <c r="J1399" s="1"/>
    </row>
    <row r="1400" spans="1:20" ht="60" hidden="1" customHeight="1">
      <c r="A1400" s="16" t="s">
        <v>29</v>
      </c>
      <c r="B1400" s="14">
        <v>757</v>
      </c>
      <c r="C1400" s="15" t="s">
        <v>25</v>
      </c>
      <c r="D1400" s="15" t="s">
        <v>69</v>
      </c>
      <c r="E1400" s="15" t="s">
        <v>655</v>
      </c>
      <c r="F1400" s="15" t="s">
        <v>30</v>
      </c>
      <c r="G1400" s="70">
        <f>G1401</f>
        <v>0</v>
      </c>
      <c r="H1400" s="70">
        <f t="shared" ref="H1400:K1400" si="402">H1401</f>
        <v>0</v>
      </c>
      <c r="I1400" s="70">
        <f t="shared" si="402"/>
        <v>0</v>
      </c>
      <c r="J1400" s="70">
        <f t="shared" si="402"/>
        <v>0</v>
      </c>
      <c r="K1400" s="70">
        <f t="shared" si="402"/>
        <v>0</v>
      </c>
    </row>
    <row r="1401" spans="1:20" ht="60" hidden="1" customHeight="1">
      <c r="A1401" s="16" t="s">
        <v>31</v>
      </c>
      <c r="B1401" s="14">
        <v>757</v>
      </c>
      <c r="C1401" s="15" t="s">
        <v>25</v>
      </c>
      <c r="D1401" s="15" t="s">
        <v>69</v>
      </c>
      <c r="E1401" s="15" t="s">
        <v>655</v>
      </c>
      <c r="F1401" s="15" t="s">
        <v>32</v>
      </c>
      <c r="G1401" s="70"/>
      <c r="H1401" s="70"/>
      <c r="I1401" s="70"/>
      <c r="J1401" s="1"/>
    </row>
    <row r="1402" spans="1:20" ht="28.5" hidden="1" customHeight="1">
      <c r="A1402" s="16" t="s">
        <v>887</v>
      </c>
      <c r="B1402" s="14">
        <v>757</v>
      </c>
      <c r="C1402" s="15" t="s">
        <v>43</v>
      </c>
      <c r="D1402" s="15" t="s">
        <v>18</v>
      </c>
      <c r="E1402" s="15" t="s">
        <v>886</v>
      </c>
      <c r="F1402" s="15"/>
      <c r="G1402" s="70">
        <f>G1403</f>
        <v>0</v>
      </c>
      <c r="H1402" s="70">
        <f t="shared" ref="H1402:I1402" si="403">H1403</f>
        <v>0</v>
      </c>
      <c r="I1402" s="70">
        <f t="shared" si="403"/>
        <v>0</v>
      </c>
      <c r="J1402" s="173"/>
      <c r="K1402" s="181"/>
      <c r="L1402" s="181"/>
      <c r="M1402" s="181"/>
      <c r="N1402" s="181"/>
      <c r="O1402" s="181"/>
      <c r="P1402" s="181"/>
      <c r="Q1402" s="181"/>
      <c r="R1402" s="181"/>
      <c r="S1402" s="1"/>
      <c r="T1402" s="1"/>
    </row>
    <row r="1403" spans="1:20" ht="36" hidden="1" customHeight="1">
      <c r="A1403" s="16" t="s">
        <v>888</v>
      </c>
      <c r="B1403" s="14">
        <v>757</v>
      </c>
      <c r="C1403" s="15" t="s">
        <v>43</v>
      </c>
      <c r="D1403" s="15" t="s">
        <v>18</v>
      </c>
      <c r="E1403" s="15" t="s">
        <v>885</v>
      </c>
      <c r="F1403" s="15"/>
      <c r="G1403" s="70">
        <f>G1404</f>
        <v>0</v>
      </c>
      <c r="H1403" s="70">
        <f t="shared" ref="H1403:I1404" si="404">H1404</f>
        <v>0</v>
      </c>
      <c r="I1403" s="70">
        <f t="shared" si="404"/>
        <v>0</v>
      </c>
      <c r="J1403" s="173"/>
      <c r="K1403" s="181"/>
      <c r="L1403" s="181"/>
      <c r="M1403" s="181"/>
      <c r="N1403" s="181"/>
      <c r="O1403" s="181"/>
      <c r="P1403" s="181"/>
      <c r="Q1403" s="181"/>
      <c r="R1403" s="181"/>
      <c r="S1403" s="1"/>
      <c r="T1403" s="1"/>
    </row>
    <row r="1404" spans="1:20" ht="41.25" hidden="1" customHeight="1">
      <c r="A1404" s="16" t="s">
        <v>29</v>
      </c>
      <c r="B1404" s="14">
        <v>757</v>
      </c>
      <c r="C1404" s="15" t="s">
        <v>43</v>
      </c>
      <c r="D1404" s="15" t="s">
        <v>18</v>
      </c>
      <c r="E1404" s="15" t="s">
        <v>885</v>
      </c>
      <c r="F1404" s="15" t="s">
        <v>30</v>
      </c>
      <c r="G1404" s="70">
        <f>G1405</f>
        <v>0</v>
      </c>
      <c r="H1404" s="70">
        <f t="shared" si="404"/>
        <v>0</v>
      </c>
      <c r="I1404" s="70">
        <f t="shared" si="404"/>
        <v>0</v>
      </c>
      <c r="J1404" s="173"/>
      <c r="K1404" s="173"/>
      <c r="L1404" s="173"/>
      <c r="M1404" s="181"/>
      <c r="N1404" s="181"/>
      <c r="O1404" s="181"/>
      <c r="P1404" s="181"/>
      <c r="Q1404" s="181"/>
      <c r="R1404" s="181"/>
      <c r="S1404" s="1"/>
      <c r="T1404" s="1"/>
    </row>
    <row r="1405" spans="1:20" ht="22.5" hidden="1" customHeight="1">
      <c r="A1405" s="16" t="s">
        <v>31</v>
      </c>
      <c r="B1405" s="14">
        <v>757</v>
      </c>
      <c r="C1405" s="15" t="s">
        <v>43</v>
      </c>
      <c r="D1405" s="15" t="s">
        <v>18</v>
      </c>
      <c r="E1405" s="15" t="s">
        <v>885</v>
      </c>
      <c r="F1405" s="15" t="s">
        <v>32</v>
      </c>
      <c r="G1405" s="70">
        <f>прил4!G339</f>
        <v>0</v>
      </c>
      <c r="H1405" s="70">
        <f>прил4!H339</f>
        <v>0</v>
      </c>
      <c r="I1405" s="70">
        <f>прил4!I339</f>
        <v>0</v>
      </c>
      <c r="J1405" s="173"/>
      <c r="K1405" s="181"/>
      <c r="L1405" s="181"/>
      <c r="M1405" s="181"/>
      <c r="N1405" s="181"/>
      <c r="O1405" s="181"/>
      <c r="P1405" s="181"/>
      <c r="Q1405" s="181"/>
      <c r="R1405" s="181"/>
      <c r="S1405" s="1"/>
      <c r="T1405" s="1"/>
    </row>
    <row r="1406" spans="1:20" ht="37.5" customHeight="1">
      <c r="A1406" s="16" t="s">
        <v>178</v>
      </c>
      <c r="B1406" s="14">
        <v>757</v>
      </c>
      <c r="C1406" s="15" t="s">
        <v>43</v>
      </c>
      <c r="D1406" s="15" t="s">
        <v>18</v>
      </c>
      <c r="E1406" s="15" t="s">
        <v>177</v>
      </c>
      <c r="F1406" s="15"/>
      <c r="G1406" s="8">
        <f>G1407</f>
        <v>1470600</v>
      </c>
      <c r="H1406" s="8">
        <f t="shared" ref="H1406:I1407" si="405">H1407</f>
        <v>0</v>
      </c>
      <c r="I1406" s="8">
        <f t="shared" si="405"/>
        <v>0</v>
      </c>
      <c r="J1406" s="1"/>
    </row>
    <row r="1407" spans="1:20" ht="26.4">
      <c r="A1407" s="16" t="s">
        <v>29</v>
      </c>
      <c r="B1407" s="14">
        <v>757</v>
      </c>
      <c r="C1407" s="15" t="s">
        <v>43</v>
      </c>
      <c r="D1407" s="15" t="s">
        <v>18</v>
      </c>
      <c r="E1407" s="15" t="s">
        <v>177</v>
      </c>
      <c r="F1407" s="15" t="s">
        <v>30</v>
      </c>
      <c r="G1407" s="8">
        <f>G1408</f>
        <v>1470600</v>
      </c>
      <c r="H1407" s="8">
        <f t="shared" si="405"/>
        <v>0</v>
      </c>
      <c r="I1407" s="8">
        <f t="shared" si="405"/>
        <v>0</v>
      </c>
      <c r="J1407" s="1"/>
    </row>
    <row r="1408" spans="1:20">
      <c r="A1408" s="16" t="s">
        <v>31</v>
      </c>
      <c r="B1408" s="14">
        <v>757</v>
      </c>
      <c r="C1408" s="15" t="s">
        <v>43</v>
      </c>
      <c r="D1408" s="15" t="s">
        <v>18</v>
      </c>
      <c r="E1408" s="15" t="s">
        <v>177</v>
      </c>
      <c r="F1408" s="15" t="s">
        <v>32</v>
      </c>
      <c r="G1408" s="8">
        <f>прил4!G326</f>
        <v>1470600</v>
      </c>
      <c r="H1408" s="8">
        <f>прил4!H326</f>
        <v>0</v>
      </c>
      <c r="I1408" s="8">
        <f>прил4!I326</f>
        <v>0</v>
      </c>
      <c r="J1408" s="1"/>
    </row>
    <row r="1409" spans="1:20" ht="101.25" hidden="1" customHeight="1">
      <c r="A1409" s="16" t="s">
        <v>266</v>
      </c>
      <c r="B1409" s="14">
        <v>757</v>
      </c>
      <c r="C1409" s="15" t="s">
        <v>25</v>
      </c>
      <c r="D1409" s="15" t="s">
        <v>69</v>
      </c>
      <c r="E1409" s="15" t="s">
        <v>735</v>
      </c>
      <c r="F1409" s="15"/>
      <c r="G1409" s="70">
        <f>G1410</f>
        <v>0</v>
      </c>
      <c r="H1409" s="70">
        <f t="shared" ref="H1409:K1410" si="406">H1410</f>
        <v>0</v>
      </c>
      <c r="I1409" s="70">
        <f t="shared" si="406"/>
        <v>0</v>
      </c>
      <c r="J1409" s="1"/>
    </row>
    <row r="1410" spans="1:20" ht="47.25" hidden="1" customHeight="1">
      <c r="A1410" s="16" t="s">
        <v>29</v>
      </c>
      <c r="B1410" s="14">
        <v>757</v>
      </c>
      <c r="C1410" s="15" t="s">
        <v>25</v>
      </c>
      <c r="D1410" s="15" t="s">
        <v>69</v>
      </c>
      <c r="E1410" s="15" t="s">
        <v>735</v>
      </c>
      <c r="F1410" s="15" t="s">
        <v>30</v>
      </c>
      <c r="G1410" s="70">
        <f>G1411</f>
        <v>0</v>
      </c>
      <c r="H1410" s="70">
        <f t="shared" si="406"/>
        <v>0</v>
      </c>
      <c r="I1410" s="70">
        <f t="shared" si="406"/>
        <v>0</v>
      </c>
      <c r="J1410" s="70">
        <f t="shared" si="406"/>
        <v>0</v>
      </c>
      <c r="K1410" s="70">
        <f t="shared" si="406"/>
        <v>0</v>
      </c>
    </row>
    <row r="1411" spans="1:20" ht="41.25" hidden="1" customHeight="1">
      <c r="A1411" s="16" t="s">
        <v>31</v>
      </c>
      <c r="B1411" s="14">
        <v>757</v>
      </c>
      <c r="C1411" s="15" t="s">
        <v>25</v>
      </c>
      <c r="D1411" s="15" t="s">
        <v>69</v>
      </c>
      <c r="E1411" s="15" t="s">
        <v>735</v>
      </c>
      <c r="F1411" s="15" t="s">
        <v>32</v>
      </c>
      <c r="G1411" s="70"/>
      <c r="H1411" s="70">
        <v>0</v>
      </c>
      <c r="I1411" s="70"/>
      <c r="J1411" s="1"/>
    </row>
    <row r="1412" spans="1:20" s="3" customFormat="1" ht="49.5" hidden="1" customHeight="1">
      <c r="A1412" s="137" t="s">
        <v>848</v>
      </c>
      <c r="B1412" s="14">
        <v>757</v>
      </c>
      <c r="C1412" s="15" t="s">
        <v>43</v>
      </c>
      <c r="D1412" s="15" t="s">
        <v>18</v>
      </c>
      <c r="E1412" s="15" t="s">
        <v>847</v>
      </c>
      <c r="F1412" s="15"/>
      <c r="G1412" s="25">
        <f>G1413</f>
        <v>0</v>
      </c>
      <c r="H1412" s="25">
        <f t="shared" ref="G1412:I1413" si="407">H1413</f>
        <v>0</v>
      </c>
      <c r="I1412" s="25">
        <f t="shared" si="407"/>
        <v>0</v>
      </c>
    </row>
    <row r="1413" spans="1:20" ht="26.4" hidden="1">
      <c r="A1413" s="82" t="s">
        <v>29</v>
      </c>
      <c r="B1413" s="14">
        <v>757</v>
      </c>
      <c r="C1413" s="15" t="s">
        <v>43</v>
      </c>
      <c r="D1413" s="15" t="s">
        <v>18</v>
      </c>
      <c r="E1413" s="15" t="s">
        <v>847</v>
      </c>
      <c r="F1413" s="15" t="s">
        <v>30</v>
      </c>
      <c r="G1413" s="8">
        <f t="shared" si="407"/>
        <v>0</v>
      </c>
      <c r="H1413" s="8">
        <f t="shared" si="407"/>
        <v>0</v>
      </c>
      <c r="I1413" s="8">
        <f t="shared" si="407"/>
        <v>0</v>
      </c>
      <c r="J1413" s="1"/>
      <c r="P1413" s="1"/>
      <c r="Q1413" s="1"/>
      <c r="R1413" s="1"/>
      <c r="S1413" s="1"/>
      <c r="T1413" s="1"/>
    </row>
    <row r="1414" spans="1:20" hidden="1">
      <c r="A1414" s="82" t="s">
        <v>31</v>
      </c>
      <c r="B1414" s="14">
        <v>757</v>
      </c>
      <c r="C1414" s="15" t="s">
        <v>43</v>
      </c>
      <c r="D1414" s="15" t="s">
        <v>18</v>
      </c>
      <c r="E1414" s="15" t="s">
        <v>847</v>
      </c>
      <c r="F1414" s="15" t="s">
        <v>32</v>
      </c>
      <c r="G1414" s="167">
        <v>0</v>
      </c>
      <c r="H1414" s="167"/>
      <c r="I1414" s="167">
        <v>0</v>
      </c>
      <c r="J1414" s="1"/>
      <c r="P1414" s="1"/>
      <c r="Q1414" s="1"/>
      <c r="R1414" s="1"/>
      <c r="S1414" s="1"/>
      <c r="T1414" s="1"/>
    </row>
    <row r="1415" spans="1:20" ht="101.25" hidden="1" customHeight="1">
      <c r="A1415" s="16" t="s">
        <v>266</v>
      </c>
      <c r="B1415" s="14">
        <v>757</v>
      </c>
      <c r="C1415" s="15" t="s">
        <v>25</v>
      </c>
      <c r="D1415" s="15" t="s">
        <v>69</v>
      </c>
      <c r="E1415" s="15" t="s">
        <v>565</v>
      </c>
      <c r="F1415" s="15"/>
      <c r="G1415" s="70">
        <f>G1416+G1419</f>
        <v>0</v>
      </c>
      <c r="H1415" s="70">
        <f t="shared" ref="H1415:K1416" si="408">H1416</f>
        <v>0</v>
      </c>
      <c r="I1415" s="70">
        <f t="shared" si="408"/>
        <v>0</v>
      </c>
      <c r="J1415" s="1"/>
    </row>
    <row r="1416" spans="1:20" ht="47.25" hidden="1" customHeight="1">
      <c r="A1416" s="16" t="s">
        <v>29</v>
      </c>
      <c r="B1416" s="14">
        <v>757</v>
      </c>
      <c r="C1416" s="15" t="s">
        <v>25</v>
      </c>
      <c r="D1416" s="15" t="s">
        <v>69</v>
      </c>
      <c r="E1416" s="15" t="s">
        <v>565</v>
      </c>
      <c r="F1416" s="15" t="s">
        <v>30</v>
      </c>
      <c r="G1416" s="70">
        <f>G1417</f>
        <v>0</v>
      </c>
      <c r="H1416" s="70">
        <f t="shared" si="408"/>
        <v>0</v>
      </c>
      <c r="I1416" s="70">
        <f t="shared" si="408"/>
        <v>0</v>
      </c>
      <c r="J1416" s="70">
        <f t="shared" si="408"/>
        <v>0</v>
      </c>
      <c r="K1416" s="70">
        <f t="shared" si="408"/>
        <v>0</v>
      </c>
    </row>
    <row r="1417" spans="1:20" ht="41.25" hidden="1" customHeight="1">
      <c r="A1417" s="16" t="s">
        <v>31</v>
      </c>
      <c r="B1417" s="14">
        <v>757</v>
      </c>
      <c r="C1417" s="15" t="s">
        <v>25</v>
      </c>
      <c r="D1417" s="15" t="s">
        <v>69</v>
      </c>
      <c r="E1417" s="15" t="s">
        <v>565</v>
      </c>
      <c r="F1417" s="15" t="s">
        <v>32</v>
      </c>
      <c r="G1417" s="70">
        <f>прил4!G94</f>
        <v>0</v>
      </c>
      <c r="H1417" s="70">
        <f>прил4!H94</f>
        <v>0</v>
      </c>
      <c r="I1417" s="70">
        <f>прил4!I94</f>
        <v>0</v>
      </c>
      <c r="J1417" s="1"/>
    </row>
    <row r="1418" spans="1:20" ht="47.25" hidden="1" customHeight="1">
      <c r="A1418" s="82" t="s">
        <v>62</v>
      </c>
      <c r="B1418" s="14">
        <v>757</v>
      </c>
      <c r="C1418" s="15" t="s">
        <v>25</v>
      </c>
      <c r="D1418" s="15" t="s">
        <v>69</v>
      </c>
      <c r="E1418" s="15" t="s">
        <v>565</v>
      </c>
      <c r="F1418" s="15" t="s">
        <v>63</v>
      </c>
      <c r="G1418" s="70">
        <f>G1419</f>
        <v>0</v>
      </c>
      <c r="H1418" s="70">
        <f t="shared" ref="H1418:K1418" si="409">H1419</f>
        <v>0</v>
      </c>
      <c r="I1418" s="70">
        <f t="shared" si="409"/>
        <v>0</v>
      </c>
      <c r="J1418" s="70">
        <f t="shared" si="409"/>
        <v>0</v>
      </c>
      <c r="K1418" s="70">
        <f t="shared" si="409"/>
        <v>0</v>
      </c>
    </row>
    <row r="1419" spans="1:20" ht="41.25" hidden="1" customHeight="1">
      <c r="A1419" s="82" t="s">
        <v>174</v>
      </c>
      <c r="B1419" s="14">
        <v>757</v>
      </c>
      <c r="C1419" s="15" t="s">
        <v>25</v>
      </c>
      <c r="D1419" s="15" t="s">
        <v>69</v>
      </c>
      <c r="E1419" s="15" t="s">
        <v>565</v>
      </c>
      <c r="F1419" s="15" t="s">
        <v>175</v>
      </c>
      <c r="G1419" s="70">
        <f>прил4!G96</f>
        <v>0</v>
      </c>
      <c r="H1419" s="70">
        <f>прил4!H96</f>
        <v>0</v>
      </c>
      <c r="I1419" s="70">
        <f>прил4!I96</f>
        <v>0</v>
      </c>
      <c r="J1419" s="1"/>
    </row>
    <row r="1420" spans="1:20" ht="84" hidden="1" customHeight="1">
      <c r="A1420" s="16" t="s">
        <v>737</v>
      </c>
      <c r="B1420" s="14">
        <v>757</v>
      </c>
      <c r="C1420" s="15" t="s">
        <v>43</v>
      </c>
      <c r="D1420" s="15" t="s">
        <v>18</v>
      </c>
      <c r="E1420" s="15" t="s">
        <v>736</v>
      </c>
      <c r="F1420" s="15"/>
      <c r="G1420" s="70">
        <f>G1421</f>
        <v>0</v>
      </c>
      <c r="H1420" s="70">
        <f t="shared" ref="H1420:K1421" si="410">H1421</f>
        <v>0</v>
      </c>
      <c r="I1420" s="70">
        <f t="shared" si="410"/>
        <v>0</v>
      </c>
      <c r="J1420" s="1"/>
    </row>
    <row r="1421" spans="1:20" ht="60" hidden="1" customHeight="1">
      <c r="A1421" s="82" t="s">
        <v>62</v>
      </c>
      <c r="B1421" s="14">
        <v>757</v>
      </c>
      <c r="C1421" s="15" t="s">
        <v>43</v>
      </c>
      <c r="D1421" s="15" t="s">
        <v>18</v>
      </c>
      <c r="E1421" s="15" t="s">
        <v>792</v>
      </c>
      <c r="F1421" s="15" t="s">
        <v>63</v>
      </c>
      <c r="G1421" s="70">
        <f>G1422</f>
        <v>0</v>
      </c>
      <c r="H1421" s="70">
        <f t="shared" si="410"/>
        <v>0</v>
      </c>
      <c r="I1421" s="70">
        <f t="shared" si="410"/>
        <v>0</v>
      </c>
      <c r="J1421" s="70">
        <f t="shared" si="410"/>
        <v>0</v>
      </c>
      <c r="K1421" s="70">
        <f t="shared" si="410"/>
        <v>0</v>
      </c>
    </row>
    <row r="1422" spans="1:20" ht="60" hidden="1" customHeight="1">
      <c r="A1422" s="82" t="s">
        <v>174</v>
      </c>
      <c r="B1422" s="14">
        <v>757</v>
      </c>
      <c r="C1422" s="15" t="s">
        <v>43</v>
      </c>
      <c r="D1422" s="15" t="s">
        <v>18</v>
      </c>
      <c r="E1422" s="15" t="s">
        <v>736</v>
      </c>
      <c r="F1422" s="15" t="s">
        <v>175</v>
      </c>
      <c r="G1422" s="70">
        <f>прил4!G342</f>
        <v>0</v>
      </c>
      <c r="H1422" s="70">
        <v>0</v>
      </c>
      <c r="I1422" s="70">
        <v>0</v>
      </c>
      <c r="J1422" s="1"/>
    </row>
    <row r="1423" spans="1:20" ht="84" hidden="1" customHeight="1">
      <c r="A1423" s="16" t="s">
        <v>737</v>
      </c>
      <c r="B1423" s="14">
        <v>757</v>
      </c>
      <c r="C1423" s="15" t="s">
        <v>43</v>
      </c>
      <c r="D1423" s="15" t="s">
        <v>18</v>
      </c>
      <c r="E1423" s="15" t="s">
        <v>547</v>
      </c>
      <c r="F1423" s="15"/>
      <c r="G1423" s="70">
        <f>G1424</f>
        <v>0</v>
      </c>
      <c r="H1423" s="70">
        <f t="shared" ref="H1423:K1424" si="411">H1424</f>
        <v>0</v>
      </c>
      <c r="I1423" s="70">
        <f t="shared" si="411"/>
        <v>0</v>
      </c>
      <c r="J1423" s="1"/>
    </row>
    <row r="1424" spans="1:20" ht="60" hidden="1" customHeight="1">
      <c r="A1424" s="16" t="s">
        <v>29</v>
      </c>
      <c r="B1424" s="14">
        <v>757</v>
      </c>
      <c r="C1424" s="15" t="s">
        <v>43</v>
      </c>
      <c r="D1424" s="15" t="s">
        <v>18</v>
      </c>
      <c r="E1424" s="15" t="s">
        <v>547</v>
      </c>
      <c r="F1424" s="15" t="s">
        <v>30</v>
      </c>
      <c r="G1424" s="70">
        <f>G1425</f>
        <v>0</v>
      </c>
      <c r="H1424" s="70">
        <f t="shared" si="411"/>
        <v>0</v>
      </c>
      <c r="I1424" s="70">
        <f t="shared" si="411"/>
        <v>0</v>
      </c>
      <c r="J1424" s="70">
        <f t="shared" si="411"/>
        <v>0</v>
      </c>
      <c r="K1424" s="70">
        <f t="shared" si="411"/>
        <v>0</v>
      </c>
    </row>
    <row r="1425" spans="1:20" ht="60" hidden="1" customHeight="1">
      <c r="A1425" s="16" t="s">
        <v>31</v>
      </c>
      <c r="B1425" s="14">
        <v>757</v>
      </c>
      <c r="C1425" s="15" t="s">
        <v>43</v>
      </c>
      <c r="D1425" s="15" t="s">
        <v>18</v>
      </c>
      <c r="E1425" s="15" t="s">
        <v>547</v>
      </c>
      <c r="F1425" s="15" t="s">
        <v>32</v>
      </c>
      <c r="G1425" s="70">
        <f>прил4!G345</f>
        <v>0</v>
      </c>
      <c r="H1425" s="70">
        <v>0</v>
      </c>
      <c r="I1425" s="70">
        <v>0</v>
      </c>
      <c r="J1425" s="1"/>
    </row>
    <row r="1426" spans="1:20" ht="27.75" hidden="1" customHeight="1">
      <c r="A1426" s="82" t="s">
        <v>878</v>
      </c>
      <c r="B1426" s="14">
        <v>757</v>
      </c>
      <c r="C1426" s="15" t="s">
        <v>43</v>
      </c>
      <c r="D1426" s="15" t="s">
        <v>18</v>
      </c>
      <c r="E1426" s="15" t="s">
        <v>879</v>
      </c>
      <c r="F1426" s="15"/>
      <c r="G1426" s="8">
        <f>G1427</f>
        <v>0</v>
      </c>
      <c r="H1426" s="8">
        <f t="shared" ref="H1426:I1426" si="412">H1427</f>
        <v>0</v>
      </c>
      <c r="I1426" s="8">
        <f t="shared" si="412"/>
        <v>0</v>
      </c>
      <c r="J1426" s="174"/>
      <c r="K1426" s="90"/>
      <c r="L1426" s="90"/>
      <c r="M1426" s="90"/>
      <c r="N1426" s="90"/>
      <c r="P1426" s="1"/>
      <c r="Q1426" s="1"/>
      <c r="R1426" s="1"/>
      <c r="S1426" s="1"/>
      <c r="T1426" s="1"/>
    </row>
    <row r="1427" spans="1:20" s="3" customFormat="1" ht="22.5" hidden="1" customHeight="1">
      <c r="A1427" s="137" t="s">
        <v>849</v>
      </c>
      <c r="B1427" s="14">
        <v>757</v>
      </c>
      <c r="C1427" s="15" t="s">
        <v>43</v>
      </c>
      <c r="D1427" s="15" t="s">
        <v>18</v>
      </c>
      <c r="E1427" s="15" t="s">
        <v>877</v>
      </c>
      <c r="F1427" s="15"/>
      <c r="G1427" s="25">
        <f>G1428</f>
        <v>0</v>
      </c>
      <c r="H1427" s="25">
        <f t="shared" ref="G1427:I1428" si="413">H1428</f>
        <v>0</v>
      </c>
      <c r="I1427" s="25">
        <f t="shared" si="413"/>
        <v>0</v>
      </c>
    </row>
    <row r="1428" spans="1:20" ht="26.4" hidden="1">
      <c r="A1428" s="82" t="s">
        <v>29</v>
      </c>
      <c r="B1428" s="14">
        <v>757</v>
      </c>
      <c r="C1428" s="15" t="s">
        <v>43</v>
      </c>
      <c r="D1428" s="15" t="s">
        <v>18</v>
      </c>
      <c r="E1428" s="15" t="s">
        <v>877</v>
      </c>
      <c r="F1428" s="15" t="s">
        <v>30</v>
      </c>
      <c r="G1428" s="8">
        <f t="shared" si="413"/>
        <v>0</v>
      </c>
      <c r="H1428" s="8">
        <f t="shared" si="413"/>
        <v>0</v>
      </c>
      <c r="I1428" s="8">
        <f t="shared" si="413"/>
        <v>0</v>
      </c>
      <c r="J1428" s="1"/>
      <c r="P1428" s="1"/>
      <c r="Q1428" s="1"/>
      <c r="R1428" s="1"/>
      <c r="S1428" s="1"/>
      <c r="T1428" s="1"/>
    </row>
    <row r="1429" spans="1:20" hidden="1">
      <c r="A1429" s="82" t="s">
        <v>31</v>
      </c>
      <c r="B1429" s="14">
        <v>757</v>
      </c>
      <c r="C1429" s="15" t="s">
        <v>43</v>
      </c>
      <c r="D1429" s="15" t="s">
        <v>18</v>
      </c>
      <c r="E1429" s="15" t="s">
        <v>877</v>
      </c>
      <c r="F1429" s="15" t="s">
        <v>32</v>
      </c>
      <c r="G1429" s="8">
        <f>прил4!G284</f>
        <v>0</v>
      </c>
      <c r="H1429" s="8">
        <v>0</v>
      </c>
      <c r="I1429" s="8">
        <v>0</v>
      </c>
      <c r="J1429" s="1"/>
      <c r="P1429" s="1"/>
      <c r="Q1429" s="1"/>
      <c r="R1429" s="1"/>
      <c r="S1429" s="1"/>
      <c r="T1429" s="1"/>
    </row>
    <row r="1430" spans="1:20" ht="37.5" customHeight="1">
      <c r="A1430" s="104" t="s">
        <v>1289</v>
      </c>
      <c r="B1430" s="145">
        <v>757</v>
      </c>
      <c r="C1430" s="84" t="s">
        <v>43</v>
      </c>
      <c r="D1430" s="84" t="s">
        <v>18</v>
      </c>
      <c r="E1430" s="84" t="s">
        <v>1288</v>
      </c>
      <c r="F1430" s="84"/>
      <c r="G1430" s="85">
        <f t="shared" ref="G1430:I1431" si="414">G1431</f>
        <v>3693333.33</v>
      </c>
      <c r="H1430" s="85">
        <f t="shared" si="414"/>
        <v>0</v>
      </c>
      <c r="I1430" s="85">
        <f t="shared" si="414"/>
        <v>0</v>
      </c>
      <c r="J1430" s="174"/>
      <c r="K1430" s="181"/>
      <c r="L1430" s="181"/>
      <c r="M1430" s="181"/>
      <c r="N1430" s="181"/>
      <c r="O1430" s="181"/>
      <c r="P1430" s="181"/>
      <c r="Q1430" s="181"/>
      <c r="R1430" s="181"/>
      <c r="S1430" s="1"/>
      <c r="T1430" s="1"/>
    </row>
    <row r="1431" spans="1:20" ht="26.4">
      <c r="A1431" s="82" t="s">
        <v>29</v>
      </c>
      <c r="B1431" s="145">
        <v>757</v>
      </c>
      <c r="C1431" s="84" t="s">
        <v>43</v>
      </c>
      <c r="D1431" s="84" t="s">
        <v>18</v>
      </c>
      <c r="E1431" s="84" t="s">
        <v>1288</v>
      </c>
      <c r="F1431" s="84" t="s">
        <v>30</v>
      </c>
      <c r="G1431" s="85">
        <f t="shared" si="414"/>
        <v>3693333.33</v>
      </c>
      <c r="H1431" s="85">
        <f t="shared" si="414"/>
        <v>0</v>
      </c>
      <c r="I1431" s="85">
        <f t="shared" si="414"/>
        <v>0</v>
      </c>
      <c r="J1431" s="174"/>
      <c r="K1431" s="181"/>
      <c r="L1431" s="181"/>
      <c r="M1431" s="181"/>
      <c r="N1431" s="181"/>
      <c r="O1431" s="181"/>
      <c r="P1431" s="181"/>
      <c r="Q1431" s="181"/>
      <c r="R1431" s="181"/>
      <c r="S1431" s="1"/>
      <c r="T1431" s="1"/>
    </row>
    <row r="1432" spans="1:20">
      <c r="A1432" s="82" t="s">
        <v>31</v>
      </c>
      <c r="B1432" s="145">
        <v>757</v>
      </c>
      <c r="C1432" s="84" t="s">
        <v>43</v>
      </c>
      <c r="D1432" s="84" t="s">
        <v>18</v>
      </c>
      <c r="E1432" s="84" t="s">
        <v>1288</v>
      </c>
      <c r="F1432" s="84" t="s">
        <v>32</v>
      </c>
      <c r="G1432" s="85">
        <f>прил4!G348</f>
        <v>3693333.33</v>
      </c>
      <c r="H1432" s="85"/>
      <c r="I1432" s="85"/>
      <c r="J1432" s="174"/>
      <c r="K1432" s="181"/>
      <c r="L1432" s="181"/>
      <c r="M1432" s="181"/>
      <c r="N1432" s="181"/>
      <c r="O1432" s="181"/>
      <c r="P1432" s="181"/>
      <c r="Q1432" s="181"/>
      <c r="R1432" s="181"/>
      <c r="S1432" s="1"/>
      <c r="T1432" s="1"/>
    </row>
    <row r="1433" spans="1:20" s="3" customFormat="1" ht="43.5" customHeight="1">
      <c r="A1433" s="137" t="s">
        <v>1524</v>
      </c>
      <c r="B1433" s="145">
        <v>757</v>
      </c>
      <c r="C1433" s="84" t="s">
        <v>43</v>
      </c>
      <c r="D1433" s="84" t="s">
        <v>18</v>
      </c>
      <c r="E1433" s="84" t="s">
        <v>1523</v>
      </c>
      <c r="F1433" s="84"/>
      <c r="G1433" s="25">
        <f>G1434</f>
        <v>226000</v>
      </c>
      <c r="H1433" s="95">
        <f t="shared" ref="G1433:I1434" si="415">H1434</f>
        <v>0</v>
      </c>
      <c r="I1433" s="95">
        <f t="shared" si="415"/>
        <v>0</v>
      </c>
      <c r="J1433" s="175"/>
      <c r="K1433" s="194"/>
      <c r="L1433" s="194"/>
      <c r="M1433" s="194"/>
      <c r="N1433" s="194"/>
      <c r="O1433" s="194"/>
      <c r="P1433" s="194"/>
      <c r="Q1433" s="194"/>
      <c r="R1433" s="194"/>
    </row>
    <row r="1434" spans="1:20" ht="26.4">
      <c r="A1434" s="82" t="s">
        <v>29</v>
      </c>
      <c r="B1434" s="145">
        <v>757</v>
      </c>
      <c r="C1434" s="84" t="s">
        <v>43</v>
      </c>
      <c r="D1434" s="84" t="s">
        <v>18</v>
      </c>
      <c r="E1434" s="84" t="s">
        <v>1523</v>
      </c>
      <c r="F1434" s="84" t="s">
        <v>30</v>
      </c>
      <c r="G1434" s="8">
        <f t="shared" si="415"/>
        <v>226000</v>
      </c>
      <c r="H1434" s="85">
        <f t="shared" si="415"/>
        <v>0</v>
      </c>
      <c r="I1434" s="85">
        <f t="shared" si="415"/>
        <v>0</v>
      </c>
      <c r="J1434" s="174"/>
      <c r="K1434" s="181"/>
      <c r="L1434" s="181"/>
      <c r="M1434" s="181"/>
      <c r="N1434" s="181"/>
      <c r="O1434" s="181"/>
      <c r="P1434" s="181"/>
      <c r="Q1434" s="181"/>
      <c r="R1434" s="181"/>
      <c r="S1434" s="1"/>
      <c r="T1434" s="1"/>
    </row>
    <row r="1435" spans="1:20">
      <c r="A1435" s="82" t="s">
        <v>31</v>
      </c>
      <c r="B1435" s="145">
        <v>757</v>
      </c>
      <c r="C1435" s="84" t="s">
        <v>43</v>
      </c>
      <c r="D1435" s="84" t="s">
        <v>18</v>
      </c>
      <c r="E1435" s="84" t="s">
        <v>1523</v>
      </c>
      <c r="F1435" s="84" t="s">
        <v>32</v>
      </c>
      <c r="G1435" s="8">
        <f>прил4!G280</f>
        <v>226000</v>
      </c>
      <c r="H1435" s="85"/>
      <c r="I1435" s="85">
        <v>0</v>
      </c>
      <c r="J1435" s="174"/>
      <c r="K1435" s="181"/>
      <c r="L1435" s="181"/>
      <c r="M1435" s="181"/>
      <c r="N1435" s="181"/>
      <c r="O1435" s="181"/>
      <c r="P1435" s="181"/>
      <c r="Q1435" s="181"/>
      <c r="R1435" s="181"/>
      <c r="S1435" s="1"/>
      <c r="T1435" s="1"/>
    </row>
    <row r="1436" spans="1:20" s="76" customFormat="1" ht="40.200000000000003" customHeight="1">
      <c r="A1436" s="341" t="s">
        <v>1137</v>
      </c>
      <c r="B1436" s="35">
        <v>757</v>
      </c>
      <c r="C1436" s="36" t="s">
        <v>71</v>
      </c>
      <c r="D1436" s="36" t="s">
        <v>27</v>
      </c>
      <c r="E1436" s="36" t="s">
        <v>189</v>
      </c>
      <c r="F1436" s="36"/>
      <c r="G1436" s="71">
        <f>G1437+G1443+G1464+G1440</f>
        <v>3314463.9499999997</v>
      </c>
      <c r="H1436" s="71">
        <f t="shared" ref="H1436:I1436" si="416">H1437+H1464</f>
        <v>550000</v>
      </c>
      <c r="I1436" s="71">
        <f t="shared" si="416"/>
        <v>550000</v>
      </c>
      <c r="J1436" s="230">
        <v>18813863</v>
      </c>
      <c r="P1436" s="230"/>
      <c r="Q1436" s="230"/>
      <c r="R1436" s="230"/>
      <c r="S1436" s="230"/>
      <c r="T1436" s="230">
        <f>прил4!G537</f>
        <v>550000</v>
      </c>
    </row>
    <row r="1437" spans="1:20" s="28" customFormat="1" ht="27.75" customHeight="1">
      <c r="A1437" s="37" t="s">
        <v>72</v>
      </c>
      <c r="B1437" s="14">
        <v>757</v>
      </c>
      <c r="C1437" s="15" t="s">
        <v>71</v>
      </c>
      <c r="D1437" s="15" t="s">
        <v>27</v>
      </c>
      <c r="E1437" s="15" t="s">
        <v>200</v>
      </c>
      <c r="F1437" s="15"/>
      <c r="G1437" s="70">
        <f t="shared" ref="G1437:I1438" si="417">G1438</f>
        <v>550000</v>
      </c>
      <c r="H1437" s="70">
        <f t="shared" si="417"/>
        <v>550000</v>
      </c>
      <c r="I1437" s="70">
        <f t="shared" si="417"/>
        <v>550000</v>
      </c>
      <c r="J1437" s="109">
        <v>419925</v>
      </c>
      <c r="P1437" s="109"/>
      <c r="Q1437" s="109"/>
      <c r="R1437" s="109"/>
      <c r="S1437" s="109"/>
      <c r="T1437" s="109"/>
    </row>
    <row r="1438" spans="1:20" s="32" customFormat="1" ht="28.5" customHeight="1">
      <c r="A1438" s="16" t="s">
        <v>35</v>
      </c>
      <c r="B1438" s="14">
        <v>757</v>
      </c>
      <c r="C1438" s="15" t="s">
        <v>71</v>
      </c>
      <c r="D1438" s="15" t="s">
        <v>27</v>
      </c>
      <c r="E1438" s="15" t="s">
        <v>200</v>
      </c>
      <c r="F1438" s="15" t="s">
        <v>36</v>
      </c>
      <c r="G1438" s="70">
        <f t="shared" si="417"/>
        <v>550000</v>
      </c>
      <c r="H1438" s="70">
        <f t="shared" si="417"/>
        <v>550000</v>
      </c>
      <c r="I1438" s="70">
        <f t="shared" si="417"/>
        <v>550000</v>
      </c>
      <c r="J1438" s="31">
        <f>SUM(J1436:J1437)</f>
        <v>19233788</v>
      </c>
      <c r="P1438" s="31"/>
      <c r="Q1438" s="31"/>
      <c r="R1438" s="31"/>
      <c r="S1438" s="31"/>
      <c r="T1438" s="31"/>
    </row>
    <row r="1439" spans="1:20" s="32" customFormat="1" ht="26.4">
      <c r="A1439" s="16" t="s">
        <v>37</v>
      </c>
      <c r="B1439" s="14">
        <v>757</v>
      </c>
      <c r="C1439" s="15" t="s">
        <v>71</v>
      </c>
      <c r="D1439" s="15" t="s">
        <v>27</v>
      </c>
      <c r="E1439" s="15" t="s">
        <v>200</v>
      </c>
      <c r="F1439" s="15" t="s">
        <v>38</v>
      </c>
      <c r="G1439" s="70">
        <f>прил4!G506+прил4!G540</f>
        <v>550000</v>
      </c>
      <c r="H1439" s="70">
        <f>прил4!H506+прил4!H2825+прил4!H540</f>
        <v>550000</v>
      </c>
      <c r="I1439" s="70">
        <f>прил4!I506+прил4!I2825+прил4!I540</f>
        <v>550000</v>
      </c>
      <c r="J1439" s="31"/>
      <c r="P1439" s="31"/>
      <c r="Q1439" s="31"/>
      <c r="R1439" s="31"/>
      <c r="S1439" s="31"/>
      <c r="T1439" s="31"/>
    </row>
    <row r="1440" spans="1:20" s="165" customFormat="1" ht="30" customHeight="1">
      <c r="A1440" s="37" t="s">
        <v>1421</v>
      </c>
      <c r="B1440" s="84" t="s">
        <v>804</v>
      </c>
      <c r="C1440" s="15" t="s">
        <v>71</v>
      </c>
      <c r="D1440" s="15" t="s">
        <v>27</v>
      </c>
      <c r="E1440" s="84" t="s">
        <v>1420</v>
      </c>
      <c r="F1440" s="84"/>
      <c r="G1440" s="87">
        <f>G1441</f>
        <v>50000</v>
      </c>
      <c r="H1440" s="87">
        <f t="shared" ref="H1440:I1440" si="418">H1441</f>
        <v>0</v>
      </c>
      <c r="I1440" s="87">
        <f t="shared" si="418"/>
        <v>0</v>
      </c>
      <c r="J1440" s="173"/>
      <c r="K1440" s="199"/>
      <c r="L1440" s="199"/>
      <c r="M1440" s="199"/>
      <c r="N1440" s="199"/>
      <c r="O1440" s="199"/>
      <c r="P1440" s="199"/>
      <c r="Q1440" s="199"/>
      <c r="R1440" s="199"/>
    </row>
    <row r="1441" spans="1:20" s="220" customFormat="1" ht="28.5" customHeight="1">
      <c r="A1441" s="16" t="s">
        <v>35</v>
      </c>
      <c r="B1441" s="84" t="s">
        <v>804</v>
      </c>
      <c r="C1441" s="15" t="s">
        <v>71</v>
      </c>
      <c r="D1441" s="15" t="s">
        <v>27</v>
      </c>
      <c r="E1441" s="84" t="s">
        <v>1420</v>
      </c>
      <c r="F1441" s="84" t="s">
        <v>36</v>
      </c>
      <c r="G1441" s="87">
        <f>G1442</f>
        <v>50000</v>
      </c>
      <c r="H1441" s="87">
        <f>H1442</f>
        <v>0</v>
      </c>
      <c r="I1441" s="87">
        <f>I1442</f>
        <v>0</v>
      </c>
      <c r="J1441" s="173"/>
      <c r="K1441" s="198"/>
      <c r="L1441" s="198"/>
      <c r="M1441" s="198"/>
      <c r="N1441" s="198"/>
      <c r="O1441" s="198"/>
      <c r="P1441" s="198"/>
      <c r="Q1441" s="198"/>
      <c r="R1441" s="198"/>
    </row>
    <row r="1442" spans="1:20" s="220" customFormat="1" ht="26.4">
      <c r="A1442" s="16" t="s">
        <v>37</v>
      </c>
      <c r="B1442" s="84" t="s">
        <v>804</v>
      </c>
      <c r="C1442" s="15" t="s">
        <v>71</v>
      </c>
      <c r="D1442" s="15" t="s">
        <v>27</v>
      </c>
      <c r="E1442" s="84" t="s">
        <v>1420</v>
      </c>
      <c r="F1442" s="84" t="s">
        <v>38</v>
      </c>
      <c r="G1442" s="87">
        <f>прил4!G2841</f>
        <v>50000</v>
      </c>
      <c r="H1442" s="87">
        <v>0</v>
      </c>
      <c r="I1442" s="87">
        <v>0</v>
      </c>
      <c r="J1442" s="173"/>
      <c r="K1442" s="200"/>
      <c r="L1442" s="198"/>
      <c r="M1442" s="198"/>
      <c r="N1442" s="198"/>
      <c r="O1442" s="198"/>
      <c r="P1442" s="198"/>
      <c r="Q1442" s="198"/>
      <c r="R1442" s="198"/>
    </row>
    <row r="1443" spans="1:20" ht="46.5" customHeight="1">
      <c r="A1443" s="16" t="s">
        <v>1334</v>
      </c>
      <c r="B1443" s="14">
        <v>757</v>
      </c>
      <c r="C1443" s="15" t="s">
        <v>25</v>
      </c>
      <c r="D1443" s="15" t="s">
        <v>27</v>
      </c>
      <c r="E1443" s="15" t="s">
        <v>190</v>
      </c>
      <c r="F1443" s="14"/>
      <c r="G1443" s="70">
        <f t="shared" ref="G1443:I1444" si="419">G1444</f>
        <v>0</v>
      </c>
      <c r="H1443" s="70">
        <f t="shared" si="419"/>
        <v>0</v>
      </c>
      <c r="I1443" s="70">
        <f t="shared" si="419"/>
        <v>0</v>
      </c>
    </row>
    <row r="1444" spans="1:20" ht="26.4">
      <c r="A1444" s="16" t="s">
        <v>29</v>
      </c>
      <c r="B1444" s="14">
        <v>757</v>
      </c>
      <c r="C1444" s="15" t="s">
        <v>25</v>
      </c>
      <c r="D1444" s="15" t="s">
        <v>27</v>
      </c>
      <c r="E1444" s="15" t="s">
        <v>190</v>
      </c>
      <c r="F1444" s="14">
        <v>600</v>
      </c>
      <c r="G1444" s="70">
        <f t="shared" si="419"/>
        <v>0</v>
      </c>
      <c r="H1444" s="70">
        <f t="shared" si="419"/>
        <v>0</v>
      </c>
      <c r="I1444" s="70">
        <f t="shared" si="419"/>
        <v>0</v>
      </c>
    </row>
    <row r="1445" spans="1:20">
      <c r="A1445" s="16" t="s">
        <v>31</v>
      </c>
      <c r="B1445" s="14">
        <v>757</v>
      </c>
      <c r="C1445" s="15" t="s">
        <v>25</v>
      </c>
      <c r="D1445" s="15" t="s">
        <v>27</v>
      </c>
      <c r="E1445" s="15" t="s">
        <v>190</v>
      </c>
      <c r="F1445" s="14">
        <v>610</v>
      </c>
      <c r="G1445" s="70">
        <f>прил4!G526</f>
        <v>0</v>
      </c>
      <c r="H1445" s="70">
        <f>прил4!H492</f>
        <v>0</v>
      </c>
      <c r="I1445" s="70">
        <f>прил4!I492</f>
        <v>0</v>
      </c>
    </row>
    <row r="1446" spans="1:20" ht="36" hidden="1" customHeight="1">
      <c r="A1446" s="16" t="s">
        <v>590</v>
      </c>
      <c r="B1446" s="15" t="s">
        <v>92</v>
      </c>
      <c r="C1446" s="15" t="s">
        <v>25</v>
      </c>
      <c r="D1446" s="15" t="s">
        <v>69</v>
      </c>
      <c r="E1446" s="15" t="s">
        <v>519</v>
      </c>
      <c r="F1446" s="15"/>
      <c r="G1446" s="70">
        <f t="shared" ref="G1446:I1447" si="420">G1447</f>
        <v>0</v>
      </c>
      <c r="H1446" s="70">
        <f t="shared" si="420"/>
        <v>0</v>
      </c>
      <c r="I1446" s="70">
        <f t="shared" si="420"/>
        <v>0</v>
      </c>
      <c r="J1446" s="1"/>
    </row>
    <row r="1447" spans="1:20" ht="26.4" hidden="1">
      <c r="A1447" s="16" t="s">
        <v>29</v>
      </c>
      <c r="B1447" s="15" t="s">
        <v>92</v>
      </c>
      <c r="C1447" s="15" t="s">
        <v>25</v>
      </c>
      <c r="D1447" s="15" t="s">
        <v>69</v>
      </c>
      <c r="E1447" s="15" t="s">
        <v>519</v>
      </c>
      <c r="F1447" s="15" t="s">
        <v>30</v>
      </c>
      <c r="G1447" s="70">
        <f t="shared" si="420"/>
        <v>0</v>
      </c>
      <c r="H1447" s="70">
        <f t="shared" si="420"/>
        <v>0</v>
      </c>
      <c r="I1447" s="70">
        <f t="shared" si="420"/>
        <v>0</v>
      </c>
      <c r="J1447" s="1"/>
    </row>
    <row r="1448" spans="1:20" ht="19.5" hidden="1" customHeight="1">
      <c r="A1448" s="16" t="s">
        <v>31</v>
      </c>
      <c r="B1448" s="15" t="s">
        <v>92</v>
      </c>
      <c r="C1448" s="15" t="s">
        <v>25</v>
      </c>
      <c r="D1448" s="15" t="s">
        <v>69</v>
      </c>
      <c r="E1448" s="15" t="s">
        <v>519</v>
      </c>
      <c r="F1448" s="15" t="s">
        <v>32</v>
      </c>
      <c r="G1448" s="70">
        <f>прил4!G1202+прил4!G494</f>
        <v>0</v>
      </c>
      <c r="H1448" s="70">
        <f>прил4!H1202+прил4!H494</f>
        <v>0</v>
      </c>
      <c r="I1448" s="70">
        <f>прил4!I1202+прил4!I494</f>
        <v>0</v>
      </c>
      <c r="J1448" s="1"/>
    </row>
    <row r="1449" spans="1:20" s="32" customFormat="1" ht="65.25" hidden="1" customHeight="1">
      <c r="A1449" s="16" t="s">
        <v>587</v>
      </c>
      <c r="B1449" s="14">
        <v>757</v>
      </c>
      <c r="C1449" s="15" t="s">
        <v>71</v>
      </c>
      <c r="D1449" s="15" t="s">
        <v>18</v>
      </c>
      <c r="E1449" s="15" t="s">
        <v>586</v>
      </c>
      <c r="F1449" s="15"/>
      <c r="G1449" s="70">
        <f>G1450</f>
        <v>0</v>
      </c>
      <c r="H1449" s="70"/>
      <c r="I1449" s="70"/>
      <c r="P1449" s="31"/>
      <c r="Q1449" s="31"/>
      <c r="R1449" s="31"/>
      <c r="S1449" s="31"/>
      <c r="T1449" s="31"/>
    </row>
    <row r="1450" spans="1:20" s="32" customFormat="1" ht="25.5" hidden="1" customHeight="1">
      <c r="A1450" s="16" t="s">
        <v>29</v>
      </c>
      <c r="B1450" s="14">
        <v>757</v>
      </c>
      <c r="C1450" s="15" t="s">
        <v>71</v>
      </c>
      <c r="D1450" s="15" t="s">
        <v>18</v>
      </c>
      <c r="E1450" s="15" t="s">
        <v>586</v>
      </c>
      <c r="F1450" s="15" t="s">
        <v>30</v>
      </c>
      <c r="G1450" s="70">
        <f>G1451</f>
        <v>0</v>
      </c>
      <c r="H1450" s="70">
        <v>0</v>
      </c>
      <c r="I1450" s="70">
        <v>0</v>
      </c>
      <c r="P1450" s="31"/>
      <c r="Q1450" s="31"/>
      <c r="R1450" s="31"/>
      <c r="S1450" s="31"/>
      <c r="T1450" s="31"/>
    </row>
    <row r="1451" spans="1:20" s="32" customFormat="1" ht="17.25" hidden="1" customHeight="1">
      <c r="A1451" s="16" t="s">
        <v>31</v>
      </c>
      <c r="B1451" s="14">
        <v>757</v>
      </c>
      <c r="C1451" s="15" t="s">
        <v>71</v>
      </c>
      <c r="D1451" s="15" t="s">
        <v>18</v>
      </c>
      <c r="E1451" s="15" t="s">
        <v>586</v>
      </c>
      <c r="F1451" s="15" t="s">
        <v>32</v>
      </c>
      <c r="G1451" s="70">
        <f>прил4!G497</f>
        <v>0</v>
      </c>
      <c r="H1451" s="70">
        <f>прил4!H497</f>
        <v>0</v>
      </c>
      <c r="I1451" s="70">
        <f>прил4!I497</f>
        <v>0</v>
      </c>
      <c r="P1451" s="31"/>
      <c r="Q1451" s="31"/>
      <c r="R1451" s="31"/>
      <c r="S1451" s="31"/>
      <c r="T1451" s="31"/>
    </row>
    <row r="1452" spans="1:20" s="28" customFormat="1" ht="60.75" hidden="1" customHeight="1">
      <c r="A1452" s="37" t="s">
        <v>929</v>
      </c>
      <c r="B1452" s="14">
        <v>793</v>
      </c>
      <c r="C1452" s="15" t="s">
        <v>71</v>
      </c>
      <c r="D1452" s="15" t="s">
        <v>27</v>
      </c>
      <c r="E1452" s="15" t="s">
        <v>909</v>
      </c>
      <c r="F1452" s="15"/>
      <c r="G1452" s="70">
        <f>G1453</f>
        <v>0</v>
      </c>
      <c r="H1452" s="70">
        <f t="shared" ref="H1452:I1452" si="421">H1453</f>
        <v>0</v>
      </c>
      <c r="I1452" s="70">
        <f t="shared" si="421"/>
        <v>0</v>
      </c>
      <c r="P1452" s="109"/>
      <c r="Q1452" s="109"/>
      <c r="R1452" s="109"/>
      <c r="S1452" s="109"/>
      <c r="T1452" s="109"/>
    </row>
    <row r="1453" spans="1:20" s="32" customFormat="1" ht="28.5" hidden="1" customHeight="1">
      <c r="A1453" s="16" t="s">
        <v>29</v>
      </c>
      <c r="B1453" s="14">
        <v>793</v>
      </c>
      <c r="C1453" s="15" t="s">
        <v>71</v>
      </c>
      <c r="D1453" s="15" t="s">
        <v>27</v>
      </c>
      <c r="E1453" s="15" t="s">
        <v>909</v>
      </c>
      <c r="F1453" s="15" t="s">
        <v>30</v>
      </c>
      <c r="G1453" s="70">
        <f>G1454</f>
        <v>0</v>
      </c>
      <c r="H1453" s="70">
        <f>H1454</f>
        <v>0</v>
      </c>
      <c r="I1453" s="70">
        <f>I1454</f>
        <v>0</v>
      </c>
      <c r="P1453" s="31"/>
      <c r="Q1453" s="31"/>
      <c r="R1453" s="31"/>
      <c r="S1453" s="31"/>
      <c r="T1453" s="31"/>
    </row>
    <row r="1454" spans="1:20" s="32" customFormat="1" hidden="1">
      <c r="A1454" s="16" t="s">
        <v>31</v>
      </c>
      <c r="B1454" s="14">
        <v>793</v>
      </c>
      <c r="C1454" s="15" t="s">
        <v>71</v>
      </c>
      <c r="D1454" s="15" t="s">
        <v>27</v>
      </c>
      <c r="E1454" s="15" t="s">
        <v>909</v>
      </c>
      <c r="F1454" s="15" t="s">
        <v>32</v>
      </c>
      <c r="G1454" s="70"/>
      <c r="H1454" s="70">
        <f>прил4!H2828+прил4!H1397+прил4!H1244</f>
        <v>0</v>
      </c>
      <c r="I1454" s="70">
        <f>прил4!I2828+прил4!I1397+прил4!I1244</f>
        <v>0</v>
      </c>
      <c r="J1454" s="31">
        <f>J1461-G1461</f>
        <v>0</v>
      </c>
      <c r="P1454" s="31"/>
      <c r="Q1454" s="31"/>
      <c r="R1454" s="31"/>
      <c r="S1454" s="31"/>
      <c r="T1454" s="31"/>
    </row>
    <row r="1455" spans="1:20" s="28" customFormat="1" ht="31.5" hidden="1" customHeight="1">
      <c r="A1455" s="37" t="s">
        <v>590</v>
      </c>
      <c r="B1455" s="14">
        <v>793</v>
      </c>
      <c r="C1455" s="15" t="s">
        <v>71</v>
      </c>
      <c r="D1455" s="15" t="s">
        <v>27</v>
      </c>
      <c r="E1455" s="15" t="s">
        <v>519</v>
      </c>
      <c r="F1455" s="15"/>
      <c r="G1455" s="70">
        <f>G1456</f>
        <v>0</v>
      </c>
      <c r="H1455" s="70">
        <f t="shared" ref="H1455:I1455" si="422">H1456</f>
        <v>0</v>
      </c>
      <c r="I1455" s="70">
        <f t="shared" si="422"/>
        <v>0</v>
      </c>
      <c r="P1455" s="109"/>
      <c r="Q1455" s="109"/>
      <c r="R1455" s="109"/>
      <c r="S1455" s="109"/>
      <c r="T1455" s="109"/>
    </row>
    <row r="1456" spans="1:20" s="32" customFormat="1" ht="28.5" hidden="1" customHeight="1">
      <c r="A1456" s="16" t="s">
        <v>29</v>
      </c>
      <c r="B1456" s="14">
        <v>793</v>
      </c>
      <c r="C1456" s="15" t="s">
        <v>71</v>
      </c>
      <c r="D1456" s="15" t="s">
        <v>27</v>
      </c>
      <c r="E1456" s="15" t="s">
        <v>519</v>
      </c>
      <c r="F1456" s="15" t="s">
        <v>30</v>
      </c>
      <c r="G1456" s="70">
        <f>G1457</f>
        <v>0</v>
      </c>
      <c r="H1456" s="70">
        <f>H1457</f>
        <v>0</v>
      </c>
      <c r="I1456" s="70">
        <f>I1457</f>
        <v>0</v>
      </c>
      <c r="P1456" s="31"/>
      <c r="Q1456" s="31"/>
      <c r="R1456" s="31"/>
      <c r="S1456" s="31"/>
      <c r="T1456" s="31"/>
    </row>
    <row r="1457" spans="1:20" s="32" customFormat="1" hidden="1">
      <c r="A1457" s="16" t="s">
        <v>31</v>
      </c>
      <c r="B1457" s="14">
        <v>793</v>
      </c>
      <c r="C1457" s="15" t="s">
        <v>71</v>
      </c>
      <c r="D1457" s="15" t="s">
        <v>27</v>
      </c>
      <c r="E1457" s="15" t="s">
        <v>519</v>
      </c>
      <c r="F1457" s="15" t="s">
        <v>32</v>
      </c>
      <c r="G1457" s="70">
        <f>прил4!G1247</f>
        <v>0</v>
      </c>
      <c r="H1457" s="70">
        <f>прил4!H1247</f>
        <v>0</v>
      </c>
      <c r="I1457" s="70">
        <f>прил4!I1247</f>
        <v>0</v>
      </c>
      <c r="J1457" s="31">
        <f>J1467-G1467</f>
        <v>230000</v>
      </c>
      <c r="P1457" s="31"/>
      <c r="Q1457" s="31"/>
      <c r="R1457" s="31"/>
      <c r="S1457" s="31"/>
      <c r="T1457" s="31"/>
    </row>
    <row r="1458" spans="1:20" s="28" customFormat="1" ht="27.75" hidden="1" customHeight="1">
      <c r="A1458" s="37" t="s">
        <v>667</v>
      </c>
      <c r="B1458" s="14">
        <v>757</v>
      </c>
      <c r="C1458" s="15" t="s">
        <v>25</v>
      </c>
      <c r="D1458" s="15" t="s">
        <v>69</v>
      </c>
      <c r="E1458" s="15" t="s">
        <v>666</v>
      </c>
      <c r="F1458" s="15"/>
      <c r="G1458" s="70">
        <f>G1459</f>
        <v>0</v>
      </c>
      <c r="H1458" s="70">
        <f t="shared" ref="H1458:I1458" si="423">H1459</f>
        <v>0</v>
      </c>
      <c r="I1458" s="70">
        <f t="shared" si="423"/>
        <v>0</v>
      </c>
      <c r="P1458" s="109"/>
      <c r="Q1458" s="109"/>
      <c r="R1458" s="109"/>
      <c r="S1458" s="109"/>
      <c r="T1458" s="109"/>
    </row>
    <row r="1459" spans="1:20" s="32" customFormat="1" ht="28.5" hidden="1" customHeight="1">
      <c r="A1459" s="16" t="s">
        <v>29</v>
      </c>
      <c r="B1459" s="14">
        <v>757</v>
      </c>
      <c r="C1459" s="15" t="s">
        <v>25</v>
      </c>
      <c r="D1459" s="15" t="s">
        <v>69</v>
      </c>
      <c r="E1459" s="15" t="s">
        <v>666</v>
      </c>
      <c r="F1459" s="15" t="s">
        <v>30</v>
      </c>
      <c r="G1459" s="70">
        <f>G1460</f>
        <v>0</v>
      </c>
      <c r="H1459" s="70">
        <f>H1460</f>
        <v>0</v>
      </c>
      <c r="I1459" s="70">
        <f>I1460</f>
        <v>0</v>
      </c>
      <c r="P1459" s="31"/>
      <c r="Q1459" s="31"/>
      <c r="R1459" s="31"/>
      <c r="S1459" s="31"/>
      <c r="T1459" s="31"/>
    </row>
    <row r="1460" spans="1:20" s="32" customFormat="1" hidden="1">
      <c r="A1460" s="16" t="s">
        <v>31</v>
      </c>
      <c r="B1460" s="14">
        <v>757</v>
      </c>
      <c r="C1460" s="15" t="s">
        <v>25</v>
      </c>
      <c r="D1460" s="15" t="s">
        <v>69</v>
      </c>
      <c r="E1460" s="15" t="s">
        <v>666</v>
      </c>
      <c r="F1460" s="15" t="s">
        <v>32</v>
      </c>
      <c r="G1460" s="70">
        <f>прил4!G1214</f>
        <v>0</v>
      </c>
      <c r="H1460" s="70"/>
      <c r="I1460" s="70"/>
      <c r="J1460" s="31">
        <f>J1467-G1467</f>
        <v>230000</v>
      </c>
      <c r="P1460" s="31"/>
      <c r="Q1460" s="31"/>
      <c r="R1460" s="31"/>
      <c r="S1460" s="31"/>
      <c r="T1460" s="31"/>
    </row>
    <row r="1461" spans="1:20" s="28" customFormat="1" ht="27.75" hidden="1" customHeight="1">
      <c r="A1461" s="37" t="s">
        <v>590</v>
      </c>
      <c r="B1461" s="15" t="s">
        <v>92</v>
      </c>
      <c r="C1461" s="15" t="s">
        <v>25</v>
      </c>
      <c r="D1461" s="15" t="s">
        <v>69</v>
      </c>
      <c r="E1461" s="15" t="s">
        <v>519</v>
      </c>
      <c r="F1461" s="15"/>
      <c r="G1461" s="70">
        <f>G1462</f>
        <v>0</v>
      </c>
      <c r="H1461" s="70">
        <f t="shared" ref="H1461:I1461" si="424">H1462</f>
        <v>0</v>
      </c>
      <c r="I1461" s="70">
        <f t="shared" si="424"/>
        <v>0</v>
      </c>
      <c r="P1461" s="109"/>
      <c r="Q1461" s="109"/>
      <c r="R1461" s="109"/>
      <c r="S1461" s="109"/>
      <c r="T1461" s="109"/>
    </row>
    <row r="1462" spans="1:20" s="32" customFormat="1" ht="28.5" hidden="1" customHeight="1">
      <c r="A1462" s="16" t="s">
        <v>29</v>
      </c>
      <c r="B1462" s="15" t="s">
        <v>92</v>
      </c>
      <c r="C1462" s="15" t="s">
        <v>25</v>
      </c>
      <c r="D1462" s="15" t="s">
        <v>69</v>
      </c>
      <c r="E1462" s="15" t="s">
        <v>519</v>
      </c>
      <c r="F1462" s="15" t="s">
        <v>30</v>
      </c>
      <c r="G1462" s="70">
        <f>G1463</f>
        <v>0</v>
      </c>
      <c r="H1462" s="70">
        <f>H1463</f>
        <v>0</v>
      </c>
      <c r="I1462" s="70">
        <f>I1463</f>
        <v>0</v>
      </c>
      <c r="P1462" s="31"/>
      <c r="Q1462" s="31"/>
      <c r="R1462" s="31"/>
      <c r="S1462" s="31"/>
      <c r="T1462" s="31"/>
    </row>
    <row r="1463" spans="1:20" s="32" customFormat="1" hidden="1">
      <c r="A1463" s="16" t="s">
        <v>31</v>
      </c>
      <c r="B1463" s="15" t="s">
        <v>92</v>
      </c>
      <c r="C1463" s="15" t="s">
        <v>25</v>
      </c>
      <c r="D1463" s="15" t="s">
        <v>69</v>
      </c>
      <c r="E1463" s="15" t="s">
        <v>519</v>
      </c>
      <c r="F1463" s="15" t="s">
        <v>32</v>
      </c>
      <c r="G1463" s="70"/>
      <c r="H1463" s="70"/>
      <c r="I1463" s="70"/>
      <c r="J1463" s="31">
        <f>J1470-G1470</f>
        <v>-50000</v>
      </c>
      <c r="P1463" s="31"/>
      <c r="Q1463" s="31"/>
      <c r="R1463" s="31"/>
      <c r="S1463" s="31"/>
      <c r="T1463" s="31"/>
    </row>
    <row r="1464" spans="1:20" s="165" customFormat="1" ht="42" customHeight="1">
      <c r="A1464" s="37" t="s">
        <v>1382</v>
      </c>
      <c r="B1464" s="84" t="s">
        <v>92</v>
      </c>
      <c r="C1464" s="84" t="s">
        <v>25</v>
      </c>
      <c r="D1464" s="84" t="s">
        <v>27</v>
      </c>
      <c r="E1464" s="84" t="s">
        <v>1327</v>
      </c>
      <c r="F1464" s="84"/>
      <c r="G1464" s="87">
        <f>G1465</f>
        <v>2714463.9499999997</v>
      </c>
      <c r="H1464" s="87">
        <f t="shared" ref="H1464:I1464" si="425">H1465</f>
        <v>0</v>
      </c>
      <c r="I1464" s="87">
        <f t="shared" si="425"/>
        <v>0</v>
      </c>
      <c r="J1464" s="173"/>
      <c r="K1464" s="199"/>
      <c r="L1464" s="199"/>
      <c r="M1464" s="199"/>
      <c r="N1464" s="199"/>
      <c r="O1464" s="199"/>
      <c r="P1464" s="199"/>
      <c r="Q1464" s="199"/>
      <c r="R1464" s="199"/>
    </row>
    <row r="1465" spans="1:20" s="220" customFormat="1" ht="28.5" customHeight="1">
      <c r="A1465" s="16" t="s">
        <v>35</v>
      </c>
      <c r="B1465" s="84" t="s">
        <v>92</v>
      </c>
      <c r="C1465" s="84" t="s">
        <v>25</v>
      </c>
      <c r="D1465" s="84" t="s">
        <v>27</v>
      </c>
      <c r="E1465" s="84" t="s">
        <v>1327</v>
      </c>
      <c r="F1465" s="84" t="s">
        <v>36</v>
      </c>
      <c r="G1465" s="87">
        <f>G1466</f>
        <v>2714463.9499999997</v>
      </c>
      <c r="H1465" s="87">
        <f>H1466</f>
        <v>0</v>
      </c>
      <c r="I1465" s="87">
        <f>I1466</f>
        <v>0</v>
      </c>
      <c r="J1465" s="173"/>
      <c r="K1465" s="198"/>
      <c r="L1465" s="198"/>
      <c r="M1465" s="198"/>
      <c r="N1465" s="198"/>
      <c r="O1465" s="198"/>
      <c r="P1465" s="198"/>
      <c r="Q1465" s="198"/>
      <c r="R1465" s="198"/>
    </row>
    <row r="1466" spans="1:20" s="220" customFormat="1" ht="26.4">
      <c r="A1466" s="16" t="s">
        <v>37</v>
      </c>
      <c r="B1466" s="84" t="s">
        <v>92</v>
      </c>
      <c r="C1466" s="84" t="s">
        <v>25</v>
      </c>
      <c r="D1466" s="84" t="s">
        <v>27</v>
      </c>
      <c r="E1466" s="84" t="s">
        <v>1327</v>
      </c>
      <c r="F1466" s="84" t="s">
        <v>38</v>
      </c>
      <c r="G1466" s="87">
        <f>прил4!G2844</f>
        <v>2714463.9499999997</v>
      </c>
      <c r="H1466" s="87">
        <v>0</v>
      </c>
      <c r="I1466" s="87">
        <v>0</v>
      </c>
      <c r="J1466" s="173"/>
      <c r="K1466" s="200"/>
      <c r="L1466" s="198"/>
      <c r="M1466" s="198"/>
      <c r="N1466" s="198"/>
      <c r="O1466" s="198"/>
      <c r="P1466" s="198"/>
      <c r="Q1466" s="198"/>
      <c r="R1466" s="198"/>
    </row>
    <row r="1467" spans="1:20" s="22" customFormat="1" ht="51.75" customHeight="1">
      <c r="A1467" s="107" t="s">
        <v>1138</v>
      </c>
      <c r="B1467" s="35">
        <v>793</v>
      </c>
      <c r="C1467" s="36" t="s">
        <v>53</v>
      </c>
      <c r="D1467" s="36" t="s">
        <v>87</v>
      </c>
      <c r="E1467" s="35" t="s">
        <v>254</v>
      </c>
      <c r="F1467" s="35"/>
      <c r="G1467" s="71">
        <f>G1468</f>
        <v>50000</v>
      </c>
      <c r="H1467" s="71">
        <f t="shared" ref="H1467:I1470" si="426">H1468</f>
        <v>50000</v>
      </c>
      <c r="I1467" s="71">
        <f t="shared" si="426"/>
        <v>50000</v>
      </c>
      <c r="J1467" s="21">
        <v>280000</v>
      </c>
      <c r="P1467" s="345"/>
      <c r="Q1467" s="21"/>
      <c r="R1467" s="21"/>
      <c r="S1467" s="21"/>
      <c r="T1467" s="21">
        <f>прил4!G2063</f>
        <v>50000</v>
      </c>
    </row>
    <row r="1468" spans="1:20" ht="36" hidden="1" customHeight="1">
      <c r="A1468" s="16" t="s">
        <v>111</v>
      </c>
      <c r="B1468" s="14">
        <v>793</v>
      </c>
      <c r="C1468" s="15" t="s">
        <v>53</v>
      </c>
      <c r="D1468" s="15" t="s">
        <v>87</v>
      </c>
      <c r="E1468" s="14" t="s">
        <v>254</v>
      </c>
      <c r="F1468" s="14"/>
      <c r="G1468" s="87">
        <f>G1469</f>
        <v>50000</v>
      </c>
      <c r="H1468" s="87">
        <f t="shared" si="426"/>
        <v>50000</v>
      </c>
      <c r="I1468" s="87">
        <f t="shared" si="426"/>
        <v>50000</v>
      </c>
    </row>
    <row r="1469" spans="1:20" ht="39" customHeight="1">
      <c r="A1469" s="16" t="s">
        <v>357</v>
      </c>
      <c r="B1469" s="14">
        <v>793</v>
      </c>
      <c r="C1469" s="15" t="s">
        <v>53</v>
      </c>
      <c r="D1469" s="15" t="s">
        <v>87</v>
      </c>
      <c r="E1469" s="14" t="s">
        <v>255</v>
      </c>
      <c r="F1469" s="14"/>
      <c r="G1469" s="87">
        <f>G1470</f>
        <v>50000</v>
      </c>
      <c r="H1469" s="87">
        <f t="shared" si="426"/>
        <v>50000</v>
      </c>
      <c r="I1469" s="87">
        <f t="shared" si="426"/>
        <v>50000</v>
      </c>
    </row>
    <row r="1470" spans="1:20" ht="27.75" customHeight="1">
      <c r="A1470" s="16" t="s">
        <v>316</v>
      </c>
      <c r="B1470" s="14">
        <v>793</v>
      </c>
      <c r="C1470" s="15" t="s">
        <v>53</v>
      </c>
      <c r="D1470" s="15" t="s">
        <v>87</v>
      </c>
      <c r="E1470" s="14" t="s">
        <v>255</v>
      </c>
      <c r="F1470" s="14">
        <v>200</v>
      </c>
      <c r="G1470" s="87">
        <f>G1471</f>
        <v>50000</v>
      </c>
      <c r="H1470" s="87">
        <f t="shared" si="426"/>
        <v>50000</v>
      </c>
      <c r="I1470" s="87">
        <f t="shared" si="426"/>
        <v>50000</v>
      </c>
    </row>
    <row r="1471" spans="1:20" ht="27.75" customHeight="1">
      <c r="A1471" s="16" t="s">
        <v>37</v>
      </c>
      <c r="B1471" s="14">
        <v>793</v>
      </c>
      <c r="C1471" s="15" t="s">
        <v>53</v>
      </c>
      <c r="D1471" s="15" t="s">
        <v>87</v>
      </c>
      <c r="E1471" s="14" t="s">
        <v>255</v>
      </c>
      <c r="F1471" s="14">
        <v>240</v>
      </c>
      <c r="G1471" s="87">
        <f>прил4!G2066</f>
        <v>50000</v>
      </c>
      <c r="H1471" s="87">
        <f>прил4!H2066</f>
        <v>50000</v>
      </c>
      <c r="I1471" s="87">
        <f>прил4!I2066</f>
        <v>50000</v>
      </c>
    </row>
    <row r="1472" spans="1:20" s="227" customFormat="1" ht="35.25" customHeight="1">
      <c r="A1472" s="107" t="s">
        <v>1139</v>
      </c>
      <c r="B1472" s="35">
        <v>757</v>
      </c>
      <c r="C1472" s="36" t="s">
        <v>25</v>
      </c>
      <c r="D1472" s="36" t="s">
        <v>25</v>
      </c>
      <c r="E1472" s="36" t="s">
        <v>191</v>
      </c>
      <c r="F1472" s="36"/>
      <c r="G1472" s="71">
        <f>G1473+G1481+G1477+G1484</f>
        <v>388348.4</v>
      </c>
      <c r="H1472" s="71">
        <f t="shared" ref="H1472:I1472" si="427">H1473+H1481+H1477+H1484</f>
        <v>200050</v>
      </c>
      <c r="I1472" s="71">
        <f t="shared" si="427"/>
        <v>200050</v>
      </c>
      <c r="J1472" s="226">
        <v>30000</v>
      </c>
      <c r="P1472" s="226"/>
      <c r="Q1472" s="226"/>
      <c r="R1472" s="226"/>
      <c r="S1472" s="226"/>
      <c r="T1472" s="226">
        <f>прил4!G172</f>
        <v>388348.4</v>
      </c>
    </row>
    <row r="1473" spans="1:20" s="18" customFormat="1">
      <c r="A1473" s="16" t="s">
        <v>331</v>
      </c>
      <c r="B1473" s="14">
        <v>757</v>
      </c>
      <c r="C1473" s="15" t="s">
        <v>25</v>
      </c>
      <c r="D1473" s="15" t="s">
        <v>25</v>
      </c>
      <c r="E1473" s="15" t="s">
        <v>192</v>
      </c>
      <c r="F1473" s="15"/>
      <c r="G1473" s="87">
        <f>G1474+G1476</f>
        <v>374880</v>
      </c>
      <c r="H1473" s="87">
        <f>H1474+H1476</f>
        <v>200050</v>
      </c>
      <c r="I1473" s="87">
        <f>I1474+I1476</f>
        <v>200050</v>
      </c>
      <c r="J1473" s="17">
        <v>100000</v>
      </c>
      <c r="P1473" s="17"/>
      <c r="Q1473" s="17"/>
      <c r="R1473" s="17"/>
      <c r="S1473" s="17"/>
      <c r="T1473" s="17"/>
    </row>
    <row r="1474" spans="1:20" s="18" customFormat="1" ht="26.4">
      <c r="A1474" s="16" t="s">
        <v>35</v>
      </c>
      <c r="B1474" s="14">
        <v>757</v>
      </c>
      <c r="C1474" s="15" t="s">
        <v>25</v>
      </c>
      <c r="D1474" s="15" t="s">
        <v>25</v>
      </c>
      <c r="E1474" s="15" t="s">
        <v>192</v>
      </c>
      <c r="F1474" s="15" t="s">
        <v>36</v>
      </c>
      <c r="G1474" s="87">
        <f>G1475</f>
        <v>374880</v>
      </c>
      <c r="H1474" s="87">
        <f>H1475</f>
        <v>200050</v>
      </c>
      <c r="I1474" s="87">
        <f>I1475</f>
        <v>200050</v>
      </c>
      <c r="J1474" s="17"/>
      <c r="P1474" s="17"/>
      <c r="Q1474" s="17"/>
      <c r="R1474" s="17"/>
      <c r="S1474" s="17"/>
      <c r="T1474" s="17"/>
    </row>
    <row r="1475" spans="1:20" s="18" customFormat="1" ht="26.4">
      <c r="A1475" s="16" t="s">
        <v>37</v>
      </c>
      <c r="B1475" s="14">
        <v>757</v>
      </c>
      <c r="C1475" s="15" t="s">
        <v>25</v>
      </c>
      <c r="D1475" s="15" t="s">
        <v>25</v>
      </c>
      <c r="E1475" s="15" t="s">
        <v>192</v>
      </c>
      <c r="F1475" s="15" t="s">
        <v>38</v>
      </c>
      <c r="G1475" s="87">
        <f>прил4!G157+прил4!G2662+прил4!G175</f>
        <v>374880</v>
      </c>
      <c r="H1475" s="87">
        <f>прил4!H157+прил4!H2662+прил4!H175</f>
        <v>200050</v>
      </c>
      <c r="I1475" s="87">
        <f>прил4!I157+прил4!I2662+прил4!I175</f>
        <v>200050</v>
      </c>
      <c r="J1475" s="87">
        <f>прил4!K157+прил4!K2662</f>
        <v>0</v>
      </c>
      <c r="K1475" s="87">
        <f>прил4!L157+прил4!L2662</f>
        <v>0</v>
      </c>
      <c r="L1475" s="87">
        <f>прил4!M157+прил4!M2662</f>
        <v>0</v>
      </c>
      <c r="M1475" s="87">
        <f>прил4!N157+прил4!N2662</f>
        <v>0</v>
      </c>
      <c r="N1475" s="87">
        <f>прил4!O157+прил4!O2662</f>
        <v>0</v>
      </c>
      <c r="O1475" s="87">
        <f>прил4!P157+прил4!P2662</f>
        <v>0</v>
      </c>
      <c r="P1475" s="17"/>
      <c r="Q1475" s="17"/>
      <c r="R1475" s="17"/>
      <c r="S1475" s="17"/>
      <c r="T1475" s="17"/>
    </row>
    <row r="1476" spans="1:20" s="18" customFormat="1" ht="26.4" hidden="1">
      <c r="A1476" s="16" t="s">
        <v>29</v>
      </c>
      <c r="B1476" s="15" t="s">
        <v>92</v>
      </c>
      <c r="C1476" s="15" t="s">
        <v>25</v>
      </c>
      <c r="D1476" s="15" t="s">
        <v>69</v>
      </c>
      <c r="E1476" s="15" t="s">
        <v>192</v>
      </c>
      <c r="F1476" s="15" t="s">
        <v>30</v>
      </c>
      <c r="G1476" s="70">
        <f>G1480</f>
        <v>0</v>
      </c>
      <c r="H1476" s="70">
        <f t="shared" ref="H1476:I1476" si="428">H1480</f>
        <v>0</v>
      </c>
      <c r="I1476" s="70">
        <f t="shared" si="428"/>
        <v>0</v>
      </c>
      <c r="J1476" s="17"/>
      <c r="P1476" s="17"/>
      <c r="Q1476" s="17"/>
      <c r="R1476" s="17"/>
      <c r="S1476" s="17"/>
      <c r="T1476" s="17"/>
    </row>
    <row r="1477" spans="1:20" s="18" customFormat="1" ht="26.4" hidden="1">
      <c r="A1477" s="16" t="s">
        <v>292</v>
      </c>
      <c r="B1477" s="14">
        <v>793</v>
      </c>
      <c r="C1477" s="15" t="s">
        <v>25</v>
      </c>
      <c r="D1477" s="15" t="s">
        <v>25</v>
      </c>
      <c r="E1477" s="15" t="s">
        <v>764</v>
      </c>
      <c r="F1477" s="15"/>
      <c r="G1477" s="70">
        <f>G1478</f>
        <v>0</v>
      </c>
      <c r="H1477" s="70"/>
      <c r="I1477" s="70"/>
      <c r="J1477" s="173"/>
      <c r="K1477" s="195"/>
      <c r="L1477" s="195"/>
      <c r="M1477" s="195"/>
      <c r="N1477" s="195"/>
      <c r="O1477" s="195"/>
      <c r="P1477" s="195"/>
      <c r="Q1477" s="195"/>
      <c r="R1477" s="195"/>
    </row>
    <row r="1478" spans="1:20" s="18" customFormat="1" ht="26.4" hidden="1">
      <c r="A1478" s="16" t="s">
        <v>35</v>
      </c>
      <c r="B1478" s="15" t="s">
        <v>804</v>
      </c>
      <c r="C1478" s="15" t="s">
        <v>25</v>
      </c>
      <c r="D1478" s="15" t="s">
        <v>25</v>
      </c>
      <c r="E1478" s="15" t="s">
        <v>764</v>
      </c>
      <c r="F1478" s="15" t="s">
        <v>36</v>
      </c>
      <c r="G1478" s="70">
        <f>G1479</f>
        <v>0</v>
      </c>
      <c r="H1478" s="70">
        <f>H1479</f>
        <v>0</v>
      </c>
      <c r="I1478" s="70">
        <f>I1479</f>
        <v>0</v>
      </c>
      <c r="J1478" s="173"/>
      <c r="K1478" s="195"/>
      <c r="L1478" s="195"/>
      <c r="M1478" s="195"/>
      <c r="N1478" s="195"/>
      <c r="O1478" s="195"/>
      <c r="P1478" s="195"/>
      <c r="Q1478" s="195"/>
      <c r="R1478" s="195"/>
    </row>
    <row r="1479" spans="1:20" s="18" customFormat="1" ht="26.4" hidden="1">
      <c r="A1479" s="16" t="s">
        <v>37</v>
      </c>
      <c r="B1479" s="15" t="s">
        <v>804</v>
      </c>
      <c r="C1479" s="15" t="s">
        <v>25</v>
      </c>
      <c r="D1479" s="15" t="s">
        <v>25</v>
      </c>
      <c r="E1479" s="15" t="s">
        <v>764</v>
      </c>
      <c r="F1479" s="15" t="s">
        <v>38</v>
      </c>
      <c r="G1479" s="70">
        <f>прил4!G2665</f>
        <v>0</v>
      </c>
      <c r="H1479" s="70"/>
      <c r="I1479" s="70"/>
      <c r="J1479" s="173"/>
      <c r="K1479" s="195"/>
      <c r="L1479" s="195"/>
      <c r="M1479" s="195"/>
      <c r="N1479" s="195"/>
      <c r="O1479" s="195"/>
      <c r="P1479" s="195"/>
      <c r="Q1479" s="195"/>
      <c r="R1479" s="195"/>
    </row>
    <row r="1480" spans="1:20" s="18" customFormat="1" hidden="1">
      <c r="A1480" s="16" t="s">
        <v>31</v>
      </c>
      <c r="B1480" s="15" t="s">
        <v>92</v>
      </c>
      <c r="C1480" s="15" t="s">
        <v>25</v>
      </c>
      <c r="D1480" s="15" t="s">
        <v>69</v>
      </c>
      <c r="E1480" s="15" t="s">
        <v>192</v>
      </c>
      <c r="F1480" s="15" t="s">
        <v>32</v>
      </c>
      <c r="G1480" s="70">
        <f>прил4!G159+прил4!G1312</f>
        <v>0</v>
      </c>
      <c r="H1480" s="70">
        <f>прил4!H159+прил4!H1312</f>
        <v>0</v>
      </c>
      <c r="I1480" s="70">
        <f>прил4!I159+прил4!I1312</f>
        <v>0</v>
      </c>
      <c r="J1480" s="17"/>
      <c r="P1480" s="17"/>
      <c r="Q1480" s="17"/>
      <c r="R1480" s="17"/>
      <c r="S1480" s="17"/>
      <c r="T1480" s="17"/>
    </row>
    <row r="1481" spans="1:20" s="18" customFormat="1" ht="26.4" hidden="1">
      <c r="A1481" s="82" t="s">
        <v>292</v>
      </c>
      <c r="B1481" s="14">
        <v>757</v>
      </c>
      <c r="C1481" s="15" t="s">
        <v>25</v>
      </c>
      <c r="D1481" s="15" t="s">
        <v>25</v>
      </c>
      <c r="E1481" s="15" t="s">
        <v>764</v>
      </c>
      <c r="F1481" s="15"/>
      <c r="G1481" s="87">
        <f>G1482</f>
        <v>0</v>
      </c>
      <c r="H1481" s="70"/>
      <c r="I1481" s="70"/>
      <c r="P1481" s="17"/>
      <c r="Q1481" s="17"/>
      <c r="R1481" s="17"/>
      <c r="S1481" s="17"/>
      <c r="T1481" s="17"/>
    </row>
    <row r="1482" spans="1:20" s="18" customFormat="1" ht="26.4" hidden="1">
      <c r="A1482" s="82" t="s">
        <v>35</v>
      </c>
      <c r="B1482" s="14">
        <v>757</v>
      </c>
      <c r="C1482" s="15" t="s">
        <v>25</v>
      </c>
      <c r="D1482" s="15" t="s">
        <v>25</v>
      </c>
      <c r="E1482" s="15" t="s">
        <v>764</v>
      </c>
      <c r="F1482" s="15" t="s">
        <v>36</v>
      </c>
      <c r="G1482" s="87">
        <f>G1483</f>
        <v>0</v>
      </c>
      <c r="H1482" s="70"/>
      <c r="I1482" s="70"/>
      <c r="P1482" s="17"/>
      <c r="Q1482" s="17"/>
      <c r="R1482" s="17"/>
      <c r="S1482" s="17"/>
      <c r="T1482" s="17"/>
    </row>
    <row r="1483" spans="1:20" s="18" customFormat="1" ht="26.4" hidden="1">
      <c r="A1483" s="82" t="s">
        <v>37</v>
      </c>
      <c r="B1483" s="14">
        <v>757</v>
      </c>
      <c r="C1483" s="15" t="s">
        <v>25</v>
      </c>
      <c r="D1483" s="15" t="s">
        <v>25</v>
      </c>
      <c r="E1483" s="15" t="s">
        <v>764</v>
      </c>
      <c r="F1483" s="15" t="s">
        <v>38</v>
      </c>
      <c r="G1483" s="70">
        <f>прил4!G162</f>
        <v>0</v>
      </c>
      <c r="H1483" s="70"/>
      <c r="I1483" s="70"/>
      <c r="P1483" s="17"/>
      <c r="Q1483" s="17"/>
      <c r="R1483" s="17"/>
      <c r="S1483" s="17"/>
      <c r="T1483" s="17"/>
    </row>
    <row r="1484" spans="1:20" s="18" customFormat="1" ht="17.25" customHeight="1">
      <c r="A1484" s="16" t="s">
        <v>331</v>
      </c>
      <c r="B1484" s="145">
        <v>757</v>
      </c>
      <c r="C1484" s="84" t="s">
        <v>25</v>
      </c>
      <c r="D1484" s="84" t="s">
        <v>25</v>
      </c>
      <c r="E1484" s="84" t="s">
        <v>1324</v>
      </c>
      <c r="F1484" s="84"/>
      <c r="G1484" s="87">
        <f>G1485</f>
        <v>13468.4</v>
      </c>
      <c r="H1484" s="87">
        <f t="shared" ref="H1484:I1484" si="429">H1485</f>
        <v>0</v>
      </c>
      <c r="I1484" s="87">
        <f t="shared" si="429"/>
        <v>0</v>
      </c>
      <c r="J1484" s="173"/>
      <c r="K1484" s="195"/>
      <c r="L1484" s="195"/>
      <c r="M1484" s="195"/>
      <c r="N1484" s="195"/>
      <c r="O1484" s="195"/>
      <c r="P1484" s="195"/>
      <c r="Q1484" s="195"/>
      <c r="R1484" s="195"/>
      <c r="S1484" s="180"/>
      <c r="T1484" s="180"/>
    </row>
    <row r="1485" spans="1:20" s="18" customFormat="1" ht="34.5" customHeight="1">
      <c r="A1485" s="16" t="s">
        <v>35</v>
      </c>
      <c r="B1485" s="145">
        <v>757</v>
      </c>
      <c r="C1485" s="84" t="s">
        <v>25</v>
      </c>
      <c r="D1485" s="84" t="s">
        <v>25</v>
      </c>
      <c r="E1485" s="84" t="s">
        <v>1324</v>
      </c>
      <c r="F1485" s="84" t="s">
        <v>36</v>
      </c>
      <c r="G1485" s="87">
        <f>G1486</f>
        <v>13468.4</v>
      </c>
      <c r="H1485" s="87">
        <f>H1486</f>
        <v>0</v>
      </c>
      <c r="I1485" s="87">
        <f>I1486</f>
        <v>0</v>
      </c>
      <c r="J1485" s="173"/>
      <c r="K1485" s="195"/>
      <c r="L1485" s="195"/>
      <c r="M1485" s="195"/>
      <c r="N1485" s="195"/>
      <c r="O1485" s="195"/>
      <c r="P1485" s="195"/>
      <c r="Q1485" s="195"/>
      <c r="R1485" s="195"/>
      <c r="S1485" s="180"/>
      <c r="T1485" s="180"/>
    </row>
    <row r="1486" spans="1:20" s="18" customFormat="1" ht="34.5" customHeight="1">
      <c r="A1486" s="16" t="s">
        <v>37</v>
      </c>
      <c r="B1486" s="145">
        <v>757</v>
      </c>
      <c r="C1486" s="84" t="s">
        <v>25</v>
      </c>
      <c r="D1486" s="84" t="s">
        <v>25</v>
      </c>
      <c r="E1486" s="15" t="s">
        <v>1324</v>
      </c>
      <c r="F1486" s="15" t="s">
        <v>38</v>
      </c>
      <c r="G1486" s="70">
        <f>прил4!G178</f>
        <v>13468.4</v>
      </c>
      <c r="H1486" s="87"/>
      <c r="I1486" s="87"/>
      <c r="J1486" s="173"/>
      <c r="K1486" s="195"/>
      <c r="L1486" s="195"/>
      <c r="M1486" s="195"/>
      <c r="N1486" s="195"/>
      <c r="O1486" s="195"/>
      <c r="P1486" s="195"/>
      <c r="Q1486" s="195"/>
      <c r="R1486" s="195"/>
    </row>
    <row r="1487" spans="1:20" s="22" customFormat="1" ht="52.8">
      <c r="A1487" s="107" t="s">
        <v>1140</v>
      </c>
      <c r="B1487" s="35">
        <v>793</v>
      </c>
      <c r="C1487" s="36" t="s">
        <v>69</v>
      </c>
      <c r="D1487" s="36" t="s">
        <v>303</v>
      </c>
      <c r="E1487" s="36" t="s">
        <v>249</v>
      </c>
      <c r="F1487" s="36"/>
      <c r="G1487" s="71">
        <f>G1488+G1491+G1494</f>
        <v>120000</v>
      </c>
      <c r="H1487" s="71">
        <f t="shared" ref="H1487:I1487" si="430">H1488+H1491+H1494</f>
        <v>100000</v>
      </c>
      <c r="I1487" s="71">
        <f t="shared" si="430"/>
        <v>100000</v>
      </c>
      <c r="J1487" s="21">
        <v>100000</v>
      </c>
      <c r="P1487" s="21"/>
      <c r="Q1487" s="21"/>
      <c r="R1487" s="21"/>
      <c r="S1487" s="21"/>
      <c r="T1487" s="21">
        <f>прил4!G1888</f>
        <v>120000</v>
      </c>
    </row>
    <row r="1488" spans="1:20" ht="66">
      <c r="A1488" s="16" t="s">
        <v>492</v>
      </c>
      <c r="B1488" s="14">
        <v>793</v>
      </c>
      <c r="C1488" s="15" t="s">
        <v>69</v>
      </c>
      <c r="D1488" s="15" t="s">
        <v>303</v>
      </c>
      <c r="E1488" s="15" t="s">
        <v>250</v>
      </c>
      <c r="F1488" s="15"/>
      <c r="G1488" s="87">
        <f t="shared" ref="G1488:I1489" si="431">G1489</f>
        <v>120000</v>
      </c>
      <c r="H1488" s="87">
        <f t="shared" si="431"/>
        <v>100000</v>
      </c>
      <c r="I1488" s="87">
        <f t="shared" si="431"/>
        <v>100000</v>
      </c>
    </row>
    <row r="1489" spans="1:21" ht="26.4">
      <c r="A1489" s="16" t="s">
        <v>37</v>
      </c>
      <c r="B1489" s="14">
        <v>793</v>
      </c>
      <c r="C1489" s="15" t="s">
        <v>69</v>
      </c>
      <c r="D1489" s="15" t="s">
        <v>303</v>
      </c>
      <c r="E1489" s="15" t="s">
        <v>250</v>
      </c>
      <c r="F1489" s="15" t="s">
        <v>36</v>
      </c>
      <c r="G1489" s="87">
        <f t="shared" si="431"/>
        <v>120000</v>
      </c>
      <c r="H1489" s="87">
        <f t="shared" si="431"/>
        <v>100000</v>
      </c>
      <c r="I1489" s="87">
        <f t="shared" si="431"/>
        <v>100000</v>
      </c>
    </row>
    <row r="1490" spans="1:21" ht="33" customHeight="1">
      <c r="A1490" s="16" t="s">
        <v>37</v>
      </c>
      <c r="B1490" s="14">
        <v>793</v>
      </c>
      <c r="C1490" s="15" t="s">
        <v>69</v>
      </c>
      <c r="D1490" s="15" t="s">
        <v>303</v>
      </c>
      <c r="E1490" s="15" t="s">
        <v>250</v>
      </c>
      <c r="F1490" s="15" t="s">
        <v>38</v>
      </c>
      <c r="G1490" s="87">
        <f>прил4!G1891</f>
        <v>120000</v>
      </c>
      <c r="H1490" s="87">
        <f>прил4!H1891</f>
        <v>100000</v>
      </c>
      <c r="I1490" s="87">
        <f>прил4!I1891</f>
        <v>100000</v>
      </c>
    </row>
    <row r="1491" spans="1:21" ht="39.6" hidden="1">
      <c r="A1491" s="16" t="s">
        <v>403</v>
      </c>
      <c r="B1491" s="14">
        <v>793</v>
      </c>
      <c r="C1491" s="15" t="s">
        <v>69</v>
      </c>
      <c r="D1491" s="15" t="s">
        <v>303</v>
      </c>
      <c r="E1491" s="15" t="s">
        <v>402</v>
      </c>
      <c r="F1491" s="15"/>
      <c r="G1491" s="70">
        <f>G1492</f>
        <v>0</v>
      </c>
      <c r="H1491" s="70">
        <f t="shared" ref="H1491:I1491" si="432">H1492</f>
        <v>0</v>
      </c>
      <c r="I1491" s="70">
        <f t="shared" si="432"/>
        <v>0</v>
      </c>
      <c r="J1491" s="1"/>
    </row>
    <row r="1492" spans="1:21" ht="26.4" hidden="1">
      <c r="A1492" s="16" t="s">
        <v>37</v>
      </c>
      <c r="B1492" s="14">
        <v>793</v>
      </c>
      <c r="C1492" s="15" t="s">
        <v>69</v>
      </c>
      <c r="D1492" s="15" t="s">
        <v>303</v>
      </c>
      <c r="E1492" s="15" t="s">
        <v>402</v>
      </c>
      <c r="F1492" s="15" t="s">
        <v>36</v>
      </c>
      <c r="G1492" s="70">
        <f>G1493</f>
        <v>0</v>
      </c>
      <c r="H1492" s="70">
        <f t="shared" ref="H1492:O1492" si="433">H1493</f>
        <v>0</v>
      </c>
      <c r="I1492" s="70">
        <f t="shared" si="433"/>
        <v>0</v>
      </c>
      <c r="J1492" s="70">
        <f t="shared" si="433"/>
        <v>0</v>
      </c>
      <c r="K1492" s="70">
        <f t="shared" si="433"/>
        <v>0</v>
      </c>
      <c r="L1492" s="70">
        <f t="shared" si="433"/>
        <v>0</v>
      </c>
      <c r="M1492" s="70">
        <f t="shared" si="433"/>
        <v>0</v>
      </c>
      <c r="N1492" s="70">
        <f t="shared" si="433"/>
        <v>0</v>
      </c>
      <c r="O1492" s="70">
        <f t="shared" si="433"/>
        <v>0</v>
      </c>
    </row>
    <row r="1493" spans="1:21" ht="26.4" hidden="1">
      <c r="A1493" s="16" t="s">
        <v>37</v>
      </c>
      <c r="B1493" s="14">
        <v>793</v>
      </c>
      <c r="C1493" s="15" t="s">
        <v>69</v>
      </c>
      <c r="D1493" s="15" t="s">
        <v>303</v>
      </c>
      <c r="E1493" s="15" t="s">
        <v>402</v>
      </c>
      <c r="F1493" s="15" t="s">
        <v>38</v>
      </c>
      <c r="G1493" s="70">
        <f>прил4!G1894</f>
        <v>0</v>
      </c>
      <c r="H1493" s="70">
        <f>прил4!H1894</f>
        <v>0</v>
      </c>
      <c r="I1493" s="70">
        <f>прил4!I1894</f>
        <v>0</v>
      </c>
      <c r="J1493" s="1"/>
    </row>
    <row r="1494" spans="1:21" ht="46.5" hidden="1" customHeight="1">
      <c r="A1494" s="57" t="s">
        <v>472</v>
      </c>
      <c r="B1494" s="14">
        <v>793</v>
      </c>
      <c r="C1494" s="15" t="s">
        <v>69</v>
      </c>
      <c r="D1494" s="15" t="s">
        <v>303</v>
      </c>
      <c r="E1494" s="15" t="s">
        <v>747</v>
      </c>
      <c r="F1494" s="15"/>
      <c r="G1494" s="70">
        <f>G1495</f>
        <v>0</v>
      </c>
      <c r="H1494" s="70">
        <f t="shared" ref="H1494:I1494" si="434">H1495</f>
        <v>0</v>
      </c>
      <c r="I1494" s="70">
        <f t="shared" si="434"/>
        <v>0</v>
      </c>
      <c r="J1494" s="1"/>
    </row>
    <row r="1495" spans="1:21" hidden="1">
      <c r="A1495" s="16" t="s">
        <v>316</v>
      </c>
      <c r="B1495" s="14">
        <v>793</v>
      </c>
      <c r="C1495" s="15" t="s">
        <v>69</v>
      </c>
      <c r="D1495" s="15" t="s">
        <v>303</v>
      </c>
      <c r="E1495" s="15" t="s">
        <v>747</v>
      </c>
      <c r="F1495" s="15" t="s">
        <v>36</v>
      </c>
      <c r="G1495" s="70">
        <f>G1496</f>
        <v>0</v>
      </c>
      <c r="H1495" s="70">
        <f>H1496</f>
        <v>0</v>
      </c>
      <c r="I1495" s="70">
        <f>I1496</f>
        <v>0</v>
      </c>
      <c r="J1495" s="1"/>
    </row>
    <row r="1496" spans="1:21" ht="26.4" hidden="1">
      <c r="A1496" s="16" t="s">
        <v>37</v>
      </c>
      <c r="B1496" s="14">
        <v>793</v>
      </c>
      <c r="C1496" s="15" t="s">
        <v>69</v>
      </c>
      <c r="D1496" s="15" t="s">
        <v>303</v>
      </c>
      <c r="E1496" s="15" t="s">
        <v>747</v>
      </c>
      <c r="F1496" s="15" t="s">
        <v>38</v>
      </c>
      <c r="G1496" s="70"/>
      <c r="H1496" s="70"/>
      <c r="I1496" s="70"/>
      <c r="J1496" s="1"/>
    </row>
    <row r="1497" spans="1:21" s="227" customFormat="1" ht="30" hidden="1" customHeight="1">
      <c r="A1497" s="77" t="s">
        <v>459</v>
      </c>
      <c r="B1497" s="36" t="s">
        <v>92</v>
      </c>
      <c r="C1497" s="36" t="s">
        <v>25</v>
      </c>
      <c r="D1497" s="36" t="s">
        <v>18</v>
      </c>
      <c r="E1497" s="36" t="s">
        <v>214</v>
      </c>
      <c r="F1497" s="36"/>
      <c r="G1497" s="71">
        <f>G1498</f>
        <v>0</v>
      </c>
      <c r="H1497" s="71">
        <f>H1498</f>
        <v>0</v>
      </c>
      <c r="I1497" s="71">
        <f>I1498</f>
        <v>0</v>
      </c>
      <c r="J1497" s="226">
        <v>100000</v>
      </c>
      <c r="P1497" s="226"/>
      <c r="Q1497" s="226"/>
      <c r="R1497" s="226"/>
      <c r="S1497" s="226"/>
      <c r="T1497" s="226"/>
    </row>
    <row r="1498" spans="1:21" s="18" customFormat="1" ht="26.4" hidden="1">
      <c r="A1498" s="16" t="s">
        <v>96</v>
      </c>
      <c r="B1498" s="15" t="s">
        <v>92</v>
      </c>
      <c r="C1498" s="15" t="s">
        <v>25</v>
      </c>
      <c r="D1498" s="15" t="s">
        <v>18</v>
      </c>
      <c r="E1498" s="15" t="s">
        <v>215</v>
      </c>
      <c r="F1498" s="15"/>
      <c r="G1498" s="87">
        <f>G1499+G1501</f>
        <v>0</v>
      </c>
      <c r="H1498" s="87">
        <f>H1499+H1501</f>
        <v>0</v>
      </c>
      <c r="I1498" s="87">
        <f>I1499+I1501</f>
        <v>0</v>
      </c>
      <c r="J1498" s="17">
        <v>50000</v>
      </c>
      <c r="P1498" s="17"/>
      <c r="Q1498" s="17"/>
      <c r="R1498" s="17"/>
      <c r="S1498" s="17"/>
      <c r="T1498" s="17"/>
    </row>
    <row r="1499" spans="1:21" s="18" customFormat="1" ht="25.5" hidden="1" customHeight="1">
      <c r="A1499" s="16" t="s">
        <v>343</v>
      </c>
      <c r="B1499" s="14">
        <v>793</v>
      </c>
      <c r="C1499" s="15" t="s">
        <v>68</v>
      </c>
      <c r="D1499" s="15" t="s">
        <v>69</v>
      </c>
      <c r="E1499" s="15" t="s">
        <v>215</v>
      </c>
      <c r="F1499" s="15" t="s">
        <v>145</v>
      </c>
      <c r="G1499" s="87">
        <f>G1500</f>
        <v>0</v>
      </c>
      <c r="H1499" s="87">
        <f>H1500</f>
        <v>0</v>
      </c>
      <c r="I1499" s="87">
        <f>I1500</f>
        <v>0</v>
      </c>
      <c r="J1499" s="17">
        <v>630000</v>
      </c>
      <c r="P1499" s="17"/>
      <c r="Q1499" s="17"/>
      <c r="R1499" s="17"/>
      <c r="S1499" s="17"/>
      <c r="T1499" s="17"/>
    </row>
    <row r="1500" spans="1:21" s="18" customFormat="1" ht="26.4" hidden="1">
      <c r="A1500" s="16" t="s">
        <v>146</v>
      </c>
      <c r="B1500" s="14">
        <v>793</v>
      </c>
      <c r="C1500" s="15" t="s">
        <v>68</v>
      </c>
      <c r="D1500" s="15" t="s">
        <v>69</v>
      </c>
      <c r="E1500" s="15" t="s">
        <v>215</v>
      </c>
      <c r="F1500" s="15" t="s">
        <v>147</v>
      </c>
      <c r="G1500" s="87">
        <f>прил4!G2759</f>
        <v>0</v>
      </c>
      <c r="H1500" s="87">
        <f>прил4!H2759</f>
        <v>0</v>
      </c>
      <c r="I1500" s="87">
        <f>прил4!I2759</f>
        <v>0</v>
      </c>
      <c r="J1500" s="17">
        <f>SUM(J1497:J1499)</f>
        <v>780000</v>
      </c>
      <c r="P1500" s="17"/>
      <c r="Q1500" s="17"/>
      <c r="R1500" s="17"/>
      <c r="S1500" s="17"/>
      <c r="T1500" s="17"/>
    </row>
    <row r="1501" spans="1:21" s="18" customFormat="1" ht="26.4" hidden="1">
      <c r="A1501" s="16" t="s">
        <v>29</v>
      </c>
      <c r="B1501" s="15" t="s">
        <v>92</v>
      </c>
      <c r="C1501" s="15" t="s">
        <v>25</v>
      </c>
      <c r="D1501" s="15" t="s">
        <v>18</v>
      </c>
      <c r="E1501" s="15" t="s">
        <v>215</v>
      </c>
      <c r="F1501" s="15" t="s">
        <v>30</v>
      </c>
      <c r="G1501" s="87">
        <f>G1502</f>
        <v>0</v>
      </c>
      <c r="H1501" s="87">
        <f>H1502</f>
        <v>0</v>
      </c>
      <c r="I1501" s="87">
        <f>I1502</f>
        <v>0</v>
      </c>
      <c r="J1501" s="17"/>
      <c r="P1501" s="17"/>
      <c r="Q1501" s="17"/>
      <c r="R1501" s="17"/>
      <c r="S1501" s="17"/>
      <c r="T1501" s="17"/>
    </row>
    <row r="1502" spans="1:21" s="18" customFormat="1" hidden="1">
      <c r="A1502" s="16" t="s">
        <v>31</v>
      </c>
      <c r="B1502" s="15" t="s">
        <v>92</v>
      </c>
      <c r="C1502" s="15" t="s">
        <v>25</v>
      </c>
      <c r="D1502" s="15" t="s">
        <v>18</v>
      </c>
      <c r="E1502" s="15" t="s">
        <v>215</v>
      </c>
      <c r="F1502" s="15" t="s">
        <v>32</v>
      </c>
      <c r="G1502" s="87">
        <f>прил4!G746+прил4!G1056</f>
        <v>0</v>
      </c>
      <c r="H1502" s="87">
        <f>прил4!H746+прил4!H1056</f>
        <v>0</v>
      </c>
      <c r="I1502" s="87">
        <f>прил4!I746+прил4!I1056</f>
        <v>0</v>
      </c>
      <c r="J1502" s="17"/>
      <c r="P1502" s="17"/>
      <c r="Q1502" s="17"/>
      <c r="R1502" s="17"/>
      <c r="S1502" s="17"/>
      <c r="T1502" s="17"/>
    </row>
    <row r="1503" spans="1:21" s="22" customFormat="1" ht="52.8">
      <c r="A1503" s="107" t="s">
        <v>1141</v>
      </c>
      <c r="B1503" s="35">
        <v>793</v>
      </c>
      <c r="C1503" s="36" t="s">
        <v>69</v>
      </c>
      <c r="D1503" s="36" t="s">
        <v>303</v>
      </c>
      <c r="E1503" s="36" t="s">
        <v>251</v>
      </c>
      <c r="F1503" s="36"/>
      <c r="G1503" s="71">
        <f>G1504</f>
        <v>257551.71</v>
      </c>
      <c r="H1503" s="71">
        <f>H1506+H1507</f>
        <v>330000</v>
      </c>
      <c r="I1503" s="71">
        <f>I1506+I1507</f>
        <v>330000</v>
      </c>
      <c r="J1503" s="21">
        <v>100000</v>
      </c>
      <c r="P1503" s="21"/>
      <c r="Q1503" s="21"/>
      <c r="R1503" s="21"/>
      <c r="S1503" s="21"/>
      <c r="T1503" s="21">
        <f>прил4!G1899+прил4!G660</f>
        <v>257551.71</v>
      </c>
      <c r="U1503" s="21">
        <f>T1503-G1503</f>
        <v>0</v>
      </c>
    </row>
    <row r="1504" spans="1:21" ht="39.6">
      <c r="A1504" s="16" t="s">
        <v>329</v>
      </c>
      <c r="B1504" s="14">
        <v>793</v>
      </c>
      <c r="C1504" s="15" t="s">
        <v>69</v>
      </c>
      <c r="D1504" s="15" t="s">
        <v>303</v>
      </c>
      <c r="E1504" s="15" t="s">
        <v>252</v>
      </c>
      <c r="F1504" s="15"/>
      <c r="G1504" s="87">
        <f>G1505+G1507</f>
        <v>257551.71</v>
      </c>
      <c r="H1504" s="87">
        <f t="shared" ref="H1504:I1504" si="435">H1505+H1507</f>
        <v>330000</v>
      </c>
      <c r="I1504" s="87">
        <f t="shared" si="435"/>
        <v>330000</v>
      </c>
      <c r="J1504" s="2">
        <v>75000</v>
      </c>
    </row>
    <row r="1505" spans="1:20" ht="26.4">
      <c r="A1505" s="16" t="s">
        <v>37</v>
      </c>
      <c r="B1505" s="14">
        <v>793</v>
      </c>
      <c r="C1505" s="15" t="s">
        <v>69</v>
      </c>
      <c r="D1505" s="15" t="s">
        <v>303</v>
      </c>
      <c r="E1505" s="15" t="s">
        <v>252</v>
      </c>
      <c r="F1505" s="15" t="s">
        <v>36</v>
      </c>
      <c r="G1505" s="87">
        <f>G1506</f>
        <v>57551.71</v>
      </c>
      <c r="H1505" s="87">
        <f t="shared" ref="H1505:I1505" si="436">H1506</f>
        <v>130000</v>
      </c>
      <c r="I1505" s="87">
        <f t="shared" si="436"/>
        <v>130000</v>
      </c>
    </row>
    <row r="1506" spans="1:20" ht="31.5" customHeight="1">
      <c r="A1506" s="16" t="s">
        <v>37</v>
      </c>
      <c r="B1506" s="14">
        <v>793</v>
      </c>
      <c r="C1506" s="15" t="s">
        <v>69</v>
      </c>
      <c r="D1506" s="15" t="s">
        <v>303</v>
      </c>
      <c r="E1506" s="15" t="s">
        <v>252</v>
      </c>
      <c r="F1506" s="15" t="s">
        <v>38</v>
      </c>
      <c r="G1506" s="87">
        <f>прил4!G1901+прил4!G663</f>
        <v>57551.71</v>
      </c>
      <c r="H1506" s="87">
        <f>прил4!H663+прил4!H1901</f>
        <v>130000</v>
      </c>
      <c r="I1506" s="87">
        <f>прил4!I663+прил4!I1901</f>
        <v>130000</v>
      </c>
    </row>
    <row r="1507" spans="1:20" s="18" customFormat="1" ht="26.4">
      <c r="A1507" s="16" t="s">
        <v>29</v>
      </c>
      <c r="B1507" s="14">
        <v>774</v>
      </c>
      <c r="C1507" s="15" t="s">
        <v>69</v>
      </c>
      <c r="D1507" s="15" t="s">
        <v>303</v>
      </c>
      <c r="E1507" s="15" t="s">
        <v>252</v>
      </c>
      <c r="F1507" s="15" t="s">
        <v>30</v>
      </c>
      <c r="G1507" s="70">
        <f t="shared" ref="G1507:I1507" si="437">G1508</f>
        <v>200000</v>
      </c>
      <c r="H1507" s="70">
        <f t="shared" si="437"/>
        <v>200000</v>
      </c>
      <c r="I1507" s="70">
        <f t="shared" si="437"/>
        <v>200000</v>
      </c>
      <c r="P1507" s="17"/>
      <c r="Q1507" s="17"/>
      <c r="R1507" s="17"/>
      <c r="S1507" s="17"/>
      <c r="T1507" s="17"/>
    </row>
    <row r="1508" spans="1:20" s="18" customFormat="1">
      <c r="A1508" s="16" t="s">
        <v>31</v>
      </c>
      <c r="B1508" s="14">
        <v>774</v>
      </c>
      <c r="C1508" s="15" t="s">
        <v>69</v>
      </c>
      <c r="D1508" s="15" t="s">
        <v>303</v>
      </c>
      <c r="E1508" s="15" t="s">
        <v>252</v>
      </c>
      <c r="F1508" s="15" t="s">
        <v>32</v>
      </c>
      <c r="G1508" s="70">
        <f>прил4!G665</f>
        <v>200000</v>
      </c>
      <c r="H1508" s="70">
        <f>прил4!H665</f>
        <v>200000</v>
      </c>
      <c r="I1508" s="70">
        <f>прил4!I665</f>
        <v>200000</v>
      </c>
      <c r="L1508" s="17"/>
      <c r="P1508" s="17"/>
      <c r="Q1508" s="17"/>
      <c r="R1508" s="17"/>
      <c r="S1508" s="17"/>
      <c r="T1508" s="17"/>
    </row>
    <row r="1509" spans="1:20" s="76" customFormat="1" ht="45" customHeight="1">
      <c r="A1509" s="107" t="s">
        <v>1142</v>
      </c>
      <c r="B1509" s="35">
        <v>792</v>
      </c>
      <c r="C1509" s="36" t="s">
        <v>18</v>
      </c>
      <c r="D1509" s="36" t="s">
        <v>53</v>
      </c>
      <c r="E1509" s="36" t="s">
        <v>224</v>
      </c>
      <c r="F1509" s="75"/>
      <c r="G1509" s="71">
        <f>G1510+G1521+G1525+G1527</f>
        <v>15484254.34</v>
      </c>
      <c r="H1509" s="71">
        <f t="shared" ref="H1509:I1509" si="438">H1510+H1521+H1525+H1527</f>
        <v>15498113</v>
      </c>
      <c r="I1509" s="71">
        <f t="shared" si="438"/>
        <v>15636647</v>
      </c>
      <c r="J1509" s="230">
        <v>1012500</v>
      </c>
      <c r="P1509" s="171"/>
      <c r="Q1509" s="230"/>
      <c r="R1509" s="230"/>
      <c r="S1509" s="230"/>
      <c r="T1509" s="230">
        <f>прил4!G1424+прил4!G1464</f>
        <v>15484254.34</v>
      </c>
    </row>
    <row r="1510" spans="1:20" s="46" customFormat="1" ht="51" customHeight="1">
      <c r="A1510" s="16" t="s">
        <v>1161</v>
      </c>
      <c r="B1510" s="14">
        <v>792</v>
      </c>
      <c r="C1510" s="15" t="s">
        <v>18</v>
      </c>
      <c r="D1510" s="15" t="s">
        <v>157</v>
      </c>
      <c r="E1510" s="15" t="s">
        <v>226</v>
      </c>
      <c r="F1510" s="15"/>
      <c r="G1510" s="87">
        <f>G1511+G1518</f>
        <v>15398254.34</v>
      </c>
      <c r="H1510" s="87">
        <f t="shared" ref="H1510:I1510" si="439">H1511</f>
        <v>15412113</v>
      </c>
      <c r="I1510" s="87">
        <f t="shared" si="439"/>
        <v>15550647</v>
      </c>
      <c r="J1510" s="110">
        <v>11992167</v>
      </c>
      <c r="P1510" s="110"/>
      <c r="Q1510" s="110"/>
      <c r="R1510" s="110"/>
      <c r="S1510" s="110"/>
      <c r="T1510" s="110"/>
    </row>
    <row r="1511" spans="1:20" s="46" customFormat="1" ht="34.5" customHeight="1">
      <c r="A1511" s="16" t="s">
        <v>75</v>
      </c>
      <c r="B1511" s="14">
        <v>792</v>
      </c>
      <c r="C1511" s="15" t="s">
        <v>18</v>
      </c>
      <c r="D1511" s="15" t="s">
        <v>157</v>
      </c>
      <c r="E1511" s="15" t="s">
        <v>227</v>
      </c>
      <c r="F1511" s="15"/>
      <c r="G1511" s="87">
        <f>G1512+G1514+G1516</f>
        <v>15235574</v>
      </c>
      <c r="H1511" s="87">
        <f t="shared" ref="H1511:I1511" si="440">H1512+H1514+H1516</f>
        <v>15412113</v>
      </c>
      <c r="I1511" s="87">
        <f t="shared" si="440"/>
        <v>15550647</v>
      </c>
      <c r="J1511" s="110">
        <v>967059</v>
      </c>
      <c r="P1511" s="110"/>
      <c r="Q1511" s="110"/>
      <c r="R1511" s="110"/>
      <c r="S1511" s="110"/>
      <c r="T1511" s="110"/>
    </row>
    <row r="1512" spans="1:20" s="46" customFormat="1" ht="52.8">
      <c r="A1512" s="16" t="s">
        <v>54</v>
      </c>
      <c r="B1512" s="14">
        <v>792</v>
      </c>
      <c r="C1512" s="15" t="s">
        <v>18</v>
      </c>
      <c r="D1512" s="15" t="s">
        <v>157</v>
      </c>
      <c r="E1512" s="15" t="s">
        <v>227</v>
      </c>
      <c r="F1512" s="15" t="s">
        <v>57</v>
      </c>
      <c r="G1512" s="87">
        <f>G1513</f>
        <v>13890860</v>
      </c>
      <c r="H1512" s="87">
        <f>H1513</f>
        <v>14015452</v>
      </c>
      <c r="I1512" s="87">
        <f>I1513</f>
        <v>14153986</v>
      </c>
      <c r="J1512" s="110">
        <v>26000</v>
      </c>
      <c r="P1512" s="110"/>
      <c r="Q1512" s="110"/>
      <c r="R1512" s="110"/>
      <c r="S1512" s="110"/>
      <c r="T1512" s="110"/>
    </row>
    <row r="1513" spans="1:20" s="46" customFormat="1" ht="26.4">
      <c r="A1513" s="16" t="s">
        <v>55</v>
      </c>
      <c r="B1513" s="14">
        <v>792</v>
      </c>
      <c r="C1513" s="15" t="s">
        <v>18</v>
      </c>
      <c r="D1513" s="15" t="s">
        <v>157</v>
      </c>
      <c r="E1513" s="15" t="s">
        <v>227</v>
      </c>
      <c r="F1513" s="15" t="s">
        <v>58</v>
      </c>
      <c r="G1513" s="87">
        <f>прил4!G1428</f>
        <v>13890860</v>
      </c>
      <c r="H1513" s="87">
        <f>прил4!H1428</f>
        <v>14015452</v>
      </c>
      <c r="I1513" s="87">
        <f>прил4!I1428</f>
        <v>14153986</v>
      </c>
      <c r="J1513" s="110">
        <v>3043600</v>
      </c>
      <c r="P1513" s="110"/>
      <c r="Q1513" s="110"/>
      <c r="R1513" s="110"/>
      <c r="S1513" s="110"/>
      <c r="T1513" s="110"/>
    </row>
    <row r="1514" spans="1:20" s="46" customFormat="1" ht="26.4">
      <c r="A1514" s="16" t="s">
        <v>35</v>
      </c>
      <c r="B1514" s="14">
        <v>792</v>
      </c>
      <c r="C1514" s="15" t="s">
        <v>18</v>
      </c>
      <c r="D1514" s="15" t="s">
        <v>157</v>
      </c>
      <c r="E1514" s="15" t="s">
        <v>227</v>
      </c>
      <c r="F1514" s="15" t="s">
        <v>36</v>
      </c>
      <c r="G1514" s="87">
        <f>G1515</f>
        <v>1314713</v>
      </c>
      <c r="H1514" s="87">
        <f>H1515</f>
        <v>1369661</v>
      </c>
      <c r="I1514" s="87">
        <f>I1515</f>
        <v>1369661</v>
      </c>
      <c r="J1514" s="110">
        <v>50000</v>
      </c>
      <c r="P1514" s="110"/>
      <c r="Q1514" s="110"/>
      <c r="R1514" s="110"/>
      <c r="S1514" s="110"/>
      <c r="T1514" s="110"/>
    </row>
    <row r="1515" spans="1:20" s="46" customFormat="1" ht="26.4">
      <c r="A1515" s="16" t="s">
        <v>37</v>
      </c>
      <c r="B1515" s="14">
        <v>792</v>
      </c>
      <c r="C1515" s="15" t="s">
        <v>18</v>
      </c>
      <c r="D1515" s="15" t="s">
        <v>157</v>
      </c>
      <c r="E1515" s="15" t="s">
        <v>227</v>
      </c>
      <c r="F1515" s="15" t="s">
        <v>38</v>
      </c>
      <c r="G1515" s="87">
        <f>прил4!G1430</f>
        <v>1314713</v>
      </c>
      <c r="H1515" s="87">
        <f>прил4!H1430</f>
        <v>1369661</v>
      </c>
      <c r="I1515" s="87">
        <f>прил4!I1430</f>
        <v>1369661</v>
      </c>
      <c r="J1515" s="110">
        <v>15487188</v>
      </c>
      <c r="P1515" s="110"/>
      <c r="Q1515" s="110"/>
      <c r="R1515" s="110"/>
      <c r="S1515" s="110"/>
      <c r="T1515" s="110"/>
    </row>
    <row r="1516" spans="1:20" s="46" customFormat="1">
      <c r="A1516" s="30" t="s">
        <v>62</v>
      </c>
      <c r="B1516" s="14">
        <v>792</v>
      </c>
      <c r="C1516" s="15" t="s">
        <v>18</v>
      </c>
      <c r="D1516" s="15" t="s">
        <v>157</v>
      </c>
      <c r="E1516" s="15" t="s">
        <v>227</v>
      </c>
      <c r="F1516" s="15" t="s">
        <v>63</v>
      </c>
      <c r="G1516" s="70">
        <f>G1517</f>
        <v>30001</v>
      </c>
      <c r="H1516" s="70">
        <f>H1517</f>
        <v>27000</v>
      </c>
      <c r="I1516" s="70">
        <f>I1517</f>
        <v>27000</v>
      </c>
      <c r="J1516" s="110">
        <v>4802400</v>
      </c>
      <c r="P1516" s="110"/>
      <c r="Q1516" s="110"/>
      <c r="R1516" s="110"/>
      <c r="S1516" s="110"/>
      <c r="T1516" s="110"/>
    </row>
    <row r="1517" spans="1:20" s="46" customFormat="1">
      <c r="A1517" s="30" t="s">
        <v>140</v>
      </c>
      <c r="B1517" s="14">
        <v>792</v>
      </c>
      <c r="C1517" s="15" t="s">
        <v>18</v>
      </c>
      <c r="D1517" s="15" t="s">
        <v>157</v>
      </c>
      <c r="E1517" s="15" t="s">
        <v>227</v>
      </c>
      <c r="F1517" s="15" t="s">
        <v>66</v>
      </c>
      <c r="G1517" s="70">
        <f>прил4!G1432</f>
        <v>30001</v>
      </c>
      <c r="H1517" s="70">
        <f>прил4!H1432</f>
        <v>27000</v>
      </c>
      <c r="I1517" s="70">
        <f>прил4!I1432</f>
        <v>27000</v>
      </c>
      <c r="J1517" s="110">
        <v>16556640</v>
      </c>
      <c r="P1517" s="110"/>
      <c r="Q1517" s="110"/>
      <c r="R1517" s="110"/>
      <c r="S1517" s="110"/>
      <c r="T1517" s="110"/>
    </row>
    <row r="1518" spans="1:20" ht="84.75" customHeight="1">
      <c r="A1518" s="82" t="s">
        <v>1435</v>
      </c>
      <c r="B1518" s="145">
        <v>792</v>
      </c>
      <c r="C1518" s="84" t="s">
        <v>18</v>
      </c>
      <c r="D1518" s="84" t="s">
        <v>157</v>
      </c>
      <c r="E1518" s="84" t="s">
        <v>1527</v>
      </c>
      <c r="F1518" s="84"/>
      <c r="G1518" s="87">
        <f>G1519</f>
        <v>162680.34</v>
      </c>
      <c r="H1518" s="87">
        <f t="shared" ref="H1518:I1518" si="441">H1519</f>
        <v>0</v>
      </c>
      <c r="I1518" s="87">
        <f t="shared" si="441"/>
        <v>0</v>
      </c>
      <c r="J1518" s="173"/>
      <c r="K1518" s="181"/>
      <c r="L1518" s="181"/>
      <c r="M1518" s="181"/>
      <c r="N1518" s="181"/>
      <c r="O1518" s="181"/>
      <c r="P1518" s="181"/>
      <c r="Q1518" s="181"/>
      <c r="R1518" s="181"/>
      <c r="S1518" s="1"/>
      <c r="T1518" s="1"/>
    </row>
    <row r="1519" spans="1:20" ht="29.25" customHeight="1">
      <c r="A1519" s="82" t="s">
        <v>54</v>
      </c>
      <c r="B1519" s="145">
        <v>792</v>
      </c>
      <c r="C1519" s="84" t="s">
        <v>18</v>
      </c>
      <c r="D1519" s="84" t="s">
        <v>157</v>
      </c>
      <c r="E1519" s="84" t="s">
        <v>1527</v>
      </c>
      <c r="F1519" s="84" t="s">
        <v>57</v>
      </c>
      <c r="G1519" s="87">
        <f>G1520</f>
        <v>162680.34</v>
      </c>
      <c r="H1519" s="87">
        <f>H1520</f>
        <v>0</v>
      </c>
      <c r="I1519" s="87">
        <f>I1520</f>
        <v>0</v>
      </c>
      <c r="J1519" s="173"/>
      <c r="K1519" s="181"/>
      <c r="L1519" s="181"/>
      <c r="M1519" s="181"/>
      <c r="N1519" s="181"/>
      <c r="O1519" s="181"/>
      <c r="P1519" s="181"/>
      <c r="Q1519" s="181"/>
      <c r="R1519" s="181"/>
      <c r="S1519" s="1"/>
      <c r="T1519" s="1"/>
    </row>
    <row r="1520" spans="1:20" ht="36.75" customHeight="1">
      <c r="A1520" s="82" t="s">
        <v>55</v>
      </c>
      <c r="B1520" s="145">
        <v>792</v>
      </c>
      <c r="C1520" s="84" t="s">
        <v>18</v>
      </c>
      <c r="D1520" s="84" t="s">
        <v>157</v>
      </c>
      <c r="E1520" s="84" t="s">
        <v>1527</v>
      </c>
      <c r="F1520" s="84" t="s">
        <v>58</v>
      </c>
      <c r="G1520" s="70">
        <f>прил4!G1435</f>
        <v>162680.34</v>
      </c>
      <c r="H1520" s="87">
        <v>0</v>
      </c>
      <c r="I1520" s="87">
        <v>0</v>
      </c>
      <c r="J1520" s="173"/>
      <c r="K1520" s="181"/>
      <c r="L1520" s="181"/>
      <c r="M1520" s="181"/>
      <c r="N1520" s="181"/>
      <c r="O1520" s="181"/>
      <c r="P1520" s="181"/>
      <c r="Q1520" s="181"/>
      <c r="R1520" s="181"/>
      <c r="S1520" s="1"/>
      <c r="T1520" s="1"/>
    </row>
    <row r="1521" spans="1:20" s="28" customFormat="1" ht="40.5" customHeight="1">
      <c r="A1521" s="16" t="s">
        <v>1160</v>
      </c>
      <c r="B1521" s="14">
        <v>792</v>
      </c>
      <c r="C1521" s="15" t="s">
        <v>22</v>
      </c>
      <c r="D1521" s="15" t="s">
        <v>18</v>
      </c>
      <c r="E1521" s="15" t="s">
        <v>230</v>
      </c>
      <c r="F1521" s="39"/>
      <c r="G1521" s="87">
        <f>G1522</f>
        <v>86000</v>
      </c>
      <c r="H1521" s="87">
        <f t="shared" ref="H1521:I1523" si="442">H1522</f>
        <v>86000</v>
      </c>
      <c r="I1521" s="87">
        <f t="shared" si="442"/>
        <v>86000</v>
      </c>
      <c r="J1521" s="109">
        <v>3200000</v>
      </c>
      <c r="P1521" s="109"/>
      <c r="Q1521" s="109"/>
      <c r="R1521" s="109"/>
      <c r="S1521" s="109"/>
      <c r="T1521" s="109"/>
    </row>
    <row r="1522" spans="1:20">
      <c r="A1522" s="16" t="s">
        <v>297</v>
      </c>
      <c r="B1522" s="14">
        <v>792</v>
      </c>
      <c r="C1522" s="15" t="s">
        <v>22</v>
      </c>
      <c r="D1522" s="15" t="s">
        <v>18</v>
      </c>
      <c r="E1522" s="15" t="s">
        <v>231</v>
      </c>
      <c r="F1522" s="15"/>
      <c r="G1522" s="87">
        <f>G1523</f>
        <v>86000</v>
      </c>
      <c r="H1522" s="87">
        <f t="shared" si="442"/>
        <v>86000</v>
      </c>
      <c r="I1522" s="87">
        <f t="shared" si="442"/>
        <v>86000</v>
      </c>
      <c r="J1522" s="2">
        <f>SUM(J1509:J1521)</f>
        <v>57137554</v>
      </c>
    </row>
    <row r="1523" spans="1:20">
      <c r="A1523" s="16" t="s">
        <v>298</v>
      </c>
      <c r="B1523" s="14">
        <v>792</v>
      </c>
      <c r="C1523" s="15" t="s">
        <v>22</v>
      </c>
      <c r="D1523" s="15" t="s">
        <v>18</v>
      </c>
      <c r="E1523" s="15" t="s">
        <v>231</v>
      </c>
      <c r="F1523" s="15" t="s">
        <v>299</v>
      </c>
      <c r="G1523" s="87">
        <f>G1524</f>
        <v>86000</v>
      </c>
      <c r="H1523" s="87">
        <f t="shared" si="442"/>
        <v>86000</v>
      </c>
      <c r="I1523" s="87">
        <f t="shared" si="442"/>
        <v>86000</v>
      </c>
      <c r="J1523" s="2">
        <f>H1509-J1522</f>
        <v>-41639441</v>
      </c>
    </row>
    <row r="1524" spans="1:20">
      <c r="A1524" s="16" t="s">
        <v>300</v>
      </c>
      <c r="B1524" s="14">
        <v>792</v>
      </c>
      <c r="C1524" s="15" t="s">
        <v>22</v>
      </c>
      <c r="D1524" s="15" t="s">
        <v>18</v>
      </c>
      <c r="E1524" s="15" t="s">
        <v>231</v>
      </c>
      <c r="F1524" s="15" t="s">
        <v>301</v>
      </c>
      <c r="G1524" s="87">
        <f>прил4!G1468+прил4!G2851</f>
        <v>86000</v>
      </c>
      <c r="H1524" s="87">
        <f>прил4!H1468+прил4!H2851</f>
        <v>86000</v>
      </c>
      <c r="I1524" s="87">
        <f>прил4!I1468+прил4!I2851</f>
        <v>86000</v>
      </c>
    </row>
    <row r="1525" spans="1:20" s="18" customFormat="1" ht="39.6" hidden="1">
      <c r="A1525" s="16" t="s">
        <v>151</v>
      </c>
      <c r="B1525" s="14">
        <v>792</v>
      </c>
      <c r="C1525" s="15" t="s">
        <v>303</v>
      </c>
      <c r="D1525" s="15" t="s">
        <v>18</v>
      </c>
      <c r="E1525" s="15" t="s">
        <v>225</v>
      </c>
      <c r="F1525" s="15"/>
      <c r="G1525" s="87">
        <f>G1540+G1544+G1547+G1526+G1535</f>
        <v>0</v>
      </c>
      <c r="H1525" s="87">
        <f t="shared" ref="H1525:I1525" si="443">H1540+H1544+H1547+H1526+H1535</f>
        <v>0</v>
      </c>
      <c r="I1525" s="87">
        <f t="shared" si="443"/>
        <v>0</v>
      </c>
      <c r="J1525" s="17"/>
      <c r="P1525" s="17"/>
      <c r="Q1525" s="17"/>
      <c r="R1525" s="17"/>
      <c r="S1525" s="17"/>
      <c r="T1525" s="17"/>
    </row>
    <row r="1526" spans="1:20" s="28" customFormat="1" ht="26.4" hidden="1">
      <c r="A1526" s="16" t="s">
        <v>161</v>
      </c>
      <c r="B1526" s="14">
        <v>792</v>
      </c>
      <c r="C1526" s="15" t="s">
        <v>27</v>
      </c>
      <c r="D1526" s="15" t="s">
        <v>69</v>
      </c>
      <c r="E1526" s="15" t="s">
        <v>372</v>
      </c>
      <c r="F1526" s="39"/>
      <c r="G1526" s="87">
        <f>G1533</f>
        <v>0</v>
      </c>
      <c r="H1526" s="87">
        <f>H1533</f>
        <v>0</v>
      </c>
      <c r="I1526" s="87">
        <f>I1533</f>
        <v>0</v>
      </c>
      <c r="J1526" s="109"/>
      <c r="P1526" s="109"/>
      <c r="Q1526" s="109"/>
      <c r="R1526" s="109"/>
      <c r="S1526" s="109"/>
      <c r="T1526" s="109"/>
    </row>
    <row r="1527" spans="1:20" s="46" customFormat="1" ht="41.25" hidden="1" customHeight="1">
      <c r="A1527" s="16" t="s">
        <v>151</v>
      </c>
      <c r="B1527" s="305">
        <v>800</v>
      </c>
      <c r="C1527" s="15" t="s">
        <v>27</v>
      </c>
      <c r="D1527" s="15" t="s">
        <v>69</v>
      </c>
      <c r="E1527" s="15" t="s">
        <v>225</v>
      </c>
      <c r="F1527" s="15"/>
      <c r="G1527" s="70">
        <f t="shared" ref="G1527:I1527" si="444">G1528</f>
        <v>0</v>
      </c>
      <c r="H1527" s="70">
        <f t="shared" si="444"/>
        <v>0</v>
      </c>
      <c r="I1527" s="70">
        <f t="shared" si="444"/>
        <v>0</v>
      </c>
      <c r="J1527" s="172"/>
      <c r="K1527" s="58"/>
      <c r="L1527" s="58"/>
      <c r="M1527" s="58"/>
      <c r="N1527" s="58"/>
      <c r="O1527" s="58"/>
      <c r="P1527" s="58"/>
      <c r="Q1527" s="58"/>
      <c r="R1527" s="58"/>
    </row>
    <row r="1528" spans="1:20" s="28" customFormat="1" ht="26.4" hidden="1">
      <c r="A1528" s="16" t="s">
        <v>161</v>
      </c>
      <c r="B1528" s="305">
        <v>800</v>
      </c>
      <c r="C1528" s="15" t="s">
        <v>27</v>
      </c>
      <c r="D1528" s="15" t="s">
        <v>69</v>
      </c>
      <c r="E1528" s="15" t="s">
        <v>372</v>
      </c>
      <c r="F1528" s="39"/>
      <c r="G1528" s="70"/>
      <c r="H1528" s="70"/>
      <c r="I1528" s="70"/>
      <c r="J1528" s="172"/>
      <c r="K1528" s="313"/>
      <c r="L1528" s="313"/>
      <c r="M1528" s="313"/>
      <c r="N1528" s="313"/>
      <c r="O1528" s="313"/>
      <c r="P1528" s="313"/>
      <c r="Q1528" s="313"/>
      <c r="R1528" s="313"/>
    </row>
    <row r="1529" spans="1:20" ht="22.5" hidden="1" customHeight="1">
      <c r="A1529" s="82" t="s">
        <v>55</v>
      </c>
      <c r="B1529" s="305">
        <v>800</v>
      </c>
      <c r="C1529" s="15" t="s">
        <v>27</v>
      </c>
      <c r="D1529" s="15" t="s">
        <v>69</v>
      </c>
      <c r="E1529" s="15" t="s">
        <v>372</v>
      </c>
      <c r="F1529" s="15" t="s">
        <v>57</v>
      </c>
      <c r="G1529" s="70"/>
      <c r="H1529" s="70"/>
      <c r="I1529" s="70"/>
      <c r="J1529" s="172"/>
      <c r="K1529" s="69"/>
      <c r="L1529" s="69"/>
      <c r="M1529" s="69"/>
      <c r="N1529" s="69"/>
      <c r="O1529" s="69"/>
      <c r="P1529" s="69"/>
      <c r="Q1529" s="69"/>
      <c r="R1529" s="69"/>
      <c r="S1529" s="1"/>
      <c r="T1529" s="1"/>
    </row>
    <row r="1530" spans="1:20" hidden="1">
      <c r="A1530" s="82" t="s">
        <v>316</v>
      </c>
      <c r="B1530" s="305">
        <v>800</v>
      </c>
      <c r="C1530" s="15" t="s">
        <v>27</v>
      </c>
      <c r="D1530" s="15" t="s">
        <v>69</v>
      </c>
      <c r="E1530" s="15" t="s">
        <v>372</v>
      </c>
      <c r="F1530" s="15" t="s">
        <v>58</v>
      </c>
      <c r="G1530" s="70"/>
      <c r="H1530" s="70"/>
      <c r="I1530" s="70"/>
      <c r="J1530" s="172"/>
      <c r="K1530" s="69"/>
      <c r="L1530" s="69"/>
      <c r="M1530" s="69"/>
      <c r="N1530" s="69"/>
      <c r="O1530" s="69"/>
      <c r="P1530" s="69"/>
      <c r="Q1530" s="69"/>
      <c r="R1530" s="69"/>
      <c r="S1530" s="1"/>
      <c r="T1530" s="1"/>
    </row>
    <row r="1531" spans="1:20" ht="22.5" hidden="1" customHeight="1">
      <c r="A1531" s="82" t="s">
        <v>55</v>
      </c>
      <c r="B1531" s="305">
        <v>800</v>
      </c>
      <c r="C1531" s="15" t="s">
        <v>27</v>
      </c>
      <c r="D1531" s="15" t="s">
        <v>69</v>
      </c>
      <c r="E1531" s="15" t="s">
        <v>372</v>
      </c>
      <c r="F1531" s="84" t="s">
        <v>36</v>
      </c>
      <c r="G1531" s="70"/>
      <c r="H1531" s="70"/>
      <c r="I1531" s="70"/>
      <c r="J1531" s="172"/>
      <c r="K1531" s="69"/>
      <c r="L1531" s="69"/>
      <c r="M1531" s="69"/>
      <c r="N1531" s="69"/>
      <c r="O1531" s="69"/>
      <c r="P1531" s="69"/>
      <c r="Q1531" s="69"/>
      <c r="R1531" s="69"/>
      <c r="S1531" s="1"/>
      <c r="T1531" s="1"/>
    </row>
    <row r="1532" spans="1:20" hidden="1">
      <c r="A1532" s="82" t="s">
        <v>316</v>
      </c>
      <c r="B1532" s="305">
        <v>800</v>
      </c>
      <c r="C1532" s="15" t="s">
        <v>27</v>
      </c>
      <c r="D1532" s="15" t="s">
        <v>69</v>
      </c>
      <c r="E1532" s="15" t="s">
        <v>372</v>
      </c>
      <c r="F1532" s="84" t="s">
        <v>38</v>
      </c>
      <c r="G1532" s="70"/>
      <c r="H1532" s="70"/>
      <c r="I1532" s="70"/>
      <c r="J1532" s="172"/>
      <c r="K1532" s="69"/>
      <c r="L1532" s="69"/>
      <c r="M1532" s="69"/>
      <c r="N1532" s="69"/>
      <c r="O1532" s="69"/>
      <c r="P1532" s="69"/>
      <c r="Q1532" s="69"/>
      <c r="R1532" s="69"/>
      <c r="S1532" s="1"/>
      <c r="T1532" s="1"/>
    </row>
    <row r="1533" spans="1:20" hidden="1">
      <c r="A1533" s="16" t="s">
        <v>152</v>
      </c>
      <c r="B1533" s="14">
        <v>792</v>
      </c>
      <c r="C1533" s="15" t="s">
        <v>27</v>
      </c>
      <c r="D1533" s="15" t="s">
        <v>69</v>
      </c>
      <c r="E1533" s="15" t="s">
        <v>372</v>
      </c>
      <c r="F1533" s="15" t="s">
        <v>153</v>
      </c>
      <c r="G1533" s="87">
        <f t="shared" ref="G1533:I1533" si="445">G1534</f>
        <v>0</v>
      </c>
      <c r="H1533" s="87">
        <f t="shared" si="445"/>
        <v>0</v>
      </c>
      <c r="I1533" s="87">
        <f t="shared" si="445"/>
        <v>0</v>
      </c>
    </row>
    <row r="1534" spans="1:20" hidden="1">
      <c r="A1534" s="16" t="s">
        <v>154</v>
      </c>
      <c r="B1534" s="14">
        <v>792</v>
      </c>
      <c r="C1534" s="15" t="s">
        <v>27</v>
      </c>
      <c r="D1534" s="15" t="s">
        <v>69</v>
      </c>
      <c r="E1534" s="15" t="s">
        <v>372</v>
      </c>
      <c r="F1534" s="15" t="s">
        <v>155</v>
      </c>
      <c r="G1534" s="87">
        <f>прил4!G1450</f>
        <v>0</v>
      </c>
      <c r="H1534" s="87">
        <f>прил4!H1450</f>
        <v>0</v>
      </c>
      <c r="I1534" s="87">
        <f>прил4!I1450</f>
        <v>0</v>
      </c>
    </row>
    <row r="1535" spans="1:20" ht="66" hidden="1">
      <c r="A1535" s="16" t="s">
        <v>652</v>
      </c>
      <c r="B1535" s="14">
        <v>792</v>
      </c>
      <c r="C1535" s="15" t="s">
        <v>18</v>
      </c>
      <c r="D1535" s="15" t="s">
        <v>53</v>
      </c>
      <c r="E1535" s="15" t="s">
        <v>651</v>
      </c>
      <c r="F1535" s="15"/>
      <c r="G1535" s="87">
        <f t="shared" ref="G1535:I1536" si="446">G1536</f>
        <v>0</v>
      </c>
      <c r="H1535" s="87">
        <f t="shared" si="446"/>
        <v>0</v>
      </c>
      <c r="I1535" s="87">
        <f t="shared" si="446"/>
        <v>0</v>
      </c>
    </row>
    <row r="1536" spans="1:20" hidden="1">
      <c r="A1536" s="16" t="s">
        <v>152</v>
      </c>
      <c r="B1536" s="14">
        <v>792</v>
      </c>
      <c r="C1536" s="15" t="s">
        <v>18</v>
      </c>
      <c r="D1536" s="15" t="s">
        <v>53</v>
      </c>
      <c r="E1536" s="15" t="s">
        <v>651</v>
      </c>
      <c r="F1536" s="15" t="s">
        <v>153</v>
      </c>
      <c r="G1536" s="87">
        <f t="shared" si="446"/>
        <v>0</v>
      </c>
      <c r="H1536" s="87">
        <f t="shared" si="446"/>
        <v>0</v>
      </c>
      <c r="I1536" s="87">
        <f t="shared" si="446"/>
        <v>0</v>
      </c>
    </row>
    <row r="1537" spans="1:20" hidden="1">
      <c r="A1537" s="16" t="s">
        <v>154</v>
      </c>
      <c r="B1537" s="14">
        <v>792</v>
      </c>
      <c r="C1537" s="15" t="s">
        <v>18</v>
      </c>
      <c r="D1537" s="15" t="s">
        <v>53</v>
      </c>
      <c r="E1537" s="15" t="s">
        <v>651</v>
      </c>
      <c r="F1537" s="15" t="s">
        <v>155</v>
      </c>
      <c r="G1537" s="87">
        <f>прил4!G1422</f>
        <v>0</v>
      </c>
      <c r="H1537" s="87">
        <f>прил4!H1422</f>
        <v>0</v>
      </c>
      <c r="I1537" s="87">
        <f>прил4!I1422</f>
        <v>0</v>
      </c>
    </row>
    <row r="1538" spans="1:20" s="28" customFormat="1" ht="29.25" hidden="1" customHeight="1">
      <c r="A1538" s="16" t="s">
        <v>308</v>
      </c>
      <c r="B1538" s="14">
        <v>792</v>
      </c>
      <c r="C1538" s="15" t="s">
        <v>303</v>
      </c>
      <c r="D1538" s="15" t="s">
        <v>18</v>
      </c>
      <c r="E1538" s="15" t="s">
        <v>232</v>
      </c>
      <c r="F1538" s="15"/>
      <c r="G1538" s="87">
        <f t="shared" ref="G1538:I1539" si="447">G1539</f>
        <v>0</v>
      </c>
      <c r="H1538" s="87">
        <f t="shared" si="447"/>
        <v>0</v>
      </c>
      <c r="I1538" s="87">
        <f t="shared" si="447"/>
        <v>0</v>
      </c>
      <c r="J1538" s="109"/>
      <c r="P1538" s="109"/>
      <c r="Q1538" s="109"/>
      <c r="R1538" s="109"/>
      <c r="S1538" s="109"/>
      <c r="T1538" s="109"/>
    </row>
    <row r="1539" spans="1:20" s="28" customFormat="1" hidden="1">
      <c r="A1539" s="16" t="s">
        <v>152</v>
      </c>
      <c r="B1539" s="14">
        <v>792</v>
      </c>
      <c r="C1539" s="15" t="s">
        <v>303</v>
      </c>
      <c r="D1539" s="15" t="s">
        <v>18</v>
      </c>
      <c r="E1539" s="15" t="s">
        <v>232</v>
      </c>
      <c r="F1539" s="15" t="s">
        <v>153</v>
      </c>
      <c r="G1539" s="87">
        <f t="shared" si="447"/>
        <v>0</v>
      </c>
      <c r="H1539" s="87">
        <f t="shared" si="447"/>
        <v>0</v>
      </c>
      <c r="I1539" s="87">
        <f t="shared" si="447"/>
        <v>0</v>
      </c>
      <c r="J1539" s="109"/>
      <c r="P1539" s="109"/>
      <c r="Q1539" s="109"/>
      <c r="R1539" s="109"/>
      <c r="S1539" s="109"/>
      <c r="T1539" s="109"/>
    </row>
    <row r="1540" spans="1:20" s="3" customFormat="1" hidden="1">
      <c r="A1540" s="16" t="s">
        <v>306</v>
      </c>
      <c r="B1540" s="14">
        <v>792</v>
      </c>
      <c r="C1540" s="15" t="s">
        <v>303</v>
      </c>
      <c r="D1540" s="15" t="s">
        <v>18</v>
      </c>
      <c r="E1540" s="15" t="s">
        <v>232</v>
      </c>
      <c r="F1540" s="15" t="s">
        <v>307</v>
      </c>
      <c r="G1540" s="87">
        <f>прил4!G1478</f>
        <v>0</v>
      </c>
      <c r="H1540" s="87">
        <f>прил4!H1478</f>
        <v>0</v>
      </c>
      <c r="I1540" s="87">
        <f>прил4!I1478</f>
        <v>0</v>
      </c>
      <c r="J1540" s="111"/>
      <c r="P1540" s="111"/>
      <c r="Q1540" s="111"/>
      <c r="R1540" s="111"/>
      <c r="S1540" s="111"/>
      <c r="T1540" s="111"/>
    </row>
    <row r="1541" spans="1:20" s="3" customFormat="1" hidden="1">
      <c r="A1541" s="16" t="s">
        <v>6</v>
      </c>
      <c r="B1541" s="14">
        <v>792</v>
      </c>
      <c r="C1541" s="15" t="s">
        <v>303</v>
      </c>
      <c r="D1541" s="15" t="s">
        <v>18</v>
      </c>
      <c r="E1541" s="15" t="s">
        <v>232</v>
      </c>
      <c r="F1541" s="15" t="s">
        <v>5</v>
      </c>
      <c r="G1541" s="87"/>
      <c r="H1541" s="87"/>
      <c r="I1541" s="87"/>
      <c r="J1541" s="111"/>
      <c r="P1541" s="111"/>
      <c r="Q1541" s="111"/>
      <c r="R1541" s="111"/>
      <c r="S1541" s="111"/>
      <c r="T1541" s="111"/>
    </row>
    <row r="1542" spans="1:20" s="18" customFormat="1" ht="26.4" hidden="1">
      <c r="A1542" s="16" t="s">
        <v>305</v>
      </c>
      <c r="B1542" s="14">
        <v>792</v>
      </c>
      <c r="C1542" s="15" t="s">
        <v>303</v>
      </c>
      <c r="D1542" s="15" t="s">
        <v>18</v>
      </c>
      <c r="E1542" s="15" t="s">
        <v>277</v>
      </c>
      <c r="F1542" s="15"/>
      <c r="G1542" s="87">
        <f t="shared" ref="G1542:I1543" si="448">G1543</f>
        <v>0</v>
      </c>
      <c r="H1542" s="87">
        <f t="shared" si="448"/>
        <v>0</v>
      </c>
      <c r="I1542" s="87">
        <f t="shared" si="448"/>
        <v>0</v>
      </c>
      <c r="J1542" s="17"/>
      <c r="P1542" s="17"/>
      <c r="Q1542" s="17"/>
      <c r="R1542" s="17"/>
      <c r="S1542" s="17"/>
      <c r="T1542" s="17"/>
    </row>
    <row r="1543" spans="1:20" s="18" customFormat="1" hidden="1">
      <c r="A1543" s="16" t="s">
        <v>152</v>
      </c>
      <c r="B1543" s="14">
        <v>792</v>
      </c>
      <c r="C1543" s="15" t="s">
        <v>303</v>
      </c>
      <c r="D1543" s="15" t="s">
        <v>18</v>
      </c>
      <c r="E1543" s="15" t="s">
        <v>277</v>
      </c>
      <c r="F1543" s="15" t="s">
        <v>153</v>
      </c>
      <c r="G1543" s="87">
        <f t="shared" si="448"/>
        <v>0</v>
      </c>
      <c r="H1543" s="87">
        <f t="shared" si="448"/>
        <v>0</v>
      </c>
      <c r="I1543" s="87">
        <f t="shared" si="448"/>
        <v>0</v>
      </c>
      <c r="J1543" s="17"/>
      <c r="P1543" s="17"/>
      <c r="Q1543" s="17"/>
      <c r="R1543" s="17"/>
      <c r="S1543" s="17"/>
      <c r="T1543" s="17"/>
    </row>
    <row r="1544" spans="1:20" s="18" customFormat="1" hidden="1">
      <c r="A1544" s="16" t="s">
        <v>306</v>
      </c>
      <c r="B1544" s="14">
        <v>792</v>
      </c>
      <c r="C1544" s="15" t="s">
        <v>303</v>
      </c>
      <c r="D1544" s="15" t="s">
        <v>18</v>
      </c>
      <c r="E1544" s="15" t="s">
        <v>277</v>
      </c>
      <c r="F1544" s="15" t="s">
        <v>307</v>
      </c>
      <c r="G1544" s="87">
        <f>прил4!G1475</f>
        <v>0</v>
      </c>
      <c r="H1544" s="87">
        <f>прил4!H1475</f>
        <v>0</v>
      </c>
      <c r="I1544" s="87">
        <f>прил4!I1475</f>
        <v>0</v>
      </c>
      <c r="J1544" s="17"/>
      <c r="P1544" s="17"/>
      <c r="Q1544" s="17"/>
      <c r="R1544" s="17"/>
      <c r="S1544" s="17"/>
      <c r="T1544" s="17"/>
    </row>
    <row r="1545" spans="1:20" s="3" customFormat="1" ht="26.4" hidden="1">
      <c r="A1545" s="16" t="s">
        <v>455</v>
      </c>
      <c r="B1545" s="14"/>
      <c r="C1545" s="15"/>
      <c r="D1545" s="15"/>
      <c r="E1545" s="15" t="s">
        <v>233</v>
      </c>
      <c r="F1545" s="15"/>
      <c r="G1545" s="87">
        <f t="shared" ref="G1545:I1546" si="449">G1546</f>
        <v>0</v>
      </c>
      <c r="H1545" s="87">
        <f t="shared" si="449"/>
        <v>0</v>
      </c>
      <c r="I1545" s="87">
        <f t="shared" si="449"/>
        <v>0</v>
      </c>
      <c r="J1545" s="111"/>
      <c r="P1545" s="111"/>
      <c r="Q1545" s="111"/>
      <c r="R1545" s="111"/>
      <c r="S1545" s="111"/>
      <c r="T1545" s="111"/>
    </row>
    <row r="1546" spans="1:20" s="3" customFormat="1" hidden="1">
      <c r="A1546" s="16" t="s">
        <v>152</v>
      </c>
      <c r="B1546" s="14">
        <v>792</v>
      </c>
      <c r="C1546" s="15" t="s">
        <v>303</v>
      </c>
      <c r="D1546" s="15" t="s">
        <v>69</v>
      </c>
      <c r="E1546" s="15" t="s">
        <v>233</v>
      </c>
      <c r="F1546" s="15" t="s">
        <v>153</v>
      </c>
      <c r="G1546" s="87">
        <f t="shared" si="449"/>
        <v>0</v>
      </c>
      <c r="H1546" s="87">
        <f t="shared" si="449"/>
        <v>0</v>
      </c>
      <c r="I1546" s="87">
        <f t="shared" si="449"/>
        <v>0</v>
      </c>
      <c r="J1546" s="111"/>
      <c r="P1546" s="111"/>
      <c r="Q1546" s="111"/>
      <c r="R1546" s="111"/>
      <c r="S1546" s="111"/>
      <c r="T1546" s="111"/>
    </row>
    <row r="1547" spans="1:20" s="3" customFormat="1" hidden="1">
      <c r="A1547" s="16" t="s">
        <v>172</v>
      </c>
      <c r="B1547" s="14">
        <v>792</v>
      </c>
      <c r="C1547" s="15" t="s">
        <v>303</v>
      </c>
      <c r="D1547" s="15" t="s">
        <v>69</v>
      </c>
      <c r="E1547" s="15" t="s">
        <v>233</v>
      </c>
      <c r="F1547" s="15" t="s">
        <v>173</v>
      </c>
      <c r="G1547" s="87">
        <f>прил4!G1484</f>
        <v>0</v>
      </c>
      <c r="H1547" s="87">
        <f>прил4!H1484</f>
        <v>0</v>
      </c>
      <c r="I1547" s="87">
        <f>прил4!I1484</f>
        <v>0</v>
      </c>
      <c r="J1547" s="111"/>
      <c r="P1547" s="111"/>
      <c r="Q1547" s="111"/>
      <c r="R1547" s="111"/>
      <c r="S1547" s="111"/>
      <c r="T1547" s="111"/>
    </row>
    <row r="1548" spans="1:20" s="76" customFormat="1" ht="66">
      <c r="A1548" s="343" t="s">
        <v>1143</v>
      </c>
      <c r="B1548" s="35">
        <v>793</v>
      </c>
      <c r="C1548" s="36" t="s">
        <v>69</v>
      </c>
      <c r="D1548" s="36" t="s">
        <v>120</v>
      </c>
      <c r="E1548" s="36" t="s">
        <v>246</v>
      </c>
      <c r="F1548" s="75"/>
      <c r="G1548" s="71">
        <f>G1555+G1560+G1563+G1572+G1581+G1554+G1549+G1566+G1584+G1569+G1587+G1575+G1578+G1600+G1588+G1591+G1596+G1599</f>
        <v>17675298.050000001</v>
      </c>
      <c r="H1548" s="71">
        <f t="shared" ref="H1548:I1548" si="450">H1555+H1560+H1563+H1572+H1581+H1554+H1549+H1566+H1584+H1569+H1587+H1575+H1578</f>
        <v>2250000</v>
      </c>
      <c r="I1548" s="71">
        <f t="shared" si="450"/>
        <v>2250000</v>
      </c>
      <c r="J1548" s="71">
        <f t="shared" ref="J1548:O1548" si="451">J1555+J1560+J1563+J1572+J1581+J1554+J1549+J1566+J1584+J1569+J1587+J1575</f>
        <v>50000</v>
      </c>
      <c r="K1548" s="71">
        <f t="shared" si="451"/>
        <v>0</v>
      </c>
      <c r="L1548" s="71">
        <f t="shared" si="451"/>
        <v>0</v>
      </c>
      <c r="M1548" s="71">
        <f t="shared" si="451"/>
        <v>0</v>
      </c>
      <c r="N1548" s="71">
        <f t="shared" si="451"/>
        <v>0</v>
      </c>
      <c r="O1548" s="71">
        <f t="shared" si="451"/>
        <v>0</v>
      </c>
      <c r="P1548" s="171"/>
      <c r="Q1548" s="232"/>
      <c r="R1548" s="230"/>
      <c r="S1548" s="230"/>
      <c r="T1548" s="230">
        <f>прил4!G1781+прил4!G1817</f>
        <v>17675298.050000001</v>
      </c>
    </row>
    <row r="1549" spans="1:20" s="28" customFormat="1" ht="26.4" hidden="1">
      <c r="A1549" s="40" t="s">
        <v>592</v>
      </c>
      <c r="B1549" s="14">
        <v>793</v>
      </c>
      <c r="C1549" s="15" t="s">
        <v>69</v>
      </c>
      <c r="D1549" s="15" t="s">
        <v>68</v>
      </c>
      <c r="E1549" s="15" t="s">
        <v>627</v>
      </c>
      <c r="F1549" s="39"/>
      <c r="G1549" s="87">
        <f>G1550</f>
        <v>0</v>
      </c>
      <c r="H1549" s="70"/>
      <c r="I1549" s="70"/>
      <c r="P1549" s="109"/>
      <c r="Q1549" s="109"/>
      <c r="R1549" s="109"/>
      <c r="S1549" s="109"/>
      <c r="T1549" s="109"/>
    </row>
    <row r="1550" spans="1:20" s="28" customFormat="1" hidden="1">
      <c r="A1550" s="16" t="s">
        <v>152</v>
      </c>
      <c r="B1550" s="14">
        <v>793</v>
      </c>
      <c r="C1550" s="15" t="s">
        <v>69</v>
      </c>
      <c r="D1550" s="15" t="s">
        <v>68</v>
      </c>
      <c r="E1550" s="15" t="s">
        <v>627</v>
      </c>
      <c r="F1550" s="15" t="s">
        <v>153</v>
      </c>
      <c r="G1550" s="87">
        <f>G1551</f>
        <v>0</v>
      </c>
      <c r="H1550" s="70"/>
      <c r="I1550" s="70"/>
      <c r="P1550" s="109"/>
      <c r="Q1550" s="109"/>
      <c r="R1550" s="109"/>
      <c r="S1550" s="109"/>
      <c r="T1550" s="109"/>
    </row>
    <row r="1551" spans="1:20" s="28" customFormat="1" hidden="1">
      <c r="A1551" s="16" t="s">
        <v>164</v>
      </c>
      <c r="B1551" s="14">
        <v>793</v>
      </c>
      <c r="C1551" s="15" t="s">
        <v>69</v>
      </c>
      <c r="D1551" s="15" t="s">
        <v>68</v>
      </c>
      <c r="E1551" s="15" t="s">
        <v>627</v>
      </c>
      <c r="F1551" s="15" t="s">
        <v>165</v>
      </c>
      <c r="G1551" s="87">
        <f>прил4!G1820</f>
        <v>0</v>
      </c>
      <c r="H1551" s="70"/>
      <c r="I1551" s="70"/>
      <c r="P1551" s="109"/>
      <c r="Q1551" s="109"/>
      <c r="R1551" s="109"/>
      <c r="S1551" s="109"/>
      <c r="T1551" s="109"/>
    </row>
    <row r="1552" spans="1:20" s="28" customFormat="1" ht="54.75" hidden="1" customHeight="1">
      <c r="A1552" s="40" t="s">
        <v>327</v>
      </c>
      <c r="B1552" s="14">
        <v>793</v>
      </c>
      <c r="C1552" s="15" t="s">
        <v>69</v>
      </c>
      <c r="D1552" s="15" t="s">
        <v>120</v>
      </c>
      <c r="E1552" s="15" t="s">
        <v>134</v>
      </c>
      <c r="F1552" s="39"/>
      <c r="G1552" s="70">
        <f>G1553</f>
        <v>0</v>
      </c>
      <c r="H1552" s="70">
        <f t="shared" ref="H1552:I1552" si="452">H1553</f>
        <v>0</v>
      </c>
      <c r="I1552" s="70">
        <f t="shared" si="452"/>
        <v>0</v>
      </c>
      <c r="P1552" s="109"/>
      <c r="Q1552" s="109"/>
      <c r="R1552" s="109"/>
      <c r="S1552" s="109"/>
      <c r="T1552" s="109"/>
    </row>
    <row r="1553" spans="1:22" s="28" customFormat="1" hidden="1">
      <c r="A1553" s="16" t="s">
        <v>316</v>
      </c>
      <c r="B1553" s="14">
        <v>793</v>
      </c>
      <c r="C1553" s="15" t="s">
        <v>69</v>
      </c>
      <c r="D1553" s="15" t="s">
        <v>120</v>
      </c>
      <c r="E1553" s="15" t="s">
        <v>134</v>
      </c>
      <c r="F1553" s="15" t="s">
        <v>36</v>
      </c>
      <c r="G1553" s="70">
        <f>G1554</f>
        <v>0</v>
      </c>
      <c r="H1553" s="70">
        <f t="shared" ref="H1553:I1553" si="453">H1554</f>
        <v>0</v>
      </c>
      <c r="I1553" s="70">
        <f t="shared" si="453"/>
        <v>0</v>
      </c>
      <c r="P1553" s="109"/>
      <c r="Q1553" s="109"/>
      <c r="R1553" s="109"/>
      <c r="S1553" s="109"/>
      <c r="T1553" s="109"/>
    </row>
    <row r="1554" spans="1:22" s="28" customFormat="1" ht="26.4" hidden="1">
      <c r="A1554" s="16" t="s">
        <v>37</v>
      </c>
      <c r="B1554" s="14">
        <v>793</v>
      </c>
      <c r="C1554" s="15" t="s">
        <v>69</v>
      </c>
      <c r="D1554" s="15" t="s">
        <v>120</v>
      </c>
      <c r="E1554" s="15" t="s">
        <v>134</v>
      </c>
      <c r="F1554" s="15" t="s">
        <v>38</v>
      </c>
      <c r="G1554" s="70">
        <f>прил4!G1828</f>
        <v>0</v>
      </c>
      <c r="H1554" s="70">
        <f>прил4!H1784+прил4!H1828</f>
        <v>0</v>
      </c>
      <c r="I1554" s="70">
        <f>прил4!I1784+прил4!I1828</f>
        <v>0</v>
      </c>
      <c r="P1554" s="109"/>
      <c r="Q1554" s="109"/>
      <c r="R1554" s="109"/>
      <c r="S1554" s="109"/>
      <c r="T1554" s="109"/>
    </row>
    <row r="1555" spans="1:22" ht="57.75" hidden="1" customHeight="1">
      <c r="A1555" s="57" t="s">
        <v>470</v>
      </c>
      <c r="B1555" s="14">
        <v>793</v>
      </c>
      <c r="C1555" s="15" t="s">
        <v>69</v>
      </c>
      <c r="D1555" s="15" t="s">
        <v>120</v>
      </c>
      <c r="E1555" s="15" t="s">
        <v>247</v>
      </c>
      <c r="F1555" s="15"/>
      <c r="G1555" s="70">
        <f>G1556+G1558</f>
        <v>0</v>
      </c>
      <c r="H1555" s="70">
        <f>H1556+H1558</f>
        <v>0</v>
      </c>
      <c r="I1555" s="70">
        <f>I1556+I1558</f>
        <v>0</v>
      </c>
      <c r="J1555" s="2">
        <v>50000</v>
      </c>
    </row>
    <row r="1556" spans="1:22" hidden="1">
      <c r="A1556" s="16" t="s">
        <v>316</v>
      </c>
      <c r="B1556" s="14">
        <v>793</v>
      </c>
      <c r="C1556" s="15" t="s">
        <v>69</v>
      </c>
      <c r="D1556" s="15" t="s">
        <v>120</v>
      </c>
      <c r="E1556" s="15" t="s">
        <v>247</v>
      </c>
      <c r="F1556" s="15" t="s">
        <v>36</v>
      </c>
      <c r="G1556" s="70">
        <f>G1557</f>
        <v>0</v>
      </c>
      <c r="H1556" s="70">
        <f t="shared" ref="H1556:O1556" si="454">H1557</f>
        <v>0</v>
      </c>
      <c r="I1556" s="70">
        <f t="shared" si="454"/>
        <v>0</v>
      </c>
      <c r="J1556" s="70">
        <f t="shared" si="454"/>
        <v>60000</v>
      </c>
      <c r="K1556" s="70">
        <f t="shared" si="454"/>
        <v>0</v>
      </c>
      <c r="L1556" s="70">
        <f t="shared" si="454"/>
        <v>0</v>
      </c>
      <c r="M1556" s="70">
        <f t="shared" si="454"/>
        <v>0</v>
      </c>
      <c r="N1556" s="70">
        <f t="shared" si="454"/>
        <v>0</v>
      </c>
      <c r="O1556" s="70">
        <f t="shared" si="454"/>
        <v>0</v>
      </c>
    </row>
    <row r="1557" spans="1:22" ht="26.4" hidden="1">
      <c r="A1557" s="16" t="s">
        <v>37</v>
      </c>
      <c r="B1557" s="14">
        <v>793</v>
      </c>
      <c r="C1557" s="15" t="s">
        <v>69</v>
      </c>
      <c r="D1557" s="15" t="s">
        <v>120</v>
      </c>
      <c r="E1557" s="15" t="s">
        <v>247</v>
      </c>
      <c r="F1557" s="15" t="s">
        <v>38</v>
      </c>
      <c r="G1557" s="70">
        <f>прил4!G1787+прил4!G1831</f>
        <v>0</v>
      </c>
      <c r="H1557" s="70">
        <f>прил4!H1787+прил4!H1831</f>
        <v>0</v>
      </c>
      <c r="I1557" s="70">
        <f>прил4!I1787+прил4!I1831</f>
        <v>0</v>
      </c>
      <c r="J1557" s="2">
        <v>60000</v>
      </c>
    </row>
    <row r="1558" spans="1:22" ht="18" hidden="1" customHeight="1">
      <c r="A1558" s="16" t="s">
        <v>112</v>
      </c>
      <c r="B1558" s="14">
        <v>793</v>
      </c>
      <c r="C1558" s="15" t="s">
        <v>69</v>
      </c>
      <c r="D1558" s="15" t="s">
        <v>120</v>
      </c>
      <c r="E1558" s="15" t="s">
        <v>248</v>
      </c>
      <c r="F1558" s="15" t="s">
        <v>63</v>
      </c>
      <c r="G1558" s="70">
        <f>G1559</f>
        <v>0</v>
      </c>
      <c r="H1558" s="70">
        <f>H1559</f>
        <v>0</v>
      </c>
      <c r="I1558" s="70">
        <f>I1559</f>
        <v>0</v>
      </c>
    </row>
    <row r="1559" spans="1:22" ht="18.75" hidden="1" customHeight="1">
      <c r="A1559" s="16" t="s">
        <v>174</v>
      </c>
      <c r="B1559" s="14"/>
      <c r="C1559" s="15"/>
      <c r="D1559" s="15"/>
      <c r="E1559" s="15" t="s">
        <v>248</v>
      </c>
      <c r="F1559" s="15" t="s">
        <v>175</v>
      </c>
      <c r="G1559" s="70">
        <f>прил4!G1789+прил4!G1833</f>
        <v>0</v>
      </c>
      <c r="H1559" s="70">
        <f>прил4!H1789+прил4!H1833</f>
        <v>0</v>
      </c>
      <c r="I1559" s="70">
        <f>прил4!I1789+прил4!I1833</f>
        <v>0</v>
      </c>
      <c r="J1559" s="70">
        <f>прил4!K1789+прил4!K1833</f>
        <v>0</v>
      </c>
      <c r="K1559" s="70">
        <f>прил4!L1789+прил4!L1833</f>
        <v>0</v>
      </c>
      <c r="L1559" s="70">
        <f>прил4!M1789+прил4!M1833</f>
        <v>0</v>
      </c>
      <c r="M1559" s="70">
        <f>прил4!N1789+прил4!N1833</f>
        <v>0</v>
      </c>
      <c r="N1559" s="70">
        <f>прил4!O1789+прил4!O1833</f>
        <v>0</v>
      </c>
      <c r="O1559" s="70">
        <f>прил4!P1789+прил4!P1833</f>
        <v>0</v>
      </c>
    </row>
    <row r="1560" spans="1:22" ht="21" hidden="1" customHeight="1">
      <c r="A1560" s="16" t="s">
        <v>180</v>
      </c>
      <c r="B1560" s="14">
        <v>793</v>
      </c>
      <c r="C1560" s="15" t="s">
        <v>69</v>
      </c>
      <c r="D1560" s="15" t="s">
        <v>68</v>
      </c>
      <c r="E1560" s="15" t="s">
        <v>133</v>
      </c>
      <c r="F1560" s="15"/>
      <c r="G1560" s="70">
        <f t="shared" ref="G1560:G1561" si="455">G1561</f>
        <v>0</v>
      </c>
      <c r="H1560" s="103">
        <f>H1561</f>
        <v>0</v>
      </c>
      <c r="I1560" s="103">
        <f>I1561</f>
        <v>0</v>
      </c>
    </row>
    <row r="1561" spans="1:22" ht="24.75" hidden="1" customHeight="1">
      <c r="A1561" s="16" t="s">
        <v>316</v>
      </c>
      <c r="B1561" s="14">
        <v>793</v>
      </c>
      <c r="C1561" s="15" t="s">
        <v>69</v>
      </c>
      <c r="D1561" s="15" t="s">
        <v>68</v>
      </c>
      <c r="E1561" s="15" t="s">
        <v>133</v>
      </c>
      <c r="F1561" s="15" t="s">
        <v>36</v>
      </c>
      <c r="G1561" s="70">
        <f t="shared" si="455"/>
        <v>0</v>
      </c>
      <c r="H1561" s="103">
        <f>H1562</f>
        <v>0</v>
      </c>
      <c r="I1561" s="103">
        <f>I1562</f>
        <v>0</v>
      </c>
      <c r="J1561" s="2">
        <f>J1559-H1548</f>
        <v>-2250000</v>
      </c>
    </row>
    <row r="1562" spans="1:22" ht="26.4" hidden="1">
      <c r="A1562" s="16" t="s">
        <v>37</v>
      </c>
      <c r="B1562" s="14">
        <v>793</v>
      </c>
      <c r="C1562" s="15" t="s">
        <v>69</v>
      </c>
      <c r="D1562" s="15" t="s">
        <v>68</v>
      </c>
      <c r="E1562" s="15" t="s">
        <v>133</v>
      </c>
      <c r="F1562" s="15" t="s">
        <v>38</v>
      </c>
      <c r="G1562" s="70">
        <f>прил4!G1825</f>
        <v>0</v>
      </c>
      <c r="H1562" s="70">
        <f>прил4!H1825</f>
        <v>0</v>
      </c>
      <c r="I1562" s="70">
        <f>прил4!I1825</f>
        <v>0</v>
      </c>
      <c r="J1562" s="70">
        <f>прил4!K1825</f>
        <v>0</v>
      </c>
      <c r="K1562" s="70">
        <f>прил4!L1825</f>
        <v>0</v>
      </c>
      <c r="L1562" s="70">
        <f>прил4!M1825</f>
        <v>0</v>
      </c>
      <c r="M1562" s="70">
        <f>прил4!N1825</f>
        <v>0</v>
      </c>
      <c r="N1562" s="70">
        <f>прил4!O1825</f>
        <v>0</v>
      </c>
      <c r="O1562" s="70">
        <f>прил4!P1825</f>
        <v>0</v>
      </c>
    </row>
    <row r="1563" spans="1:22" ht="38.25" customHeight="1">
      <c r="A1563" s="16" t="s">
        <v>432</v>
      </c>
      <c r="B1563" s="14">
        <v>793</v>
      </c>
      <c r="C1563" s="15" t="s">
        <v>69</v>
      </c>
      <c r="D1563" s="15" t="s">
        <v>120</v>
      </c>
      <c r="E1563" s="15" t="s">
        <v>433</v>
      </c>
      <c r="F1563" s="15"/>
      <c r="G1563" s="70">
        <f t="shared" ref="G1563:I1564" si="456">G1564</f>
        <v>323000</v>
      </c>
      <c r="H1563" s="103">
        <f t="shared" si="456"/>
        <v>365000</v>
      </c>
      <c r="I1563" s="103">
        <f t="shared" si="456"/>
        <v>365000</v>
      </c>
      <c r="V1563" s="2"/>
    </row>
    <row r="1564" spans="1:22" ht="21.75" customHeight="1">
      <c r="A1564" s="16" t="s">
        <v>37</v>
      </c>
      <c r="B1564" s="14">
        <v>793</v>
      </c>
      <c r="C1564" s="15" t="s">
        <v>69</v>
      </c>
      <c r="D1564" s="15" t="s">
        <v>120</v>
      </c>
      <c r="E1564" s="15" t="s">
        <v>433</v>
      </c>
      <c r="F1564" s="15" t="s">
        <v>36</v>
      </c>
      <c r="G1564" s="70">
        <f t="shared" si="456"/>
        <v>323000</v>
      </c>
      <c r="H1564" s="103">
        <f t="shared" si="456"/>
        <v>365000</v>
      </c>
      <c r="I1564" s="103">
        <f t="shared" si="456"/>
        <v>365000</v>
      </c>
    </row>
    <row r="1565" spans="1:22" ht="26.4">
      <c r="A1565" s="16" t="s">
        <v>37</v>
      </c>
      <c r="B1565" s="14">
        <v>793</v>
      </c>
      <c r="C1565" s="15" t="s">
        <v>69</v>
      </c>
      <c r="D1565" s="15" t="s">
        <v>120</v>
      </c>
      <c r="E1565" s="15" t="s">
        <v>433</v>
      </c>
      <c r="F1565" s="15" t="s">
        <v>38</v>
      </c>
      <c r="G1565" s="70">
        <f>прил4!G1792</f>
        <v>323000</v>
      </c>
      <c r="H1565" s="70">
        <f>прил4!H1792</f>
        <v>365000</v>
      </c>
      <c r="I1565" s="70">
        <f>прил4!I1792</f>
        <v>365000</v>
      </c>
    </row>
    <row r="1566" spans="1:22" ht="38.25" hidden="1" customHeight="1">
      <c r="A1566" s="16" t="s">
        <v>760</v>
      </c>
      <c r="B1566" s="14">
        <v>793</v>
      </c>
      <c r="C1566" s="15" t="s">
        <v>69</v>
      </c>
      <c r="D1566" s="15" t="s">
        <v>120</v>
      </c>
      <c r="E1566" s="15" t="s">
        <v>759</v>
      </c>
      <c r="F1566" s="15"/>
      <c r="G1566" s="70">
        <f>G1567</f>
        <v>0</v>
      </c>
      <c r="H1566" s="70">
        <f t="shared" ref="H1566:I1567" si="457">H1567</f>
        <v>0</v>
      </c>
      <c r="I1566" s="70">
        <f t="shared" si="457"/>
        <v>0</v>
      </c>
      <c r="J1566" s="1"/>
    </row>
    <row r="1567" spans="1:22" ht="28.5" hidden="1" customHeight="1">
      <c r="A1567" s="16" t="s">
        <v>37</v>
      </c>
      <c r="B1567" s="14">
        <v>793</v>
      </c>
      <c r="C1567" s="15" t="s">
        <v>69</v>
      </c>
      <c r="D1567" s="15" t="s">
        <v>120</v>
      </c>
      <c r="E1567" s="15" t="s">
        <v>759</v>
      </c>
      <c r="F1567" s="15" t="s">
        <v>36</v>
      </c>
      <c r="G1567" s="70">
        <f>G1568</f>
        <v>0</v>
      </c>
      <c r="H1567" s="70">
        <f t="shared" si="457"/>
        <v>0</v>
      </c>
      <c r="I1567" s="70">
        <f t="shared" si="457"/>
        <v>0</v>
      </c>
      <c r="J1567" s="1"/>
    </row>
    <row r="1568" spans="1:22" ht="26.4" hidden="1">
      <c r="A1568" s="16" t="s">
        <v>37</v>
      </c>
      <c r="B1568" s="14">
        <v>793</v>
      </c>
      <c r="C1568" s="15" t="s">
        <v>69</v>
      </c>
      <c r="D1568" s="15" t="s">
        <v>120</v>
      </c>
      <c r="E1568" s="15" t="s">
        <v>759</v>
      </c>
      <c r="F1568" s="15" t="s">
        <v>38</v>
      </c>
      <c r="G1568" s="70">
        <f>прил4!G1795</f>
        <v>0</v>
      </c>
      <c r="H1568" s="70">
        <v>0</v>
      </c>
      <c r="I1568" s="70">
        <v>0</v>
      </c>
      <c r="J1568" s="1"/>
    </row>
    <row r="1569" spans="1:20" ht="38.25" hidden="1" customHeight="1">
      <c r="A1569" s="16" t="s">
        <v>1010</v>
      </c>
      <c r="B1569" s="14">
        <v>793</v>
      </c>
      <c r="C1569" s="15" t="s">
        <v>69</v>
      </c>
      <c r="D1569" s="15" t="s">
        <v>120</v>
      </c>
      <c r="E1569" s="15" t="s">
        <v>1007</v>
      </c>
      <c r="F1569" s="15"/>
      <c r="G1569" s="70">
        <f>G1570</f>
        <v>0</v>
      </c>
      <c r="H1569" s="70">
        <f t="shared" ref="H1569:I1570" si="458">H1570</f>
        <v>0</v>
      </c>
      <c r="I1569" s="70">
        <f t="shared" si="458"/>
        <v>0</v>
      </c>
      <c r="J1569" s="173"/>
      <c r="K1569" s="181"/>
      <c r="L1569" s="181"/>
      <c r="M1569" s="181"/>
      <c r="N1569" s="181"/>
      <c r="O1569" s="181"/>
      <c r="P1569" s="181"/>
      <c r="Q1569" s="181"/>
      <c r="R1569" s="181"/>
      <c r="S1569" s="1"/>
      <c r="T1569" s="1"/>
    </row>
    <row r="1570" spans="1:20" ht="28.5" hidden="1" customHeight="1">
      <c r="A1570" s="16" t="s">
        <v>37</v>
      </c>
      <c r="B1570" s="14">
        <v>793</v>
      </c>
      <c r="C1570" s="15" t="s">
        <v>69</v>
      </c>
      <c r="D1570" s="15" t="s">
        <v>120</v>
      </c>
      <c r="E1570" s="15" t="s">
        <v>1007</v>
      </c>
      <c r="F1570" s="15" t="s">
        <v>36</v>
      </c>
      <c r="G1570" s="70">
        <f>G1571</f>
        <v>0</v>
      </c>
      <c r="H1570" s="70">
        <f t="shared" si="458"/>
        <v>0</v>
      </c>
      <c r="I1570" s="70">
        <f t="shared" si="458"/>
        <v>0</v>
      </c>
      <c r="J1570" s="173"/>
      <c r="K1570" s="181"/>
      <c r="L1570" s="181"/>
      <c r="M1570" s="181"/>
      <c r="N1570" s="181"/>
      <c r="O1570" s="181"/>
      <c r="P1570" s="181"/>
      <c r="Q1570" s="181"/>
      <c r="R1570" s="181"/>
      <c r="S1570" s="1"/>
      <c r="T1570" s="1"/>
    </row>
    <row r="1571" spans="1:20" ht="26.4" hidden="1">
      <c r="A1571" s="16" t="s">
        <v>37</v>
      </c>
      <c r="B1571" s="14">
        <v>793</v>
      </c>
      <c r="C1571" s="15" t="s">
        <v>69</v>
      </c>
      <c r="D1571" s="15" t="s">
        <v>120</v>
      </c>
      <c r="E1571" s="15" t="s">
        <v>1007</v>
      </c>
      <c r="F1571" s="15" t="s">
        <v>38</v>
      </c>
      <c r="G1571" s="70">
        <f>прил4!G1836</f>
        <v>0</v>
      </c>
      <c r="H1571" s="70">
        <v>0</v>
      </c>
      <c r="I1571" s="70">
        <v>0</v>
      </c>
      <c r="J1571" s="173"/>
      <c r="K1571" s="181"/>
      <c r="L1571" s="181"/>
      <c r="M1571" s="181"/>
      <c r="N1571" s="181"/>
      <c r="O1571" s="181"/>
      <c r="P1571" s="181"/>
      <c r="Q1571" s="181"/>
      <c r="R1571" s="181"/>
      <c r="S1571" s="1"/>
      <c r="T1571" s="1"/>
    </row>
    <row r="1572" spans="1:20" ht="46.5" customHeight="1">
      <c r="A1572" s="57" t="s">
        <v>751</v>
      </c>
      <c r="B1572" s="14">
        <v>793</v>
      </c>
      <c r="C1572" s="15" t="s">
        <v>69</v>
      </c>
      <c r="D1572" s="15" t="s">
        <v>120</v>
      </c>
      <c r="E1572" s="15" t="s">
        <v>469</v>
      </c>
      <c r="F1572" s="15"/>
      <c r="G1572" s="70">
        <f>G1574</f>
        <v>7802878.6399999997</v>
      </c>
      <c r="H1572" s="70">
        <f t="shared" ref="H1572:I1572" si="459">H1574</f>
        <v>476200</v>
      </c>
      <c r="I1572" s="70">
        <f t="shared" si="459"/>
        <v>476200</v>
      </c>
      <c r="J1572" s="1"/>
    </row>
    <row r="1573" spans="1:20">
      <c r="A1573" s="16" t="s">
        <v>316</v>
      </c>
      <c r="B1573" s="14">
        <v>793</v>
      </c>
      <c r="C1573" s="15" t="s">
        <v>69</v>
      </c>
      <c r="D1573" s="15" t="s">
        <v>120</v>
      </c>
      <c r="E1573" s="15" t="s">
        <v>469</v>
      </c>
      <c r="F1573" s="15" t="s">
        <v>36</v>
      </c>
      <c r="G1573" s="70">
        <f>G1574</f>
        <v>7802878.6399999997</v>
      </c>
      <c r="H1573" s="70">
        <f>H1574</f>
        <v>476200</v>
      </c>
      <c r="I1573" s="70">
        <f>I1574</f>
        <v>476200</v>
      </c>
      <c r="J1573" s="1"/>
    </row>
    <row r="1574" spans="1:20" ht="26.4">
      <c r="A1574" s="16" t="s">
        <v>37</v>
      </c>
      <c r="B1574" s="14">
        <v>793</v>
      </c>
      <c r="C1574" s="15" t="s">
        <v>69</v>
      </c>
      <c r="D1574" s="15" t="s">
        <v>120</v>
      </c>
      <c r="E1574" s="15" t="s">
        <v>469</v>
      </c>
      <c r="F1574" s="15" t="s">
        <v>38</v>
      </c>
      <c r="G1574" s="70">
        <f>прил4!G1798+прил4!G1839</f>
        <v>7802878.6399999997</v>
      </c>
      <c r="H1574" s="70">
        <f>прил4!H1839+прил4!H1798</f>
        <v>476200</v>
      </c>
      <c r="I1574" s="70">
        <f>прил4!I1798+прил4!I1869+прил4!I1839</f>
        <v>476200</v>
      </c>
      <c r="J1574" s="1"/>
    </row>
    <row r="1575" spans="1:20" ht="24" customHeight="1">
      <c r="A1575" s="57" t="s">
        <v>1178</v>
      </c>
      <c r="B1575" s="14">
        <v>793</v>
      </c>
      <c r="C1575" s="15" t="s">
        <v>69</v>
      </c>
      <c r="D1575" s="15" t="s">
        <v>68</v>
      </c>
      <c r="E1575" s="15" t="s">
        <v>1177</v>
      </c>
      <c r="F1575" s="15"/>
      <c r="G1575" s="70">
        <f>G1576</f>
        <v>829300</v>
      </c>
      <c r="H1575" s="70">
        <f t="shared" ref="H1575:I1575" si="460">H1576</f>
        <v>1358800</v>
      </c>
      <c r="I1575" s="70">
        <f t="shared" si="460"/>
        <v>1358800</v>
      </c>
      <c r="J1575" s="172"/>
      <c r="K1575" s="172"/>
      <c r="L1575" s="172"/>
      <c r="M1575" s="172"/>
      <c r="N1575" s="172"/>
      <c r="O1575" s="172"/>
      <c r="P1575" s="69"/>
      <c r="Q1575" s="69"/>
      <c r="R1575" s="69"/>
      <c r="S1575" s="1"/>
      <c r="T1575" s="1"/>
    </row>
    <row r="1576" spans="1:20">
      <c r="A1576" s="16" t="s">
        <v>316</v>
      </c>
      <c r="B1576" s="14">
        <v>793</v>
      </c>
      <c r="C1576" s="15" t="s">
        <v>69</v>
      </c>
      <c r="D1576" s="15" t="s">
        <v>68</v>
      </c>
      <c r="E1576" s="15" t="s">
        <v>1177</v>
      </c>
      <c r="F1576" s="15" t="s">
        <v>36</v>
      </c>
      <c r="G1576" s="70">
        <f>G1577</f>
        <v>829300</v>
      </c>
      <c r="H1576" s="70">
        <f>H1577</f>
        <v>1358800</v>
      </c>
      <c r="I1576" s="70">
        <f>I1577</f>
        <v>1358800</v>
      </c>
      <c r="J1576" s="172"/>
      <c r="K1576" s="69"/>
      <c r="L1576" s="69"/>
      <c r="M1576" s="69"/>
      <c r="N1576" s="69"/>
      <c r="O1576" s="69"/>
      <c r="P1576" s="69"/>
      <c r="Q1576" s="69"/>
      <c r="R1576" s="69"/>
      <c r="S1576" s="1"/>
      <c r="T1576" s="1"/>
    </row>
    <row r="1577" spans="1:20" ht="26.4">
      <c r="A1577" s="16" t="s">
        <v>37</v>
      </c>
      <c r="B1577" s="14">
        <v>793</v>
      </c>
      <c r="C1577" s="15" t="s">
        <v>69</v>
      </c>
      <c r="D1577" s="15" t="s">
        <v>68</v>
      </c>
      <c r="E1577" s="15" t="s">
        <v>1177</v>
      </c>
      <c r="F1577" s="15" t="s">
        <v>38</v>
      </c>
      <c r="G1577" s="70">
        <f>прил4!G1846</f>
        <v>829300</v>
      </c>
      <c r="H1577" s="70">
        <f>прил4!H1846</f>
        <v>1358800</v>
      </c>
      <c r="I1577" s="70">
        <f>прил4!I1846</f>
        <v>1358800</v>
      </c>
      <c r="J1577" s="172"/>
      <c r="K1577" s="69"/>
      <c r="L1577" s="69"/>
      <c r="M1577" s="69"/>
      <c r="N1577" s="69"/>
      <c r="O1577" s="69"/>
      <c r="P1577" s="69"/>
      <c r="Q1577" s="69"/>
      <c r="R1577" s="69"/>
      <c r="S1577" s="1"/>
      <c r="T1577" s="1"/>
    </row>
    <row r="1578" spans="1:20" ht="24" customHeight="1">
      <c r="A1578" s="57" t="s">
        <v>1180</v>
      </c>
      <c r="B1578" s="14">
        <v>793</v>
      </c>
      <c r="C1578" s="15" t="s">
        <v>69</v>
      </c>
      <c r="D1578" s="15" t="s">
        <v>68</v>
      </c>
      <c r="E1578" s="15" t="s">
        <v>1179</v>
      </c>
      <c r="F1578" s="15"/>
      <c r="G1578" s="70">
        <f>G1579</f>
        <v>48300</v>
      </c>
      <c r="H1578" s="70">
        <f t="shared" ref="H1578:I1578" si="461">H1579</f>
        <v>50000</v>
      </c>
      <c r="I1578" s="70">
        <f t="shared" si="461"/>
        <v>50000</v>
      </c>
      <c r="J1578" s="172"/>
      <c r="K1578" s="172"/>
      <c r="L1578" s="172"/>
      <c r="M1578" s="172"/>
      <c r="N1578" s="172"/>
      <c r="O1578" s="172"/>
      <c r="P1578" s="69"/>
      <c r="Q1578" s="69"/>
      <c r="R1578" s="69"/>
      <c r="S1578" s="1"/>
      <c r="T1578" s="1"/>
    </row>
    <row r="1579" spans="1:20">
      <c r="A1579" s="16" t="s">
        <v>316</v>
      </c>
      <c r="B1579" s="14">
        <v>793</v>
      </c>
      <c r="C1579" s="15" t="s">
        <v>69</v>
      </c>
      <c r="D1579" s="15" t="s">
        <v>68</v>
      </c>
      <c r="E1579" s="15" t="s">
        <v>1179</v>
      </c>
      <c r="F1579" s="15" t="s">
        <v>36</v>
      </c>
      <c r="G1579" s="70">
        <f>G1580</f>
        <v>48300</v>
      </c>
      <c r="H1579" s="70">
        <f>H1580</f>
        <v>50000</v>
      </c>
      <c r="I1579" s="70">
        <f>I1580</f>
        <v>50000</v>
      </c>
      <c r="J1579" s="172"/>
      <c r="K1579" s="69"/>
      <c r="L1579" s="69"/>
      <c r="M1579" s="69"/>
      <c r="N1579" s="69"/>
      <c r="O1579" s="69"/>
      <c r="P1579" s="69"/>
      <c r="Q1579" s="69"/>
      <c r="R1579" s="69"/>
      <c r="S1579" s="1"/>
      <c r="T1579" s="1"/>
    </row>
    <row r="1580" spans="1:20" ht="26.4">
      <c r="A1580" s="16" t="s">
        <v>37</v>
      </c>
      <c r="B1580" s="14">
        <v>793</v>
      </c>
      <c r="C1580" s="15" t="s">
        <v>69</v>
      </c>
      <c r="D1580" s="15" t="s">
        <v>68</v>
      </c>
      <c r="E1580" s="15" t="s">
        <v>1179</v>
      </c>
      <c r="F1580" s="15" t="s">
        <v>38</v>
      </c>
      <c r="G1580" s="70">
        <f>прил4!G1849</f>
        <v>48300</v>
      </c>
      <c r="H1580" s="70">
        <f>прил4!H1849</f>
        <v>50000</v>
      </c>
      <c r="I1580" s="70">
        <f>прил4!I1849</f>
        <v>50000</v>
      </c>
      <c r="J1580" s="172"/>
      <c r="K1580" s="69"/>
      <c r="L1580" s="69"/>
      <c r="M1580" s="69"/>
      <c r="N1580" s="69"/>
      <c r="O1580" s="69"/>
      <c r="P1580" s="69"/>
      <c r="Q1580" s="69"/>
      <c r="R1580" s="69"/>
      <c r="S1580" s="1"/>
      <c r="T1580" s="1"/>
    </row>
    <row r="1581" spans="1:20" ht="46.5" hidden="1" customHeight="1">
      <c r="A1581" s="57" t="s">
        <v>472</v>
      </c>
      <c r="B1581" s="14">
        <v>793</v>
      </c>
      <c r="C1581" s="15" t="s">
        <v>69</v>
      </c>
      <c r="D1581" s="15" t="s">
        <v>120</v>
      </c>
      <c r="E1581" s="15" t="s">
        <v>471</v>
      </c>
      <c r="F1581" s="15"/>
      <c r="G1581" s="70">
        <f>G1582</f>
        <v>0</v>
      </c>
      <c r="H1581" s="70">
        <f t="shared" ref="H1581:I1581" si="462">H1582</f>
        <v>0</v>
      </c>
      <c r="I1581" s="70">
        <f t="shared" si="462"/>
        <v>0</v>
      </c>
      <c r="J1581" s="1"/>
    </row>
    <row r="1582" spans="1:20" hidden="1">
      <c r="A1582" s="16" t="s">
        <v>316</v>
      </c>
      <c r="B1582" s="14">
        <v>793</v>
      </c>
      <c r="C1582" s="15" t="s">
        <v>69</v>
      </c>
      <c r="D1582" s="15" t="s">
        <v>120</v>
      </c>
      <c r="E1582" s="15" t="s">
        <v>471</v>
      </c>
      <c r="F1582" s="15" t="s">
        <v>36</v>
      </c>
      <c r="G1582" s="70">
        <f>G1583</f>
        <v>0</v>
      </c>
      <c r="H1582" s="70">
        <f>H1583</f>
        <v>0</v>
      </c>
      <c r="I1582" s="70">
        <f>I1583</f>
        <v>0</v>
      </c>
      <c r="J1582" s="1"/>
    </row>
    <row r="1583" spans="1:20" ht="26.4" hidden="1">
      <c r="A1583" s="16" t="s">
        <v>37</v>
      </c>
      <c r="B1583" s="14">
        <v>793</v>
      </c>
      <c r="C1583" s="15" t="s">
        <v>69</v>
      </c>
      <c r="D1583" s="15" t="s">
        <v>120</v>
      </c>
      <c r="E1583" s="15" t="s">
        <v>471</v>
      </c>
      <c r="F1583" s="15" t="s">
        <v>38</v>
      </c>
      <c r="G1583" s="70">
        <f>прил4!G1801</f>
        <v>0</v>
      </c>
      <c r="H1583" s="160">
        <f>прил4!H1801</f>
        <v>0</v>
      </c>
      <c r="I1583" s="70">
        <f>прил4!I1801</f>
        <v>0</v>
      </c>
      <c r="J1583" s="70">
        <f>прил4!K1801</f>
        <v>0</v>
      </c>
      <c r="K1583" s="70">
        <f>прил4!L1801</f>
        <v>0</v>
      </c>
      <c r="L1583" s="70">
        <f>прил4!M1801</f>
        <v>0</v>
      </c>
      <c r="M1583" s="70">
        <f>прил4!N1801</f>
        <v>0</v>
      </c>
      <c r="N1583" s="70">
        <f>прил4!O1801</f>
        <v>0</v>
      </c>
      <c r="O1583" s="70">
        <f>прил4!P1801</f>
        <v>0</v>
      </c>
    </row>
    <row r="1584" spans="1:20" ht="79.5" hidden="1" customHeight="1">
      <c r="A1584" s="57" t="s">
        <v>955</v>
      </c>
      <c r="B1584" s="14">
        <v>793</v>
      </c>
      <c r="C1584" s="15" t="s">
        <v>69</v>
      </c>
      <c r="D1584" s="15" t="s">
        <v>68</v>
      </c>
      <c r="E1584" s="15" t="s">
        <v>471</v>
      </c>
      <c r="F1584" s="15"/>
      <c r="G1584" s="70">
        <f>G1585</f>
        <v>0</v>
      </c>
      <c r="H1584" s="70">
        <f t="shared" ref="H1584:I1584" si="463">H1585</f>
        <v>0</v>
      </c>
      <c r="I1584" s="70">
        <f t="shared" si="463"/>
        <v>0</v>
      </c>
      <c r="J1584" s="173"/>
      <c r="K1584" s="173"/>
      <c r="L1584" s="173"/>
      <c r="M1584" s="173"/>
      <c r="N1584" s="173"/>
      <c r="O1584" s="173"/>
      <c r="P1584" s="181"/>
      <c r="Q1584" s="181"/>
      <c r="R1584" s="181"/>
      <c r="S1584" s="1"/>
      <c r="T1584" s="1"/>
    </row>
    <row r="1585" spans="1:20" hidden="1">
      <c r="A1585" s="16" t="s">
        <v>316</v>
      </c>
      <c r="B1585" s="14">
        <v>793</v>
      </c>
      <c r="C1585" s="15" t="s">
        <v>69</v>
      </c>
      <c r="D1585" s="15" t="s">
        <v>68</v>
      </c>
      <c r="E1585" s="15" t="s">
        <v>471</v>
      </c>
      <c r="F1585" s="15" t="s">
        <v>153</v>
      </c>
      <c r="G1585" s="70">
        <f>G1586</f>
        <v>0</v>
      </c>
      <c r="H1585" s="70">
        <f>H1586</f>
        <v>0</v>
      </c>
      <c r="I1585" s="70">
        <f>I1586</f>
        <v>0</v>
      </c>
      <c r="J1585" s="173"/>
      <c r="K1585" s="181"/>
      <c r="L1585" s="181"/>
      <c r="M1585" s="181"/>
      <c r="N1585" s="181"/>
      <c r="O1585" s="181"/>
      <c r="P1585" s="181"/>
      <c r="Q1585" s="181"/>
      <c r="R1585" s="181"/>
      <c r="S1585" s="1"/>
      <c r="T1585" s="1"/>
    </row>
    <row r="1586" spans="1:20" ht="26.4" hidden="1">
      <c r="A1586" s="16" t="s">
        <v>37</v>
      </c>
      <c r="B1586" s="14">
        <v>793</v>
      </c>
      <c r="C1586" s="15" t="s">
        <v>69</v>
      </c>
      <c r="D1586" s="15" t="s">
        <v>68</v>
      </c>
      <c r="E1586" s="15" t="s">
        <v>471</v>
      </c>
      <c r="F1586" s="15" t="s">
        <v>173</v>
      </c>
      <c r="G1586" s="70">
        <f>прил4!G1842</f>
        <v>0</v>
      </c>
      <c r="H1586" s="70">
        <f>прил4!H1842</f>
        <v>0</v>
      </c>
      <c r="I1586" s="70">
        <f>прил4!I1842</f>
        <v>0</v>
      </c>
      <c r="J1586" s="173"/>
      <c r="K1586" s="181"/>
      <c r="L1586" s="181"/>
      <c r="M1586" s="181"/>
      <c r="N1586" s="181"/>
      <c r="O1586" s="181"/>
      <c r="P1586" s="181"/>
      <c r="Q1586" s="181"/>
      <c r="R1586" s="181"/>
      <c r="S1586" s="1"/>
      <c r="T1586" s="1"/>
    </row>
    <row r="1587" spans="1:20" s="18" customFormat="1" ht="61.5" hidden="1" customHeight="1">
      <c r="A1587" s="82" t="s">
        <v>1107</v>
      </c>
      <c r="B1587" s="83">
        <v>793</v>
      </c>
      <c r="C1587" s="84" t="s">
        <v>69</v>
      </c>
      <c r="D1587" s="84" t="s">
        <v>68</v>
      </c>
      <c r="E1587" s="84" t="s">
        <v>1106</v>
      </c>
      <c r="F1587" s="84"/>
      <c r="G1587" s="87">
        <f>G1603</f>
        <v>0</v>
      </c>
      <c r="H1587" s="87">
        <f>H1603</f>
        <v>0</v>
      </c>
      <c r="I1587" s="87">
        <f>I1603</f>
        <v>0</v>
      </c>
      <c r="J1587" s="173"/>
      <c r="K1587" s="195"/>
      <c r="L1587" s="195"/>
      <c r="M1587" s="195"/>
      <c r="N1587" s="195"/>
      <c r="O1587" s="195"/>
      <c r="P1587" s="195"/>
      <c r="Q1587" s="195"/>
      <c r="R1587" s="195"/>
    </row>
    <row r="1588" spans="1:20" ht="24" customHeight="1">
      <c r="A1588" s="57" t="s">
        <v>1315</v>
      </c>
      <c r="B1588" s="14">
        <v>793</v>
      </c>
      <c r="C1588" s="15" t="s">
        <v>69</v>
      </c>
      <c r="D1588" s="15" t="s">
        <v>68</v>
      </c>
      <c r="E1588" s="15" t="s">
        <v>1314</v>
      </c>
      <c r="F1588" s="15"/>
      <c r="G1588" s="70">
        <f>G1589</f>
        <v>0</v>
      </c>
      <c r="H1588" s="70">
        <f t="shared" ref="H1588:I1588" si="464">H1589</f>
        <v>0</v>
      </c>
      <c r="I1588" s="70">
        <f t="shared" si="464"/>
        <v>0</v>
      </c>
      <c r="J1588" s="172"/>
      <c r="K1588" s="172"/>
      <c r="L1588" s="172"/>
      <c r="M1588" s="172"/>
      <c r="N1588" s="172"/>
      <c r="O1588" s="172"/>
      <c r="P1588" s="69"/>
      <c r="Q1588" s="69"/>
      <c r="R1588" s="69"/>
      <c r="S1588" s="1"/>
      <c r="T1588" s="1"/>
    </row>
    <row r="1589" spans="1:20">
      <c r="A1589" s="16" t="s">
        <v>316</v>
      </c>
      <c r="B1589" s="14">
        <v>793</v>
      </c>
      <c r="C1589" s="15" t="s">
        <v>69</v>
      </c>
      <c r="D1589" s="15" t="s">
        <v>68</v>
      </c>
      <c r="E1589" s="15" t="s">
        <v>1314</v>
      </c>
      <c r="F1589" s="15" t="s">
        <v>36</v>
      </c>
      <c r="G1589" s="70">
        <f>G1590</f>
        <v>0</v>
      </c>
      <c r="H1589" s="70">
        <f>H1590</f>
        <v>0</v>
      </c>
      <c r="I1589" s="70">
        <f>I1590</f>
        <v>0</v>
      </c>
      <c r="J1589" s="172"/>
      <c r="K1589" s="69"/>
      <c r="L1589" s="69"/>
      <c r="M1589" s="69"/>
      <c r="N1589" s="69"/>
      <c r="O1589" s="69"/>
      <c r="P1589" s="69"/>
      <c r="Q1589" s="69"/>
      <c r="R1589" s="69"/>
      <c r="S1589" s="1"/>
      <c r="T1589" s="1"/>
    </row>
    <row r="1590" spans="1:20" ht="26.4">
      <c r="A1590" s="16" t="s">
        <v>37</v>
      </c>
      <c r="B1590" s="14">
        <v>793</v>
      </c>
      <c r="C1590" s="15" t="s">
        <v>69</v>
      </c>
      <c r="D1590" s="15" t="s">
        <v>68</v>
      </c>
      <c r="E1590" s="15" t="s">
        <v>1314</v>
      </c>
      <c r="F1590" s="15" t="s">
        <v>38</v>
      </c>
      <c r="G1590" s="70">
        <f>прил4!G1852</f>
        <v>0</v>
      </c>
      <c r="H1590" s="70">
        <v>0</v>
      </c>
      <c r="I1590" s="70">
        <v>0</v>
      </c>
      <c r="J1590" s="172"/>
      <c r="K1590" s="69"/>
      <c r="L1590" s="69"/>
      <c r="M1590" s="69"/>
      <c r="N1590" s="69"/>
      <c r="O1590" s="69"/>
      <c r="P1590" s="69"/>
      <c r="Q1590" s="69"/>
      <c r="R1590" s="69"/>
      <c r="S1590" s="1"/>
      <c r="T1590" s="1"/>
    </row>
    <row r="1591" spans="1:20" ht="27.75" customHeight="1">
      <c r="A1591" s="57" t="s">
        <v>592</v>
      </c>
      <c r="B1591" s="14">
        <v>793</v>
      </c>
      <c r="C1591" s="15" t="s">
        <v>69</v>
      </c>
      <c r="D1591" s="15" t="s">
        <v>68</v>
      </c>
      <c r="E1591" s="15" t="s">
        <v>1316</v>
      </c>
      <c r="F1591" s="15"/>
      <c r="G1591" s="70">
        <f>G1592</f>
        <v>0</v>
      </c>
      <c r="H1591" s="70">
        <f t="shared" ref="H1591:I1591" si="465">H1592</f>
        <v>0</v>
      </c>
      <c r="I1591" s="70">
        <f t="shared" si="465"/>
        <v>0</v>
      </c>
      <c r="J1591" s="172"/>
      <c r="K1591" s="172"/>
      <c r="L1591" s="172"/>
      <c r="M1591" s="172"/>
      <c r="N1591" s="172"/>
      <c r="O1591" s="172"/>
      <c r="P1591" s="69"/>
      <c r="Q1591" s="69"/>
      <c r="R1591" s="69"/>
      <c r="S1591" s="1"/>
      <c r="T1591" s="1"/>
    </row>
    <row r="1592" spans="1:20">
      <c r="A1592" s="16" t="s">
        <v>316</v>
      </c>
      <c r="B1592" s="14">
        <v>793</v>
      </c>
      <c r="C1592" s="15" t="s">
        <v>69</v>
      </c>
      <c r="D1592" s="15" t="s">
        <v>68</v>
      </c>
      <c r="E1592" s="15" t="s">
        <v>1316</v>
      </c>
      <c r="F1592" s="15" t="s">
        <v>36</v>
      </c>
      <c r="G1592" s="70">
        <f>G1593</f>
        <v>0</v>
      </c>
      <c r="H1592" s="70">
        <f>H1593</f>
        <v>0</v>
      </c>
      <c r="I1592" s="70">
        <f>I1593</f>
        <v>0</v>
      </c>
      <c r="J1592" s="172"/>
      <c r="K1592" s="69"/>
      <c r="L1592" s="69"/>
      <c r="M1592" s="69"/>
      <c r="N1592" s="69"/>
      <c r="O1592" s="69"/>
      <c r="P1592" s="69"/>
      <c r="Q1592" s="69"/>
      <c r="R1592" s="69"/>
      <c r="S1592" s="1"/>
      <c r="T1592" s="1"/>
    </row>
    <row r="1593" spans="1:20" ht="26.4">
      <c r="A1593" s="16" t="s">
        <v>37</v>
      </c>
      <c r="B1593" s="14">
        <v>793</v>
      </c>
      <c r="C1593" s="15" t="s">
        <v>69</v>
      </c>
      <c r="D1593" s="15" t="s">
        <v>68</v>
      </c>
      <c r="E1593" s="15" t="s">
        <v>1316</v>
      </c>
      <c r="F1593" s="15" t="s">
        <v>38</v>
      </c>
      <c r="G1593" s="70">
        <f>прил4!G1855</f>
        <v>0</v>
      </c>
      <c r="H1593" s="70">
        <v>0</v>
      </c>
      <c r="I1593" s="70">
        <v>0</v>
      </c>
      <c r="J1593" s="172"/>
      <c r="K1593" s="69"/>
      <c r="L1593" s="69"/>
      <c r="M1593" s="69"/>
      <c r="N1593" s="69"/>
      <c r="O1593" s="69"/>
      <c r="P1593" s="69"/>
      <c r="Q1593" s="69"/>
      <c r="R1593" s="69"/>
      <c r="S1593" s="1"/>
      <c r="T1593" s="1"/>
    </row>
    <row r="1594" spans="1:20" ht="27.75" customHeight="1">
      <c r="A1594" s="57" t="s">
        <v>592</v>
      </c>
      <c r="B1594" s="14">
        <v>793</v>
      </c>
      <c r="C1594" s="15" t="s">
        <v>69</v>
      </c>
      <c r="D1594" s="15" t="s">
        <v>68</v>
      </c>
      <c r="E1594" s="15" t="s">
        <v>627</v>
      </c>
      <c r="F1594" s="15"/>
      <c r="G1594" s="70">
        <f>G1595</f>
        <v>4516518.7200000007</v>
      </c>
      <c r="H1594" s="70">
        <f t="shared" ref="H1594:I1594" si="466">H1595</f>
        <v>0</v>
      </c>
      <c r="I1594" s="70">
        <f t="shared" si="466"/>
        <v>0</v>
      </c>
      <c r="J1594" s="172"/>
      <c r="K1594" s="172"/>
      <c r="L1594" s="172"/>
      <c r="M1594" s="172"/>
      <c r="N1594" s="172"/>
      <c r="O1594" s="172"/>
      <c r="P1594" s="69"/>
      <c r="Q1594" s="69"/>
      <c r="R1594" s="69"/>
      <c r="S1594" s="1"/>
      <c r="T1594" s="1"/>
    </row>
    <row r="1595" spans="1:20">
      <c r="A1595" s="16" t="s">
        <v>316</v>
      </c>
      <c r="B1595" s="14">
        <v>793</v>
      </c>
      <c r="C1595" s="15" t="s">
        <v>69</v>
      </c>
      <c r="D1595" s="15" t="s">
        <v>68</v>
      </c>
      <c r="E1595" s="15" t="s">
        <v>627</v>
      </c>
      <c r="F1595" s="15" t="s">
        <v>36</v>
      </c>
      <c r="G1595" s="70">
        <f>G1596</f>
        <v>4516518.7200000007</v>
      </c>
      <c r="H1595" s="70">
        <f>H1596</f>
        <v>0</v>
      </c>
      <c r="I1595" s="70">
        <f>I1596</f>
        <v>0</v>
      </c>
      <c r="J1595" s="172"/>
      <c r="K1595" s="69"/>
      <c r="L1595" s="69"/>
      <c r="M1595" s="69"/>
      <c r="N1595" s="69"/>
      <c r="O1595" s="69"/>
      <c r="P1595" s="69"/>
      <c r="Q1595" s="69"/>
      <c r="R1595" s="69"/>
      <c r="S1595" s="1"/>
      <c r="T1595" s="1"/>
    </row>
    <row r="1596" spans="1:20" ht="26.4">
      <c r="A1596" s="16" t="s">
        <v>37</v>
      </c>
      <c r="B1596" s="14">
        <v>793</v>
      </c>
      <c r="C1596" s="15" t="s">
        <v>69</v>
      </c>
      <c r="D1596" s="15" t="s">
        <v>68</v>
      </c>
      <c r="E1596" s="15" t="s">
        <v>627</v>
      </c>
      <c r="F1596" s="15" t="s">
        <v>38</v>
      </c>
      <c r="G1596" s="70">
        <f>прил4!G1858</f>
        <v>4516518.7200000007</v>
      </c>
      <c r="H1596" s="70">
        <v>0</v>
      </c>
      <c r="I1596" s="70">
        <v>0</v>
      </c>
      <c r="J1596" s="172"/>
      <c r="K1596" s="69"/>
      <c r="L1596" s="69"/>
      <c r="M1596" s="69"/>
      <c r="N1596" s="69"/>
      <c r="O1596" s="69"/>
      <c r="P1596" s="69"/>
      <c r="Q1596" s="69"/>
      <c r="R1596" s="69"/>
      <c r="S1596" s="1"/>
      <c r="T1596" s="1"/>
    </row>
    <row r="1597" spans="1:20" ht="27.75" customHeight="1">
      <c r="A1597" s="57" t="s">
        <v>1315</v>
      </c>
      <c r="B1597" s="14">
        <v>793</v>
      </c>
      <c r="C1597" s="15" t="s">
        <v>69</v>
      </c>
      <c r="D1597" s="15" t="s">
        <v>68</v>
      </c>
      <c r="E1597" s="15" t="s">
        <v>1385</v>
      </c>
      <c r="F1597" s="15"/>
      <c r="G1597" s="70">
        <f>G1598</f>
        <v>519628.23</v>
      </c>
      <c r="H1597" s="70">
        <f t="shared" ref="H1597:I1597" si="467">H1598</f>
        <v>0</v>
      </c>
      <c r="I1597" s="70">
        <f t="shared" si="467"/>
        <v>0</v>
      </c>
      <c r="J1597" s="172"/>
      <c r="K1597" s="172"/>
      <c r="L1597" s="172"/>
      <c r="M1597" s="172"/>
      <c r="N1597" s="172"/>
      <c r="O1597" s="172"/>
      <c r="P1597" s="69"/>
      <c r="Q1597" s="69"/>
      <c r="R1597" s="69"/>
      <c r="S1597" s="1"/>
      <c r="T1597" s="1"/>
    </row>
    <row r="1598" spans="1:20">
      <c r="A1598" s="16" t="s">
        <v>316</v>
      </c>
      <c r="B1598" s="14">
        <v>793</v>
      </c>
      <c r="C1598" s="15" t="s">
        <v>69</v>
      </c>
      <c r="D1598" s="15" t="s">
        <v>68</v>
      </c>
      <c r="E1598" s="15" t="s">
        <v>1385</v>
      </c>
      <c r="F1598" s="15" t="s">
        <v>36</v>
      </c>
      <c r="G1598" s="70">
        <f>G1599</f>
        <v>519628.23</v>
      </c>
      <c r="H1598" s="70">
        <f>H1599</f>
        <v>0</v>
      </c>
      <c r="I1598" s="70">
        <f>I1599</f>
        <v>0</v>
      </c>
      <c r="J1598" s="172"/>
      <c r="K1598" s="69"/>
      <c r="L1598" s="69"/>
      <c r="M1598" s="69"/>
      <c r="N1598" s="69"/>
      <c r="O1598" s="69"/>
      <c r="P1598" s="69"/>
      <c r="Q1598" s="69"/>
      <c r="R1598" s="69"/>
      <c r="S1598" s="1"/>
      <c r="T1598" s="1"/>
    </row>
    <row r="1599" spans="1:20" ht="26.4">
      <c r="A1599" s="16" t="s">
        <v>37</v>
      </c>
      <c r="B1599" s="14">
        <v>793</v>
      </c>
      <c r="C1599" s="15" t="s">
        <v>69</v>
      </c>
      <c r="D1599" s="15" t="s">
        <v>68</v>
      </c>
      <c r="E1599" s="15" t="s">
        <v>1385</v>
      </c>
      <c r="F1599" s="15" t="s">
        <v>38</v>
      </c>
      <c r="G1599" s="70">
        <f>прил4!G1861</f>
        <v>519628.23</v>
      </c>
      <c r="H1599" s="70">
        <v>0</v>
      </c>
      <c r="I1599" s="70">
        <v>0</v>
      </c>
      <c r="J1599" s="172"/>
      <c r="K1599" s="69"/>
      <c r="L1599" s="69"/>
      <c r="M1599" s="69"/>
      <c r="N1599" s="69"/>
      <c r="O1599" s="69"/>
      <c r="P1599" s="69"/>
      <c r="Q1599" s="69"/>
      <c r="R1599" s="69"/>
      <c r="S1599" s="1"/>
      <c r="T1599" s="1"/>
    </row>
    <row r="1600" spans="1:20" s="18" customFormat="1" ht="71.25" customHeight="1">
      <c r="A1600" s="16" t="s">
        <v>1509</v>
      </c>
      <c r="B1600" s="49">
        <v>793</v>
      </c>
      <c r="C1600" s="15" t="s">
        <v>69</v>
      </c>
      <c r="D1600" s="15" t="s">
        <v>68</v>
      </c>
      <c r="E1600" s="15" t="s">
        <v>1246</v>
      </c>
      <c r="F1600" s="15"/>
      <c r="G1600" s="70">
        <f>G1601</f>
        <v>3635672.46</v>
      </c>
      <c r="H1600" s="70">
        <f t="shared" ref="H1600:I1600" si="468">H1602</f>
        <v>0</v>
      </c>
      <c r="I1600" s="70">
        <f t="shared" si="468"/>
        <v>0</v>
      </c>
      <c r="J1600" s="172"/>
      <c r="K1600" s="180"/>
      <c r="L1600" s="180"/>
      <c r="M1600" s="180"/>
      <c r="N1600" s="180"/>
      <c r="O1600" s="180"/>
      <c r="P1600" s="180"/>
      <c r="Q1600" s="180"/>
      <c r="R1600" s="180"/>
    </row>
    <row r="1601" spans="1:22" s="18" customFormat="1" ht="71.25" hidden="1" customHeight="1">
      <c r="A1601" s="16" t="s">
        <v>1277</v>
      </c>
      <c r="B1601" s="49">
        <v>793</v>
      </c>
      <c r="C1601" s="15" t="s">
        <v>69</v>
      </c>
      <c r="D1601" s="15" t="s">
        <v>68</v>
      </c>
      <c r="E1601" s="15" t="s">
        <v>1246</v>
      </c>
      <c r="F1601" s="15"/>
      <c r="G1601" s="70">
        <f>G1605</f>
        <v>3635672.46</v>
      </c>
      <c r="H1601" s="70">
        <v>0</v>
      </c>
      <c r="I1601" s="70">
        <v>0</v>
      </c>
      <c r="J1601" s="172"/>
      <c r="K1601" s="180"/>
      <c r="L1601" s="180"/>
      <c r="M1601" s="180"/>
      <c r="N1601" s="180"/>
      <c r="O1601" s="180"/>
      <c r="P1601" s="180"/>
      <c r="Q1601" s="180"/>
      <c r="R1601" s="180"/>
    </row>
    <row r="1602" spans="1:22" s="18" customFormat="1" ht="79.5" hidden="1" customHeight="1">
      <c r="A1602" s="16"/>
      <c r="B1602" s="83"/>
      <c r="C1602" s="84"/>
      <c r="D1602" s="84"/>
      <c r="E1602" s="15"/>
      <c r="F1602" s="84"/>
      <c r="G1602" s="87"/>
      <c r="H1602" s="87"/>
      <c r="I1602" s="87"/>
      <c r="J1602" s="173"/>
      <c r="K1602" s="195"/>
      <c r="L1602" s="195"/>
      <c r="M1602" s="195"/>
      <c r="N1602" s="195"/>
      <c r="O1602" s="195"/>
      <c r="P1602" s="195"/>
      <c r="Q1602" s="195"/>
      <c r="R1602" s="195"/>
    </row>
    <row r="1603" spans="1:22" s="18" customFormat="1" ht="71.25" hidden="1" customHeight="1">
      <c r="A1603" s="363"/>
      <c r="B1603" s="364"/>
      <c r="C1603" s="362"/>
      <c r="D1603" s="362"/>
      <c r="E1603" s="362"/>
      <c r="F1603" s="15"/>
      <c r="G1603" s="70"/>
      <c r="H1603" s="70"/>
      <c r="I1603" s="70"/>
      <c r="J1603" s="172"/>
      <c r="K1603" s="180"/>
      <c r="L1603" s="180"/>
      <c r="M1603" s="180"/>
      <c r="N1603" s="180"/>
      <c r="O1603" s="180"/>
      <c r="P1603" s="180"/>
      <c r="Q1603" s="180"/>
      <c r="R1603" s="180"/>
    </row>
    <row r="1604" spans="1:22" s="18" customFormat="1" ht="34.5" hidden="1" customHeight="1">
      <c r="A1604" s="82" t="s">
        <v>37</v>
      </c>
      <c r="B1604" s="83">
        <v>793</v>
      </c>
      <c r="C1604" s="84" t="s">
        <v>69</v>
      </c>
      <c r="D1604" s="84" t="s">
        <v>68</v>
      </c>
      <c r="E1604" s="15" t="s">
        <v>1246</v>
      </c>
      <c r="F1604" s="84" t="s">
        <v>38</v>
      </c>
      <c r="G1604" s="70">
        <f>прил4!G1865</f>
        <v>0</v>
      </c>
      <c r="H1604" s="87">
        <v>0</v>
      </c>
      <c r="I1604" s="87">
        <v>0</v>
      </c>
      <c r="J1604" s="173"/>
      <c r="K1604" s="195"/>
      <c r="L1604" s="195"/>
      <c r="M1604" s="195"/>
      <c r="N1604" s="195"/>
      <c r="O1604" s="195"/>
      <c r="P1604" s="195"/>
      <c r="Q1604" s="195"/>
      <c r="R1604" s="195"/>
    </row>
    <row r="1605" spans="1:22" ht="30.75" customHeight="1">
      <c r="A1605" s="16" t="s">
        <v>94</v>
      </c>
      <c r="B1605" s="49">
        <v>793</v>
      </c>
      <c r="C1605" s="15" t="s">
        <v>69</v>
      </c>
      <c r="D1605" s="15" t="s">
        <v>68</v>
      </c>
      <c r="E1605" s="15" t="s">
        <v>1246</v>
      </c>
      <c r="F1605" s="15" t="s">
        <v>338</v>
      </c>
      <c r="G1605" s="70">
        <f t="shared" ref="G1605:I1605" si="469">G1606</f>
        <v>3635672.46</v>
      </c>
      <c r="H1605" s="70">
        <f t="shared" si="469"/>
        <v>0</v>
      </c>
      <c r="I1605" s="70">
        <f t="shared" si="469"/>
        <v>0</v>
      </c>
      <c r="J1605" s="172"/>
      <c r="K1605" s="69"/>
      <c r="L1605" s="69"/>
      <c r="M1605" s="69"/>
      <c r="N1605" s="69"/>
      <c r="O1605" s="69"/>
      <c r="P1605" s="69"/>
      <c r="Q1605" s="69"/>
      <c r="R1605" s="69"/>
      <c r="S1605" s="1"/>
      <c r="T1605" s="1"/>
    </row>
    <row r="1606" spans="1:22" s="18" customFormat="1" ht="34.5" customHeight="1">
      <c r="A1606" s="16" t="s">
        <v>339</v>
      </c>
      <c r="B1606" s="49">
        <v>793</v>
      </c>
      <c r="C1606" s="15" t="s">
        <v>69</v>
      </c>
      <c r="D1606" s="15" t="s">
        <v>68</v>
      </c>
      <c r="E1606" s="15" t="s">
        <v>1246</v>
      </c>
      <c r="F1606" s="15" t="s">
        <v>340</v>
      </c>
      <c r="G1606" s="70">
        <f>прил4!G1873</f>
        <v>3635672.46</v>
      </c>
      <c r="H1606" s="70">
        <v>0</v>
      </c>
      <c r="I1606" s="70">
        <v>0</v>
      </c>
      <c r="J1606" s="172"/>
      <c r="K1606" s="180"/>
      <c r="L1606" s="180"/>
      <c r="M1606" s="180"/>
      <c r="N1606" s="180"/>
      <c r="O1606" s="180"/>
      <c r="P1606" s="180"/>
      <c r="Q1606" s="180"/>
      <c r="R1606" s="180"/>
    </row>
    <row r="1607" spans="1:22" ht="48.75" customHeight="1">
      <c r="A1607" s="107" t="s">
        <v>1125</v>
      </c>
      <c r="B1607" s="14"/>
      <c r="C1607" s="15"/>
      <c r="D1607" s="15"/>
      <c r="E1607" s="36" t="s">
        <v>244</v>
      </c>
      <c r="F1607" s="36"/>
      <c r="G1607" s="153">
        <f>G1623+G1632+G1635+G1626+G1638+G1611+G1614+G1631+G1608+G1620+G1617</f>
        <v>7487789.6499999994</v>
      </c>
      <c r="H1607" s="71">
        <f t="shared" ref="H1607:I1607" si="470">H1623+H1632+H1635+H1626</f>
        <v>1549000</v>
      </c>
      <c r="I1607" s="71">
        <f t="shared" si="470"/>
        <v>49000</v>
      </c>
      <c r="J1607" s="2">
        <v>3000000</v>
      </c>
      <c r="T1607" s="2">
        <f>прил4!G1641</f>
        <v>5733230.0099999998</v>
      </c>
      <c r="V1607" s="2"/>
    </row>
    <row r="1608" spans="1:22" s="46" customFormat="1" ht="66.75" customHeight="1">
      <c r="A1608" s="326" t="s">
        <v>1443</v>
      </c>
      <c r="B1608" s="14">
        <v>793</v>
      </c>
      <c r="C1608" s="15" t="s">
        <v>18</v>
      </c>
      <c r="D1608" s="15" t="s">
        <v>22</v>
      </c>
      <c r="E1608" s="15" t="s">
        <v>1444</v>
      </c>
      <c r="F1608" s="15"/>
      <c r="G1608" s="70">
        <f t="shared" ref="G1608:I1608" si="471">G1610</f>
        <v>1754559.64</v>
      </c>
      <c r="H1608" s="70">
        <f t="shared" si="471"/>
        <v>0</v>
      </c>
      <c r="I1608" s="70">
        <f t="shared" si="471"/>
        <v>0</v>
      </c>
      <c r="J1608" s="172"/>
      <c r="K1608" s="58"/>
      <c r="L1608" s="58"/>
      <c r="M1608" s="58"/>
      <c r="N1608" s="58"/>
      <c r="O1608" s="58"/>
      <c r="P1608" s="58"/>
      <c r="Q1608" s="58"/>
      <c r="R1608" s="58"/>
    </row>
    <row r="1609" spans="1:22" s="46" customFormat="1">
      <c r="A1609" s="16" t="s">
        <v>316</v>
      </c>
      <c r="B1609" s="14">
        <v>793</v>
      </c>
      <c r="C1609" s="15" t="s">
        <v>18</v>
      </c>
      <c r="D1609" s="15" t="s">
        <v>22</v>
      </c>
      <c r="E1609" s="15" t="s">
        <v>1444</v>
      </c>
      <c r="F1609" s="15" t="s">
        <v>36</v>
      </c>
      <c r="G1609" s="70">
        <f>G1610</f>
        <v>1754559.64</v>
      </c>
      <c r="H1609" s="70">
        <f>H1610</f>
        <v>0</v>
      </c>
      <c r="I1609" s="70">
        <f>I1610</f>
        <v>0</v>
      </c>
      <c r="J1609" s="172"/>
      <c r="K1609" s="58"/>
      <c r="L1609" s="58"/>
      <c r="M1609" s="58"/>
      <c r="N1609" s="58"/>
      <c r="O1609" s="58"/>
      <c r="P1609" s="58"/>
      <c r="Q1609" s="58"/>
      <c r="R1609" s="58"/>
    </row>
    <row r="1610" spans="1:22" s="46" customFormat="1" ht="26.4">
      <c r="A1610" s="16" t="s">
        <v>37</v>
      </c>
      <c r="B1610" s="14">
        <v>793</v>
      </c>
      <c r="C1610" s="15" t="s">
        <v>18</v>
      </c>
      <c r="D1610" s="15" t="s">
        <v>22</v>
      </c>
      <c r="E1610" s="15" t="s">
        <v>1444</v>
      </c>
      <c r="F1610" s="15" t="s">
        <v>38</v>
      </c>
      <c r="G1610" s="70">
        <f>прил4!G1591</f>
        <v>1754559.64</v>
      </c>
      <c r="H1610" s="70"/>
      <c r="I1610" s="70"/>
      <c r="J1610" s="172"/>
      <c r="K1610" s="58"/>
      <c r="L1610" s="58"/>
      <c r="M1610" s="58"/>
      <c r="N1610" s="58"/>
      <c r="O1610" s="58"/>
      <c r="P1610" s="58"/>
      <c r="Q1610" s="58"/>
      <c r="R1610" s="58"/>
    </row>
    <row r="1611" spans="1:22" s="18" customFormat="1" ht="63" customHeight="1">
      <c r="A1611" s="82" t="s">
        <v>1510</v>
      </c>
      <c r="B1611" s="49">
        <v>793</v>
      </c>
      <c r="C1611" s="15" t="s">
        <v>18</v>
      </c>
      <c r="D1611" s="15" t="s">
        <v>22</v>
      </c>
      <c r="E1611" s="15" t="s">
        <v>1200</v>
      </c>
      <c r="F1611" s="15"/>
      <c r="G1611" s="70">
        <f>G1612</f>
        <v>1363312</v>
      </c>
      <c r="H1611" s="70">
        <f t="shared" ref="H1611:I1611" si="472">H1612</f>
        <v>0</v>
      </c>
      <c r="I1611" s="70">
        <f t="shared" si="472"/>
        <v>0</v>
      </c>
      <c r="J1611" s="172"/>
      <c r="K1611" s="180"/>
      <c r="L1611" s="180"/>
      <c r="M1611" s="180"/>
      <c r="N1611" s="180"/>
      <c r="O1611" s="180"/>
      <c r="P1611" s="180"/>
      <c r="Q1611" s="180"/>
      <c r="R1611" s="180"/>
    </row>
    <row r="1612" spans="1:22" ht="30.75" customHeight="1">
      <c r="A1612" s="16" t="s">
        <v>35</v>
      </c>
      <c r="B1612" s="49">
        <v>793</v>
      </c>
      <c r="C1612" s="15" t="s">
        <v>18</v>
      </c>
      <c r="D1612" s="15" t="s">
        <v>22</v>
      </c>
      <c r="E1612" s="15" t="s">
        <v>1200</v>
      </c>
      <c r="F1612" s="15" t="s">
        <v>36</v>
      </c>
      <c r="G1612" s="70">
        <f t="shared" ref="G1612:I1612" si="473">G1613</f>
        <v>1363312</v>
      </c>
      <c r="H1612" s="70">
        <f t="shared" si="473"/>
        <v>0</v>
      </c>
      <c r="I1612" s="70">
        <f t="shared" si="473"/>
        <v>0</v>
      </c>
      <c r="J1612" s="172"/>
      <c r="K1612" s="69"/>
      <c r="L1612" s="69"/>
      <c r="M1612" s="69"/>
      <c r="N1612" s="69"/>
      <c r="O1612" s="69"/>
      <c r="P1612" s="69"/>
      <c r="Q1612" s="69"/>
      <c r="R1612" s="69"/>
      <c r="S1612" s="1"/>
      <c r="T1612" s="1"/>
    </row>
    <row r="1613" spans="1:22" s="18" customFormat="1" ht="34.5" customHeight="1">
      <c r="A1613" s="16" t="s">
        <v>37</v>
      </c>
      <c r="B1613" s="49">
        <v>793</v>
      </c>
      <c r="C1613" s="15" t="s">
        <v>18</v>
      </c>
      <c r="D1613" s="15" t="s">
        <v>22</v>
      </c>
      <c r="E1613" s="15" t="s">
        <v>1200</v>
      </c>
      <c r="F1613" s="15" t="s">
        <v>38</v>
      </c>
      <c r="G1613" s="70">
        <f>прил4!G1644</f>
        <v>1363312</v>
      </c>
      <c r="H1613" s="70">
        <v>0</v>
      </c>
      <c r="I1613" s="70">
        <v>0</v>
      </c>
      <c r="J1613" s="172"/>
      <c r="K1613" s="180"/>
      <c r="L1613" s="180"/>
      <c r="M1613" s="180"/>
      <c r="N1613" s="180"/>
      <c r="O1613" s="180"/>
      <c r="P1613" s="180"/>
      <c r="Q1613" s="180"/>
      <c r="R1613" s="180"/>
    </row>
    <row r="1614" spans="1:22" s="18" customFormat="1" ht="88.5" customHeight="1">
      <c r="A1614" s="130" t="s">
        <v>1511</v>
      </c>
      <c r="B1614" s="49">
        <v>793</v>
      </c>
      <c r="C1614" s="15" t="s">
        <v>18</v>
      </c>
      <c r="D1614" s="15" t="s">
        <v>22</v>
      </c>
      <c r="E1614" s="15" t="s">
        <v>1201</v>
      </c>
      <c r="F1614" s="15"/>
      <c r="G1614" s="70">
        <f>G1615</f>
        <v>404540</v>
      </c>
      <c r="H1614" s="70">
        <f t="shared" ref="H1614:I1614" si="474">H1615</f>
        <v>0</v>
      </c>
      <c r="I1614" s="70">
        <f t="shared" si="474"/>
        <v>0</v>
      </c>
      <c r="J1614" s="172"/>
      <c r="K1614" s="180"/>
      <c r="L1614" s="180"/>
      <c r="M1614" s="180"/>
      <c r="N1614" s="180"/>
      <c r="O1614" s="180"/>
      <c r="P1614" s="180"/>
      <c r="Q1614" s="180"/>
      <c r="R1614" s="180"/>
    </row>
    <row r="1615" spans="1:22" ht="30.75" customHeight="1">
      <c r="A1615" s="16" t="s">
        <v>35</v>
      </c>
      <c r="B1615" s="49">
        <v>793</v>
      </c>
      <c r="C1615" s="15" t="s">
        <v>18</v>
      </c>
      <c r="D1615" s="15" t="s">
        <v>22</v>
      </c>
      <c r="E1615" s="15" t="s">
        <v>1201</v>
      </c>
      <c r="F1615" s="15" t="s">
        <v>36</v>
      </c>
      <c r="G1615" s="70">
        <f t="shared" ref="G1615:I1615" si="475">G1616</f>
        <v>404540</v>
      </c>
      <c r="H1615" s="70">
        <f t="shared" si="475"/>
        <v>0</v>
      </c>
      <c r="I1615" s="70">
        <f t="shared" si="475"/>
        <v>0</v>
      </c>
      <c r="J1615" s="172"/>
      <c r="K1615" s="69"/>
      <c r="L1615" s="69"/>
      <c r="M1615" s="69"/>
      <c r="N1615" s="69"/>
      <c r="O1615" s="69"/>
      <c r="P1615" s="69"/>
      <c r="Q1615" s="69"/>
      <c r="R1615" s="69"/>
      <c r="S1615" s="1"/>
      <c r="T1615" s="1"/>
    </row>
    <row r="1616" spans="1:22" s="18" customFormat="1" ht="34.5" customHeight="1">
      <c r="A1616" s="16" t="s">
        <v>37</v>
      </c>
      <c r="B1616" s="49">
        <v>793</v>
      </c>
      <c r="C1616" s="15" t="s">
        <v>18</v>
      </c>
      <c r="D1616" s="15" t="s">
        <v>22</v>
      </c>
      <c r="E1616" s="15" t="s">
        <v>1201</v>
      </c>
      <c r="F1616" s="15" t="s">
        <v>38</v>
      </c>
      <c r="G1616" s="70">
        <f>прил4!G1647</f>
        <v>404540</v>
      </c>
      <c r="H1616" s="70">
        <v>0</v>
      </c>
      <c r="I1616" s="70">
        <v>0</v>
      </c>
      <c r="J1616" s="172"/>
      <c r="K1616" s="180"/>
      <c r="L1616" s="180"/>
      <c r="M1616" s="180"/>
      <c r="N1616" s="180"/>
      <c r="O1616" s="180"/>
      <c r="P1616" s="180"/>
      <c r="Q1616" s="180"/>
      <c r="R1616" s="180"/>
    </row>
    <row r="1617" spans="1:20" s="18" customFormat="1" ht="80.25" customHeight="1">
      <c r="A1617" s="82" t="s">
        <v>1512</v>
      </c>
      <c r="B1617" s="49">
        <v>793</v>
      </c>
      <c r="C1617" s="15" t="s">
        <v>18</v>
      </c>
      <c r="D1617" s="15" t="s">
        <v>22</v>
      </c>
      <c r="E1617" s="15" t="s">
        <v>1476</v>
      </c>
      <c r="F1617" s="15"/>
      <c r="G1617" s="70">
        <f>G1618</f>
        <v>3300000</v>
      </c>
      <c r="H1617" s="70">
        <f t="shared" ref="H1617:I1617" si="476">H1618</f>
        <v>0</v>
      </c>
      <c r="I1617" s="70">
        <f t="shared" si="476"/>
        <v>0</v>
      </c>
      <c r="J1617" s="172"/>
      <c r="K1617" s="180"/>
      <c r="L1617" s="180"/>
      <c r="M1617" s="180"/>
      <c r="N1617" s="180"/>
      <c r="O1617" s="180"/>
      <c r="P1617" s="180"/>
      <c r="Q1617" s="180"/>
      <c r="R1617" s="180"/>
    </row>
    <row r="1618" spans="1:20" ht="30.75" customHeight="1">
      <c r="A1618" s="16" t="s">
        <v>35</v>
      </c>
      <c r="B1618" s="49">
        <v>793</v>
      </c>
      <c r="C1618" s="15" t="s">
        <v>18</v>
      </c>
      <c r="D1618" s="15" t="s">
        <v>22</v>
      </c>
      <c r="E1618" s="15" t="s">
        <v>1476</v>
      </c>
      <c r="F1618" s="15" t="s">
        <v>36</v>
      </c>
      <c r="G1618" s="70">
        <f t="shared" ref="G1618:I1618" si="477">G1619</f>
        <v>3300000</v>
      </c>
      <c r="H1618" s="70">
        <f t="shared" si="477"/>
        <v>0</v>
      </c>
      <c r="I1618" s="70">
        <f t="shared" si="477"/>
        <v>0</v>
      </c>
      <c r="J1618" s="172"/>
      <c r="K1618" s="69"/>
      <c r="L1618" s="69"/>
      <c r="M1618" s="69"/>
      <c r="N1618" s="69"/>
      <c r="O1618" s="69"/>
      <c r="P1618" s="69"/>
      <c r="Q1618" s="69"/>
      <c r="R1618" s="69"/>
      <c r="S1618" s="1"/>
      <c r="T1618" s="1"/>
    </row>
    <row r="1619" spans="1:20" s="18" customFormat="1" ht="34.5" customHeight="1">
      <c r="A1619" s="16" t="s">
        <v>37</v>
      </c>
      <c r="B1619" s="49">
        <v>793</v>
      </c>
      <c r="C1619" s="15" t="s">
        <v>18</v>
      </c>
      <c r="D1619" s="15" t="s">
        <v>22</v>
      </c>
      <c r="E1619" s="15" t="s">
        <v>1476</v>
      </c>
      <c r="F1619" s="15" t="s">
        <v>38</v>
      </c>
      <c r="G1619" s="70">
        <f>прил4!G1650</f>
        <v>3300000</v>
      </c>
      <c r="H1619" s="70">
        <v>0</v>
      </c>
      <c r="I1619" s="70">
        <v>0</v>
      </c>
      <c r="J1619" s="172"/>
      <c r="K1619" s="180"/>
      <c r="L1619" s="180"/>
      <c r="M1619" s="180"/>
      <c r="N1619" s="180"/>
      <c r="O1619" s="180"/>
      <c r="P1619" s="180"/>
      <c r="Q1619" s="180"/>
      <c r="R1619" s="180"/>
    </row>
    <row r="1620" spans="1:20" ht="84.75" customHeight="1">
      <c r="A1620" s="104" t="s">
        <v>1441</v>
      </c>
      <c r="B1620" s="84" t="s">
        <v>804</v>
      </c>
      <c r="C1620" s="84" t="s">
        <v>18</v>
      </c>
      <c r="D1620" s="84" t="s">
        <v>22</v>
      </c>
      <c r="E1620" s="15" t="s">
        <v>1442</v>
      </c>
      <c r="F1620" s="15"/>
      <c r="G1620" s="8">
        <f>G1621</f>
        <v>124768.01</v>
      </c>
      <c r="H1620" s="85">
        <f t="shared" ref="H1620:I1621" si="478">H1621</f>
        <v>0</v>
      </c>
      <c r="I1620" s="85">
        <f t="shared" si="478"/>
        <v>0</v>
      </c>
      <c r="J1620" s="173"/>
      <c r="K1620" s="181"/>
      <c r="L1620" s="181"/>
      <c r="M1620" s="181"/>
      <c r="N1620" s="181"/>
      <c r="O1620" s="181"/>
      <c r="P1620" s="181"/>
      <c r="Q1620" s="181"/>
      <c r="R1620" s="181"/>
      <c r="S1620" s="1"/>
      <c r="T1620" s="1"/>
    </row>
    <row r="1621" spans="1:20" ht="27.75" customHeight="1">
      <c r="A1621" s="16" t="s">
        <v>316</v>
      </c>
      <c r="B1621" s="84" t="s">
        <v>50</v>
      </c>
      <c r="C1621" s="84" t="s">
        <v>18</v>
      </c>
      <c r="D1621" s="84" t="s">
        <v>22</v>
      </c>
      <c r="E1621" s="15" t="s">
        <v>1442</v>
      </c>
      <c r="F1621" s="15" t="s">
        <v>36</v>
      </c>
      <c r="G1621" s="8">
        <f>G1622</f>
        <v>124768.01</v>
      </c>
      <c r="H1621" s="85">
        <f t="shared" si="478"/>
        <v>0</v>
      </c>
      <c r="I1621" s="85">
        <f t="shared" si="478"/>
        <v>0</v>
      </c>
      <c r="J1621" s="173"/>
      <c r="K1621" s="181"/>
      <c r="L1621" s="181"/>
      <c r="M1621" s="181"/>
      <c r="N1621" s="181"/>
      <c r="O1621" s="181"/>
      <c r="P1621" s="181"/>
      <c r="Q1621" s="181"/>
      <c r="R1621" s="181"/>
      <c r="S1621" s="1"/>
      <c r="T1621" s="1"/>
    </row>
    <row r="1622" spans="1:20" ht="31.5" customHeight="1">
      <c r="A1622" s="16" t="s">
        <v>37</v>
      </c>
      <c r="B1622" s="84" t="s">
        <v>50</v>
      </c>
      <c r="C1622" s="84" t="s">
        <v>18</v>
      </c>
      <c r="D1622" s="84" t="s">
        <v>22</v>
      </c>
      <c r="E1622" s="15" t="s">
        <v>1442</v>
      </c>
      <c r="F1622" s="15" t="s">
        <v>38</v>
      </c>
      <c r="G1622" s="85">
        <f>прил4!G1653</f>
        <v>124768.01</v>
      </c>
      <c r="H1622" s="87"/>
      <c r="I1622" s="87"/>
      <c r="J1622" s="173"/>
      <c r="K1622" s="181"/>
      <c r="L1622" s="181"/>
      <c r="M1622" s="181"/>
      <c r="N1622" s="181"/>
      <c r="O1622" s="181"/>
      <c r="P1622" s="181"/>
      <c r="Q1622" s="181"/>
      <c r="R1622" s="181"/>
      <c r="S1622" s="1"/>
      <c r="T1622" s="1"/>
    </row>
    <row r="1623" spans="1:20">
      <c r="A1623" s="40" t="s">
        <v>920</v>
      </c>
      <c r="B1623" s="14">
        <v>793</v>
      </c>
      <c r="C1623" s="15" t="s">
        <v>18</v>
      </c>
      <c r="D1623" s="15" t="s">
        <v>22</v>
      </c>
      <c r="E1623" s="15" t="s">
        <v>387</v>
      </c>
      <c r="F1623" s="15"/>
      <c r="G1623" s="87">
        <f t="shared" ref="G1623:I1624" si="479">G1624</f>
        <v>0</v>
      </c>
      <c r="H1623" s="87">
        <f t="shared" si="479"/>
        <v>1000000</v>
      </c>
      <c r="I1623" s="87">
        <f t="shared" si="479"/>
        <v>0</v>
      </c>
      <c r="J1623" s="2">
        <v>40000</v>
      </c>
    </row>
    <row r="1624" spans="1:20" ht="25.5" customHeight="1">
      <c r="A1624" s="16" t="s">
        <v>316</v>
      </c>
      <c r="B1624" s="14">
        <v>793</v>
      </c>
      <c r="C1624" s="15" t="s">
        <v>18</v>
      </c>
      <c r="D1624" s="15" t="s">
        <v>22</v>
      </c>
      <c r="E1624" s="15" t="s">
        <v>387</v>
      </c>
      <c r="F1624" s="15" t="s">
        <v>36</v>
      </c>
      <c r="G1624" s="87">
        <f t="shared" si="479"/>
        <v>0</v>
      </c>
      <c r="H1624" s="87">
        <f t="shared" si="479"/>
        <v>1000000</v>
      </c>
      <c r="I1624" s="87">
        <f t="shared" si="479"/>
        <v>0</v>
      </c>
    </row>
    <row r="1625" spans="1:20" ht="25.5" customHeight="1">
      <c r="A1625" s="16" t="s">
        <v>37</v>
      </c>
      <c r="B1625" s="14">
        <v>793</v>
      </c>
      <c r="C1625" s="15" t="s">
        <v>18</v>
      </c>
      <c r="D1625" s="15" t="s">
        <v>22</v>
      </c>
      <c r="E1625" s="15" t="s">
        <v>387</v>
      </c>
      <c r="F1625" s="15" t="s">
        <v>38</v>
      </c>
      <c r="G1625" s="87">
        <f>прил4!G1656</f>
        <v>0</v>
      </c>
      <c r="H1625" s="87">
        <f>прил4!H1655</f>
        <v>1000000</v>
      </c>
      <c r="I1625" s="87">
        <f>прил4!I1655</f>
        <v>0</v>
      </c>
    </row>
    <row r="1626" spans="1:20">
      <c r="A1626" s="134" t="s">
        <v>911</v>
      </c>
      <c r="B1626" s="14">
        <v>793</v>
      </c>
      <c r="C1626" s="15" t="s">
        <v>18</v>
      </c>
      <c r="D1626" s="15" t="s">
        <v>22</v>
      </c>
      <c r="E1626" s="15" t="s">
        <v>910</v>
      </c>
      <c r="F1626" s="15"/>
      <c r="G1626" s="70">
        <f t="shared" ref="G1626:I1630" si="480">G1627</f>
        <v>471610</v>
      </c>
      <c r="H1626" s="70">
        <f t="shared" si="480"/>
        <v>500000</v>
      </c>
      <c r="I1626" s="70">
        <f t="shared" si="480"/>
        <v>0</v>
      </c>
      <c r="J1626" s="173"/>
      <c r="K1626" s="181"/>
      <c r="L1626" s="181"/>
      <c r="M1626" s="181"/>
      <c r="N1626" s="181"/>
      <c r="O1626" s="181"/>
      <c r="P1626" s="181"/>
      <c r="Q1626" s="181"/>
      <c r="R1626" s="181"/>
      <c r="S1626" s="1"/>
      <c r="T1626" s="1"/>
    </row>
    <row r="1627" spans="1:20" ht="34.5" customHeight="1">
      <c r="A1627" s="16" t="s">
        <v>316</v>
      </c>
      <c r="B1627" s="14">
        <v>793</v>
      </c>
      <c r="C1627" s="15" t="s">
        <v>18</v>
      </c>
      <c r="D1627" s="15" t="s">
        <v>22</v>
      </c>
      <c r="E1627" s="15" t="s">
        <v>910</v>
      </c>
      <c r="F1627" s="15" t="s">
        <v>36</v>
      </c>
      <c r="G1627" s="70">
        <f t="shared" si="480"/>
        <v>471610</v>
      </c>
      <c r="H1627" s="70">
        <f t="shared" si="480"/>
        <v>500000</v>
      </c>
      <c r="I1627" s="70">
        <f t="shared" si="480"/>
        <v>0</v>
      </c>
      <c r="J1627" s="173"/>
      <c r="K1627" s="181"/>
      <c r="L1627" s="181"/>
      <c r="M1627" s="181"/>
      <c r="N1627" s="181"/>
      <c r="O1627" s="181"/>
      <c r="P1627" s="181"/>
      <c r="Q1627" s="181"/>
      <c r="R1627" s="181"/>
      <c r="S1627" s="1"/>
      <c r="T1627" s="1"/>
    </row>
    <row r="1628" spans="1:20" ht="30.75" customHeight="1">
      <c r="A1628" s="16" t="s">
        <v>37</v>
      </c>
      <c r="B1628" s="14">
        <v>793</v>
      </c>
      <c r="C1628" s="15" t="s">
        <v>18</v>
      </c>
      <c r="D1628" s="15" t="s">
        <v>22</v>
      </c>
      <c r="E1628" s="15" t="s">
        <v>910</v>
      </c>
      <c r="F1628" s="15" t="s">
        <v>38</v>
      </c>
      <c r="G1628" s="70">
        <f>прил4!G1659</f>
        <v>471610</v>
      </c>
      <c r="H1628" s="70">
        <f>прил4!H1659</f>
        <v>500000</v>
      </c>
      <c r="I1628" s="70">
        <f>прил4!I1659</f>
        <v>0</v>
      </c>
      <c r="J1628" s="173"/>
      <c r="K1628" s="181"/>
      <c r="L1628" s="181"/>
      <c r="M1628" s="181"/>
      <c r="N1628" s="181"/>
      <c r="O1628" s="181"/>
      <c r="P1628" s="181"/>
      <c r="Q1628" s="181"/>
      <c r="R1628" s="181"/>
      <c r="S1628" s="1"/>
      <c r="T1628" s="1"/>
    </row>
    <row r="1629" spans="1:20" ht="32.25" customHeight="1">
      <c r="A1629" s="134" t="s">
        <v>1390</v>
      </c>
      <c r="B1629" s="14">
        <v>793</v>
      </c>
      <c r="C1629" s="15" t="s">
        <v>18</v>
      </c>
      <c r="D1629" s="15" t="s">
        <v>22</v>
      </c>
      <c r="E1629" s="15" t="s">
        <v>1389</v>
      </c>
      <c r="F1629" s="15"/>
      <c r="G1629" s="70">
        <f t="shared" si="480"/>
        <v>20000</v>
      </c>
      <c r="H1629" s="70">
        <f t="shared" si="480"/>
        <v>0</v>
      </c>
      <c r="I1629" s="70">
        <f t="shared" si="480"/>
        <v>0</v>
      </c>
      <c r="J1629" s="173"/>
      <c r="K1629" s="181"/>
      <c r="L1629" s="181"/>
      <c r="M1629" s="181"/>
      <c r="N1629" s="181"/>
      <c r="O1629" s="181"/>
      <c r="P1629" s="181"/>
      <c r="Q1629" s="181"/>
      <c r="R1629" s="181"/>
      <c r="S1629" s="1"/>
      <c r="T1629" s="1"/>
    </row>
    <row r="1630" spans="1:20" ht="34.5" customHeight="1">
      <c r="A1630" s="16" t="s">
        <v>316</v>
      </c>
      <c r="B1630" s="14">
        <v>793</v>
      </c>
      <c r="C1630" s="15" t="s">
        <v>18</v>
      </c>
      <c r="D1630" s="15" t="s">
        <v>22</v>
      </c>
      <c r="E1630" s="15" t="s">
        <v>1389</v>
      </c>
      <c r="F1630" s="15" t="s">
        <v>36</v>
      </c>
      <c r="G1630" s="70">
        <f t="shared" si="480"/>
        <v>20000</v>
      </c>
      <c r="H1630" s="70">
        <f t="shared" si="480"/>
        <v>0</v>
      </c>
      <c r="I1630" s="70">
        <f t="shared" si="480"/>
        <v>0</v>
      </c>
      <c r="J1630" s="173"/>
      <c r="K1630" s="181"/>
      <c r="L1630" s="181"/>
      <c r="M1630" s="181"/>
      <c r="N1630" s="181"/>
      <c r="O1630" s="181"/>
      <c r="P1630" s="181"/>
      <c r="Q1630" s="181"/>
      <c r="R1630" s="181"/>
      <c r="S1630" s="1"/>
      <c r="T1630" s="1"/>
    </row>
    <row r="1631" spans="1:20" ht="30.75" customHeight="1">
      <c r="A1631" s="16" t="s">
        <v>37</v>
      </c>
      <c r="B1631" s="14">
        <v>793</v>
      </c>
      <c r="C1631" s="15" t="s">
        <v>18</v>
      </c>
      <c r="D1631" s="15" t="s">
        <v>22</v>
      </c>
      <c r="E1631" s="15" t="s">
        <v>1389</v>
      </c>
      <c r="F1631" s="15" t="s">
        <v>38</v>
      </c>
      <c r="G1631" s="70">
        <f>прил4!G1662</f>
        <v>20000</v>
      </c>
      <c r="H1631" s="70">
        <f>прил4!H1662</f>
        <v>0</v>
      </c>
      <c r="I1631" s="70">
        <f>прил4!I1662</f>
        <v>0</v>
      </c>
      <c r="J1631" s="173"/>
      <c r="K1631" s="181"/>
      <c r="L1631" s="181"/>
      <c r="M1631" s="181"/>
      <c r="N1631" s="181"/>
      <c r="O1631" s="181"/>
      <c r="P1631" s="181"/>
      <c r="Q1631" s="181"/>
      <c r="R1631" s="181"/>
      <c r="S1631" s="1"/>
      <c r="T1631" s="1"/>
    </row>
    <row r="1632" spans="1:20" ht="59.25" customHeight="1">
      <c r="A1632" s="40" t="s">
        <v>20</v>
      </c>
      <c r="B1632" s="14">
        <v>793</v>
      </c>
      <c r="C1632" s="15" t="s">
        <v>18</v>
      </c>
      <c r="D1632" s="15" t="s">
        <v>22</v>
      </c>
      <c r="E1632" s="15" t="s">
        <v>19</v>
      </c>
      <c r="F1632" s="15"/>
      <c r="G1632" s="87">
        <f t="shared" ref="G1632:I1633" si="481">G1633</f>
        <v>49000</v>
      </c>
      <c r="H1632" s="87">
        <f t="shared" si="481"/>
        <v>49000</v>
      </c>
      <c r="I1632" s="87">
        <f t="shared" si="481"/>
        <v>49000</v>
      </c>
    </row>
    <row r="1633" spans="1:21">
      <c r="A1633" s="16" t="s">
        <v>316</v>
      </c>
      <c r="B1633" s="14">
        <v>793</v>
      </c>
      <c r="C1633" s="15" t="s">
        <v>18</v>
      </c>
      <c r="D1633" s="15" t="s">
        <v>22</v>
      </c>
      <c r="E1633" s="15" t="s">
        <v>19</v>
      </c>
      <c r="F1633" s="15" t="s">
        <v>36</v>
      </c>
      <c r="G1633" s="87">
        <f t="shared" si="481"/>
        <v>49000</v>
      </c>
      <c r="H1633" s="87">
        <f t="shared" si="481"/>
        <v>49000</v>
      </c>
      <c r="I1633" s="87">
        <f t="shared" si="481"/>
        <v>49000</v>
      </c>
    </row>
    <row r="1634" spans="1:21" ht="30.75" customHeight="1">
      <c r="A1634" s="16" t="s">
        <v>37</v>
      </c>
      <c r="B1634" s="14">
        <v>793</v>
      </c>
      <c r="C1634" s="15" t="s">
        <v>18</v>
      </c>
      <c r="D1634" s="15" t="s">
        <v>22</v>
      </c>
      <c r="E1634" s="15" t="s">
        <v>19</v>
      </c>
      <c r="F1634" s="15" t="s">
        <v>38</v>
      </c>
      <c r="G1634" s="87">
        <f>прил4!G1665</f>
        <v>49000</v>
      </c>
      <c r="H1634" s="87">
        <f>прил4!H1665</f>
        <v>49000</v>
      </c>
      <c r="I1634" s="87">
        <f>прил4!I1665</f>
        <v>49000</v>
      </c>
    </row>
    <row r="1635" spans="1:21" ht="26.4" hidden="1">
      <c r="A1635" s="40" t="s">
        <v>788</v>
      </c>
      <c r="B1635" s="14">
        <v>793</v>
      </c>
      <c r="C1635" s="15" t="s">
        <v>18</v>
      </c>
      <c r="D1635" s="15" t="s">
        <v>22</v>
      </c>
      <c r="E1635" s="15" t="s">
        <v>787</v>
      </c>
      <c r="F1635" s="15"/>
      <c r="G1635" s="70">
        <f t="shared" ref="G1635:I1636" si="482">G1636</f>
        <v>0</v>
      </c>
      <c r="H1635" s="70">
        <f t="shared" si="482"/>
        <v>0</v>
      </c>
      <c r="I1635" s="70">
        <f t="shared" si="482"/>
        <v>0</v>
      </c>
      <c r="J1635" s="1"/>
    </row>
    <row r="1636" spans="1:21" ht="20.25" hidden="1" customHeight="1">
      <c r="A1636" s="16" t="s">
        <v>316</v>
      </c>
      <c r="B1636" s="14">
        <v>793</v>
      </c>
      <c r="C1636" s="15" t="s">
        <v>18</v>
      </c>
      <c r="D1636" s="15" t="s">
        <v>22</v>
      </c>
      <c r="E1636" s="15" t="s">
        <v>787</v>
      </c>
      <c r="F1636" s="15" t="s">
        <v>36</v>
      </c>
      <c r="G1636" s="70">
        <f t="shared" si="482"/>
        <v>0</v>
      </c>
      <c r="H1636" s="70">
        <f t="shared" si="482"/>
        <v>0</v>
      </c>
      <c r="I1636" s="70">
        <f t="shared" si="482"/>
        <v>0</v>
      </c>
      <c r="J1636" s="1"/>
    </row>
    <row r="1637" spans="1:21" ht="30.75" hidden="1" customHeight="1">
      <c r="A1637" s="16" t="s">
        <v>37</v>
      </c>
      <c r="B1637" s="14">
        <v>793</v>
      </c>
      <c r="C1637" s="15" t="s">
        <v>18</v>
      </c>
      <c r="D1637" s="15" t="s">
        <v>22</v>
      </c>
      <c r="E1637" s="15" t="s">
        <v>787</v>
      </c>
      <c r="F1637" s="15" t="s">
        <v>38</v>
      </c>
      <c r="G1637" s="70"/>
      <c r="H1637" s="70"/>
      <c r="I1637" s="70"/>
      <c r="J1637" s="1"/>
    </row>
    <row r="1638" spans="1:21" ht="30.75" hidden="1" customHeight="1">
      <c r="A1638" s="40" t="s">
        <v>788</v>
      </c>
      <c r="B1638" s="14"/>
      <c r="C1638" s="15"/>
      <c r="D1638" s="15"/>
      <c r="E1638" s="15" t="s">
        <v>787</v>
      </c>
      <c r="F1638" s="15"/>
      <c r="G1638" s="70">
        <f>G1639</f>
        <v>0</v>
      </c>
      <c r="H1638" s="70"/>
      <c r="I1638" s="70"/>
      <c r="J1638" s="1"/>
    </row>
    <row r="1639" spans="1:21" ht="30.75" hidden="1" customHeight="1">
      <c r="A1639" s="16" t="s">
        <v>316</v>
      </c>
      <c r="B1639" s="14"/>
      <c r="C1639" s="15"/>
      <c r="D1639" s="15"/>
      <c r="E1639" s="15" t="s">
        <v>787</v>
      </c>
      <c r="F1639" s="15" t="s">
        <v>36</v>
      </c>
      <c r="G1639" s="70">
        <f>G1640</f>
        <v>0</v>
      </c>
      <c r="H1639" s="70"/>
      <c r="I1639" s="70"/>
      <c r="J1639" s="1"/>
    </row>
    <row r="1640" spans="1:21" ht="30.75" hidden="1" customHeight="1">
      <c r="A1640" s="16" t="s">
        <v>37</v>
      </c>
      <c r="B1640" s="14"/>
      <c r="C1640" s="15"/>
      <c r="D1640" s="15"/>
      <c r="E1640" s="15" t="s">
        <v>787</v>
      </c>
      <c r="F1640" s="15" t="s">
        <v>38</v>
      </c>
      <c r="G1640" s="70">
        <f>прил4!G1671</f>
        <v>0</v>
      </c>
      <c r="H1640" s="70"/>
      <c r="I1640" s="70"/>
      <c r="J1640" s="1"/>
    </row>
    <row r="1641" spans="1:21" s="22" customFormat="1" ht="69" customHeight="1">
      <c r="A1641" s="107" t="s">
        <v>1144</v>
      </c>
      <c r="B1641" s="19">
        <v>795</v>
      </c>
      <c r="C1641" s="36" t="s">
        <v>167</v>
      </c>
      <c r="D1641" s="36" t="s">
        <v>27</v>
      </c>
      <c r="E1641" s="36" t="s">
        <v>289</v>
      </c>
      <c r="F1641" s="36"/>
      <c r="G1641" s="71">
        <f>G1664+G1704+G1710+G1716+G1719+G1722+G1746+G1829+G1836+G1848+G1852+G1859+G1862+G1880+G1883+G1886+G1661+G1840+G1705+G1877+G1701+G1843+G1839+G1865+G1868+G1831+G1871+G1874+G1887+G1890+G1893</f>
        <v>998578178.10000002</v>
      </c>
      <c r="H1641" s="71">
        <f t="shared" ref="H1641:I1641" si="483">H1664+H1704+H1710+H1716+H1719+H1722+H1746+H1829+H1836+H1848+H1852+H1859+H1862+H1880+H1883+H1886+H1661+H1840+H1705+H1877</f>
        <v>12973900</v>
      </c>
      <c r="I1641" s="71">
        <f t="shared" si="483"/>
        <v>8151900</v>
      </c>
      <c r="J1641" s="21">
        <f>H1643+H1645+H1648+H1658+H1664+H1684+H1686+H1689+H1692+H1710+H1716+H1722+H1725</f>
        <v>7550900</v>
      </c>
      <c r="M1641" s="22">
        <v>45000</v>
      </c>
      <c r="P1641" s="21"/>
      <c r="Q1641" s="21"/>
      <c r="R1641" s="21"/>
      <c r="S1641" s="21"/>
      <c r="T1641" s="21">
        <f>прил4!G634++прил4!G2093+прил4!G2191+прил4!G2506+прил4!G3359</f>
        <v>995728716.41000009</v>
      </c>
      <c r="U1641" s="21">
        <f>T1641-G1641</f>
        <v>-2849461.689999938</v>
      </c>
    </row>
    <row r="1642" spans="1:21" s="22" customFormat="1" ht="26.4" hidden="1">
      <c r="A1642" s="16" t="s">
        <v>75</v>
      </c>
      <c r="B1642" s="49">
        <v>795</v>
      </c>
      <c r="C1642" s="66" t="s">
        <v>53</v>
      </c>
      <c r="D1642" s="66" t="s">
        <v>87</v>
      </c>
      <c r="E1642" s="41" t="s">
        <v>276</v>
      </c>
      <c r="F1642" s="66"/>
      <c r="G1642" s="29">
        <f>G1643+G1646+G1647</f>
        <v>0</v>
      </c>
      <c r="H1642" s="29">
        <f t="shared" ref="H1642:I1642" si="484">H1643+H1646+H1647</f>
        <v>0</v>
      </c>
      <c r="I1642" s="29">
        <f t="shared" si="484"/>
        <v>0</v>
      </c>
      <c r="J1642" s="21"/>
      <c r="M1642" s="22">
        <v>10893191</v>
      </c>
      <c r="P1642" s="21"/>
      <c r="Q1642" s="21"/>
      <c r="R1642" s="21"/>
      <c r="S1642" s="21"/>
      <c r="T1642" s="21"/>
    </row>
    <row r="1643" spans="1:21" s="122" customFormat="1" ht="52.8" hidden="1">
      <c r="A1643" s="142" t="s">
        <v>54</v>
      </c>
      <c r="B1643" s="83">
        <v>795</v>
      </c>
      <c r="C1643" s="143" t="s">
        <v>53</v>
      </c>
      <c r="D1643" s="143" t="s">
        <v>87</v>
      </c>
      <c r="E1643" s="144" t="s">
        <v>276</v>
      </c>
      <c r="F1643" s="144" t="s">
        <v>57</v>
      </c>
      <c r="G1643" s="93">
        <f>G1644</f>
        <v>0</v>
      </c>
      <c r="H1643" s="93">
        <f t="shared" ref="H1643:I1643" si="485">H1644</f>
        <v>0</v>
      </c>
      <c r="I1643" s="93">
        <f t="shared" si="485"/>
        <v>0</v>
      </c>
      <c r="J1643" s="121"/>
      <c r="M1643" s="122">
        <v>431322</v>
      </c>
      <c r="P1643" s="121"/>
      <c r="Q1643" s="121"/>
      <c r="R1643" s="121"/>
      <c r="S1643" s="121"/>
      <c r="T1643" s="121"/>
    </row>
    <row r="1644" spans="1:21" s="122" customFormat="1" ht="26.4" hidden="1">
      <c r="A1644" s="142" t="s">
        <v>55</v>
      </c>
      <c r="B1644" s="83">
        <v>795</v>
      </c>
      <c r="C1644" s="143" t="s">
        <v>53</v>
      </c>
      <c r="D1644" s="143" t="s">
        <v>87</v>
      </c>
      <c r="E1644" s="144" t="s">
        <v>276</v>
      </c>
      <c r="F1644" s="144" t="s">
        <v>58</v>
      </c>
      <c r="G1644" s="93">
        <f>прил4!G2987</f>
        <v>0</v>
      </c>
      <c r="H1644" s="93">
        <f>прил4!H2987</f>
        <v>0</v>
      </c>
      <c r="I1644" s="93">
        <f>прил4!I2987</f>
        <v>0</v>
      </c>
      <c r="J1644" s="121"/>
      <c r="M1644" s="122">
        <v>20000</v>
      </c>
      <c r="P1644" s="121"/>
      <c r="Q1644" s="121"/>
      <c r="R1644" s="121"/>
      <c r="S1644" s="121"/>
      <c r="T1644" s="121"/>
    </row>
    <row r="1645" spans="1:21" s="90" customFormat="1" ht="26.4" hidden="1">
      <c r="A1645" s="82" t="s">
        <v>35</v>
      </c>
      <c r="B1645" s="83">
        <v>795</v>
      </c>
      <c r="C1645" s="143" t="s">
        <v>53</v>
      </c>
      <c r="D1645" s="143" t="s">
        <v>87</v>
      </c>
      <c r="E1645" s="144" t="s">
        <v>276</v>
      </c>
      <c r="F1645" s="84" t="s">
        <v>36</v>
      </c>
      <c r="G1645" s="87">
        <f>G1646</f>
        <v>0</v>
      </c>
      <c r="H1645" s="87">
        <f t="shared" ref="H1645:I1645" si="486">H1646</f>
        <v>0</v>
      </c>
      <c r="I1645" s="87">
        <f t="shared" si="486"/>
        <v>0</v>
      </c>
      <c r="J1645" s="121"/>
      <c r="M1645" s="122">
        <v>1600000</v>
      </c>
      <c r="P1645" s="123"/>
      <c r="Q1645" s="123"/>
      <c r="R1645" s="123"/>
      <c r="S1645" s="123"/>
      <c r="T1645" s="123"/>
    </row>
    <row r="1646" spans="1:21" s="90" customFormat="1" ht="26.4" hidden="1">
      <c r="A1646" s="82" t="s">
        <v>37</v>
      </c>
      <c r="B1646" s="83">
        <v>795</v>
      </c>
      <c r="C1646" s="143" t="s">
        <v>53</v>
      </c>
      <c r="D1646" s="143" t="s">
        <v>87</v>
      </c>
      <c r="E1646" s="144" t="s">
        <v>276</v>
      </c>
      <c r="F1646" s="84" t="s">
        <v>38</v>
      </c>
      <c r="G1646" s="87">
        <f>прил4!G2989</f>
        <v>0</v>
      </c>
      <c r="H1646" s="87">
        <f>прил4!H2989</f>
        <v>0</v>
      </c>
      <c r="I1646" s="87">
        <f>прил4!I2989</f>
        <v>0</v>
      </c>
      <c r="J1646" s="121"/>
      <c r="M1646" s="122">
        <v>800000</v>
      </c>
      <c r="P1646" s="123"/>
      <c r="Q1646" s="123"/>
      <c r="R1646" s="123"/>
      <c r="S1646" s="123"/>
      <c r="T1646" s="123"/>
    </row>
    <row r="1647" spans="1:21" s="146" customFormat="1" ht="26.4" hidden="1">
      <c r="A1647" s="82" t="s">
        <v>37</v>
      </c>
      <c r="B1647" s="145">
        <v>792</v>
      </c>
      <c r="C1647" s="143" t="s">
        <v>53</v>
      </c>
      <c r="D1647" s="143" t="s">
        <v>87</v>
      </c>
      <c r="E1647" s="144" t="s">
        <v>276</v>
      </c>
      <c r="F1647" s="84" t="s">
        <v>63</v>
      </c>
      <c r="G1647" s="87">
        <f>G1648</f>
        <v>0</v>
      </c>
      <c r="H1647" s="87">
        <f t="shared" ref="H1647:I1647" si="487">H1648</f>
        <v>0</v>
      </c>
      <c r="I1647" s="87">
        <f t="shared" si="487"/>
        <v>0</v>
      </c>
      <c r="J1647" s="121"/>
      <c r="M1647" s="122">
        <v>550000</v>
      </c>
      <c r="P1647" s="148"/>
      <c r="Q1647" s="148"/>
      <c r="R1647" s="148"/>
      <c r="S1647" s="148"/>
      <c r="T1647" s="148"/>
    </row>
    <row r="1648" spans="1:21" s="146" customFormat="1" hidden="1">
      <c r="A1648" s="82" t="s">
        <v>140</v>
      </c>
      <c r="B1648" s="145">
        <v>792</v>
      </c>
      <c r="C1648" s="143" t="s">
        <v>53</v>
      </c>
      <c r="D1648" s="143" t="s">
        <v>87</v>
      </c>
      <c r="E1648" s="144" t="s">
        <v>276</v>
      </c>
      <c r="F1648" s="84" t="s">
        <v>66</v>
      </c>
      <c r="G1648" s="87">
        <f>прил4!G2991</f>
        <v>0</v>
      </c>
      <c r="H1648" s="87">
        <f>прил4!H2991</f>
        <v>0</v>
      </c>
      <c r="I1648" s="87">
        <f>прил4!I2991</f>
        <v>0</v>
      </c>
      <c r="J1648" s="121"/>
      <c r="M1648" s="122">
        <v>97644600</v>
      </c>
      <c r="P1648" s="148"/>
      <c r="Q1648" s="148"/>
      <c r="R1648" s="148"/>
      <c r="S1648" s="148"/>
      <c r="T1648" s="148"/>
    </row>
    <row r="1649" spans="1:20" ht="35.25" hidden="1" customHeight="1">
      <c r="A1649" s="37" t="s">
        <v>75</v>
      </c>
      <c r="B1649" s="49">
        <v>793</v>
      </c>
      <c r="C1649" s="15" t="s">
        <v>53</v>
      </c>
      <c r="D1649" s="15" t="s">
        <v>87</v>
      </c>
      <c r="E1649" s="15" t="s">
        <v>276</v>
      </c>
      <c r="F1649" s="15"/>
      <c r="G1649" s="70">
        <f>G1652+G1650</f>
        <v>0</v>
      </c>
      <c r="H1649" s="8">
        <v>0</v>
      </c>
      <c r="I1649" s="8">
        <v>0</v>
      </c>
      <c r="J1649" s="174"/>
      <c r="K1649" s="181"/>
      <c r="L1649" s="181"/>
      <c r="M1649" s="181"/>
      <c r="N1649" s="181"/>
      <c r="O1649" s="181"/>
      <c r="P1649" s="181"/>
      <c r="Q1649" s="181"/>
      <c r="R1649" s="181"/>
      <c r="S1649" s="1"/>
      <c r="T1649" s="1"/>
    </row>
    <row r="1650" spans="1:20" s="3" customFormat="1" ht="52.8" hidden="1">
      <c r="A1650" s="56" t="s">
        <v>54</v>
      </c>
      <c r="B1650" s="14">
        <v>795</v>
      </c>
      <c r="C1650" s="15" t="s">
        <v>53</v>
      </c>
      <c r="D1650" s="15" t="s">
        <v>87</v>
      </c>
      <c r="E1650" s="15" t="s">
        <v>276</v>
      </c>
      <c r="F1650" s="15" t="s">
        <v>57</v>
      </c>
      <c r="G1650" s="70">
        <f>G1651</f>
        <v>0</v>
      </c>
      <c r="H1650" s="70">
        <f>H1651</f>
        <v>0</v>
      </c>
      <c r="I1650" s="70">
        <f>I1651</f>
        <v>0</v>
      </c>
      <c r="J1650" s="173"/>
      <c r="K1650" s="194"/>
      <c r="L1650" s="194"/>
      <c r="M1650" s="194"/>
      <c r="N1650" s="194"/>
      <c r="O1650" s="194"/>
      <c r="P1650" s="194"/>
      <c r="Q1650" s="215"/>
      <c r="R1650" s="194"/>
    </row>
    <row r="1651" spans="1:20" s="3" customFormat="1" ht="26.4" hidden="1">
      <c r="A1651" s="56" t="s">
        <v>55</v>
      </c>
      <c r="B1651" s="14">
        <v>795</v>
      </c>
      <c r="C1651" s="15" t="s">
        <v>53</v>
      </c>
      <c r="D1651" s="15" t="s">
        <v>87</v>
      </c>
      <c r="E1651" s="15" t="s">
        <v>276</v>
      </c>
      <c r="F1651" s="15" t="s">
        <v>58</v>
      </c>
      <c r="G1651" s="70">
        <f>прил4!G3240</f>
        <v>0</v>
      </c>
      <c r="H1651" s="70">
        <f>прил4!H3240</f>
        <v>0</v>
      </c>
      <c r="I1651" s="70">
        <f>прил4!I3240</f>
        <v>0</v>
      </c>
      <c r="J1651" s="70">
        <f>прил4!J3240</f>
        <v>0</v>
      </c>
      <c r="K1651" s="70">
        <f>прил4!K3240</f>
        <v>0</v>
      </c>
      <c r="L1651" s="70">
        <f>прил4!L3240</f>
        <v>0</v>
      </c>
      <c r="M1651" s="70">
        <f>прил4!M3240</f>
        <v>0</v>
      </c>
      <c r="N1651" s="70">
        <f>прил4!N3240</f>
        <v>0</v>
      </c>
      <c r="O1651" s="70">
        <f>прил4!O3240</f>
        <v>0</v>
      </c>
      <c r="P1651" s="194"/>
      <c r="Q1651" s="215"/>
      <c r="R1651" s="194"/>
    </row>
    <row r="1652" spans="1:20" ht="30.75" hidden="1" customHeight="1">
      <c r="A1652" s="16" t="s">
        <v>439</v>
      </c>
      <c r="B1652" s="49">
        <v>793</v>
      </c>
      <c r="C1652" s="15" t="s">
        <v>53</v>
      </c>
      <c r="D1652" s="15" t="s">
        <v>87</v>
      </c>
      <c r="E1652" s="15" t="s">
        <v>276</v>
      </c>
      <c r="F1652" s="15" t="s">
        <v>36</v>
      </c>
      <c r="G1652" s="70">
        <f>G1653</f>
        <v>0</v>
      </c>
      <c r="H1652" s="8">
        <v>0</v>
      </c>
      <c r="I1652" s="8">
        <v>0</v>
      </c>
      <c r="J1652" s="174"/>
      <c r="K1652" s="181"/>
      <c r="L1652" s="181"/>
      <c r="M1652" s="181"/>
      <c r="N1652" s="181"/>
      <c r="O1652" s="181"/>
      <c r="P1652" s="181"/>
      <c r="Q1652" s="181"/>
      <c r="R1652" s="181"/>
      <c r="S1652" s="1"/>
      <c r="T1652" s="1"/>
    </row>
    <row r="1653" spans="1:20" ht="38.25" hidden="1" customHeight="1">
      <c r="A1653" s="16" t="s">
        <v>37</v>
      </c>
      <c r="B1653" s="49">
        <v>793</v>
      </c>
      <c r="C1653" s="15" t="s">
        <v>53</v>
      </c>
      <c r="D1653" s="15" t="s">
        <v>87</v>
      </c>
      <c r="E1653" s="15" t="s">
        <v>276</v>
      </c>
      <c r="F1653" s="15" t="s">
        <v>38</v>
      </c>
      <c r="G1653" s="87">
        <f>прил4!G3242</f>
        <v>0</v>
      </c>
      <c r="H1653" s="8">
        <v>0</v>
      </c>
      <c r="I1653" s="8">
        <v>0</v>
      </c>
      <c r="J1653" s="174"/>
      <c r="K1653" s="181"/>
      <c r="L1653" s="181"/>
      <c r="M1653" s="181"/>
      <c r="N1653" s="181"/>
      <c r="O1653" s="181"/>
      <c r="P1653" s="181"/>
      <c r="Q1653" s="181"/>
      <c r="R1653" s="181"/>
      <c r="S1653" s="1"/>
      <c r="T1653" s="1"/>
    </row>
    <row r="1654" spans="1:20" s="147" customFormat="1" ht="67.5" hidden="1" customHeight="1">
      <c r="A1654" s="82" t="s">
        <v>313</v>
      </c>
      <c r="B1654" s="83">
        <v>795</v>
      </c>
      <c r="C1654" s="84" t="s">
        <v>167</v>
      </c>
      <c r="D1654" s="84" t="s">
        <v>27</v>
      </c>
      <c r="E1654" s="84" t="s">
        <v>314</v>
      </c>
      <c r="F1654" s="84"/>
      <c r="G1654" s="87">
        <f>G1657+G1655</f>
        <v>0</v>
      </c>
      <c r="H1654" s="87">
        <f>H1657+H1655</f>
        <v>0</v>
      </c>
      <c r="I1654" s="87">
        <f t="shared" ref="I1654" si="488">I1657+I1655</f>
        <v>0</v>
      </c>
      <c r="J1654" s="121"/>
      <c r="M1654" s="122">
        <v>1893100</v>
      </c>
      <c r="P1654" s="170"/>
      <c r="Q1654" s="170"/>
      <c r="R1654" s="170"/>
      <c r="S1654" s="170"/>
      <c r="T1654" s="170"/>
    </row>
    <row r="1655" spans="1:20" ht="26.4" hidden="1">
      <c r="A1655" s="16" t="s">
        <v>35</v>
      </c>
      <c r="B1655" s="49">
        <v>793</v>
      </c>
      <c r="C1655" s="15" t="s">
        <v>167</v>
      </c>
      <c r="D1655" s="15" t="s">
        <v>27</v>
      </c>
      <c r="E1655" s="15" t="s">
        <v>314</v>
      </c>
      <c r="F1655" s="15" t="s">
        <v>36</v>
      </c>
      <c r="G1655" s="70">
        <f>G1656</f>
        <v>0</v>
      </c>
      <c r="H1655" s="70">
        <f>H1656</f>
        <v>0</v>
      </c>
      <c r="I1655" s="70">
        <f>I1656</f>
        <v>0</v>
      </c>
      <c r="J1655" s="172"/>
      <c r="P1655" s="1"/>
      <c r="Q1655" s="1"/>
      <c r="R1655" s="1"/>
      <c r="S1655" s="1"/>
      <c r="T1655" s="1"/>
    </row>
    <row r="1656" spans="1:20" ht="26.4" hidden="1">
      <c r="A1656" s="16" t="s">
        <v>37</v>
      </c>
      <c r="B1656" s="49">
        <v>793</v>
      </c>
      <c r="C1656" s="15" t="s">
        <v>167</v>
      </c>
      <c r="D1656" s="15" t="s">
        <v>27</v>
      </c>
      <c r="E1656" s="15" t="s">
        <v>314</v>
      </c>
      <c r="F1656" s="15" t="s">
        <v>38</v>
      </c>
      <c r="G1656" s="70">
        <f>прил4!G2240</f>
        <v>0</v>
      </c>
      <c r="H1656" s="70">
        <f>прил4!H2240</f>
        <v>0</v>
      </c>
      <c r="I1656" s="70">
        <f>прил4!I2240</f>
        <v>0</v>
      </c>
      <c r="J1656" s="172"/>
      <c r="P1656" s="1"/>
      <c r="Q1656" s="1"/>
      <c r="R1656" s="1"/>
      <c r="S1656" s="1"/>
      <c r="T1656" s="1"/>
    </row>
    <row r="1657" spans="1:20" s="147" customFormat="1" ht="21.75" hidden="1" customHeight="1">
      <c r="A1657" s="82" t="s">
        <v>152</v>
      </c>
      <c r="B1657" s="83">
        <v>795</v>
      </c>
      <c r="C1657" s="84" t="s">
        <v>167</v>
      </c>
      <c r="D1657" s="84" t="s">
        <v>27</v>
      </c>
      <c r="E1657" s="84" t="s">
        <v>314</v>
      </c>
      <c r="F1657" s="84" t="s">
        <v>153</v>
      </c>
      <c r="G1657" s="87">
        <f t="shared" ref="G1657:I1657" si="489">G1658</f>
        <v>0</v>
      </c>
      <c r="H1657" s="87">
        <f t="shared" si="489"/>
        <v>0</v>
      </c>
      <c r="I1657" s="87">
        <f t="shared" si="489"/>
        <v>0</v>
      </c>
      <c r="J1657" s="121"/>
      <c r="M1657" s="122">
        <v>2400000</v>
      </c>
      <c r="P1657" s="170"/>
      <c r="Q1657" s="170"/>
      <c r="R1657" s="170"/>
      <c r="S1657" s="170"/>
      <c r="T1657" s="170"/>
    </row>
    <row r="1658" spans="1:20" s="90" customFormat="1" ht="18.75" hidden="1" customHeight="1">
      <c r="A1658" s="82" t="s">
        <v>172</v>
      </c>
      <c r="B1658" s="83">
        <v>795</v>
      </c>
      <c r="C1658" s="84" t="s">
        <v>167</v>
      </c>
      <c r="D1658" s="84" t="s">
        <v>27</v>
      </c>
      <c r="E1658" s="84" t="s">
        <v>314</v>
      </c>
      <c r="F1658" s="84" t="s">
        <v>173</v>
      </c>
      <c r="G1658" s="70">
        <f>прил4!G2242</f>
        <v>0</v>
      </c>
      <c r="H1658" s="70">
        <f>прил4!H2242</f>
        <v>0</v>
      </c>
      <c r="I1658" s="70">
        <f>прил4!I2242</f>
        <v>0</v>
      </c>
      <c r="J1658" s="121"/>
      <c r="M1658" s="122">
        <v>1000000</v>
      </c>
      <c r="P1658" s="123"/>
      <c r="Q1658" s="123"/>
      <c r="R1658" s="123"/>
      <c r="S1658" s="123"/>
      <c r="T1658" s="123"/>
    </row>
    <row r="1659" spans="1:20" ht="26.4">
      <c r="A1659" s="16" t="s">
        <v>1302</v>
      </c>
      <c r="B1659" s="49">
        <v>793</v>
      </c>
      <c r="C1659" s="15" t="s">
        <v>167</v>
      </c>
      <c r="D1659" s="15" t="s">
        <v>69</v>
      </c>
      <c r="E1659" s="15" t="s">
        <v>1301</v>
      </c>
      <c r="F1659" s="15"/>
      <c r="G1659" s="70">
        <f>G1660</f>
        <v>191382</v>
      </c>
      <c r="H1659" s="70">
        <v>0</v>
      </c>
      <c r="I1659" s="70">
        <v>0</v>
      </c>
      <c r="J1659" s="172"/>
      <c r="K1659" s="69"/>
      <c r="L1659" s="69"/>
      <c r="M1659" s="69"/>
      <c r="N1659" s="69"/>
      <c r="O1659" s="69"/>
      <c r="P1659" s="69"/>
      <c r="Q1659" s="69"/>
      <c r="R1659" s="69"/>
      <c r="S1659" s="1"/>
      <c r="T1659" s="1"/>
    </row>
    <row r="1660" spans="1:20" ht="26.4">
      <c r="A1660" s="16" t="s">
        <v>35</v>
      </c>
      <c r="B1660" s="49">
        <v>793</v>
      </c>
      <c r="C1660" s="15" t="s">
        <v>167</v>
      </c>
      <c r="D1660" s="15" t="s">
        <v>69</v>
      </c>
      <c r="E1660" s="15" t="s">
        <v>1301</v>
      </c>
      <c r="F1660" s="15" t="s">
        <v>36</v>
      </c>
      <c r="G1660" s="70">
        <f t="shared" ref="G1660:I1660" si="490">G1661</f>
        <v>191382</v>
      </c>
      <c r="H1660" s="70">
        <f t="shared" si="490"/>
        <v>0</v>
      </c>
      <c r="I1660" s="70">
        <f t="shared" si="490"/>
        <v>0</v>
      </c>
      <c r="J1660" s="172"/>
      <c r="K1660" s="69"/>
      <c r="L1660" s="69"/>
      <c r="M1660" s="69"/>
      <c r="N1660" s="69"/>
      <c r="O1660" s="69"/>
      <c r="P1660" s="69"/>
      <c r="Q1660" s="69"/>
      <c r="R1660" s="69"/>
      <c r="S1660" s="1"/>
      <c r="T1660" s="1"/>
    </row>
    <row r="1661" spans="1:20" ht="26.4">
      <c r="A1661" s="16" t="s">
        <v>37</v>
      </c>
      <c r="B1661" s="49">
        <v>793</v>
      </c>
      <c r="C1661" s="15" t="s">
        <v>167</v>
      </c>
      <c r="D1661" s="15" t="s">
        <v>69</v>
      </c>
      <c r="E1661" s="15" t="s">
        <v>1301</v>
      </c>
      <c r="F1661" s="15" t="s">
        <v>38</v>
      </c>
      <c r="G1661" s="70">
        <f>прил4!G2444</f>
        <v>191382</v>
      </c>
      <c r="H1661" s="70">
        <v>0</v>
      </c>
      <c r="I1661" s="70">
        <v>0</v>
      </c>
      <c r="J1661" s="172"/>
      <c r="K1661" s="69"/>
      <c r="L1661" s="69"/>
      <c r="M1661" s="69"/>
      <c r="N1661" s="69"/>
      <c r="O1661" s="69"/>
      <c r="P1661" s="69"/>
      <c r="Q1661" s="69"/>
      <c r="R1661" s="69"/>
      <c r="S1661" s="1"/>
      <c r="T1661" s="1"/>
    </row>
    <row r="1662" spans="1:20" s="90" customFormat="1" ht="27.75" customHeight="1">
      <c r="A1662" s="82" t="s">
        <v>720</v>
      </c>
      <c r="B1662" s="83">
        <v>795</v>
      </c>
      <c r="C1662" s="84" t="s">
        <v>167</v>
      </c>
      <c r="D1662" s="84" t="s">
        <v>27</v>
      </c>
      <c r="E1662" s="84" t="s">
        <v>290</v>
      </c>
      <c r="F1662" s="84"/>
      <c r="G1662" s="70">
        <f>G1663+G1665</f>
        <v>0</v>
      </c>
      <c r="H1662" s="70">
        <f t="shared" ref="G1662:I1663" si="491">H1663</f>
        <v>1000000</v>
      </c>
      <c r="I1662" s="70">
        <f t="shared" si="491"/>
        <v>1000000</v>
      </c>
      <c r="J1662" s="121"/>
      <c r="M1662" s="122">
        <v>662715</v>
      </c>
      <c r="P1662" s="123"/>
      <c r="Q1662" s="123"/>
      <c r="R1662" s="123"/>
      <c r="S1662" s="123"/>
      <c r="T1662" s="123"/>
    </row>
    <row r="1663" spans="1:20" s="90" customFormat="1" ht="26.4">
      <c r="A1663" s="82" t="s">
        <v>35</v>
      </c>
      <c r="B1663" s="83">
        <v>795</v>
      </c>
      <c r="C1663" s="84" t="s">
        <v>167</v>
      </c>
      <c r="D1663" s="84" t="s">
        <v>27</v>
      </c>
      <c r="E1663" s="84" t="s">
        <v>290</v>
      </c>
      <c r="F1663" s="84" t="s">
        <v>36</v>
      </c>
      <c r="G1663" s="70">
        <f t="shared" si="491"/>
        <v>0</v>
      </c>
      <c r="H1663" s="70">
        <f t="shared" si="491"/>
        <v>1000000</v>
      </c>
      <c r="I1663" s="70">
        <f t="shared" si="491"/>
        <v>1000000</v>
      </c>
      <c r="J1663" s="121"/>
      <c r="M1663" s="122">
        <v>1000000</v>
      </c>
      <c r="P1663" s="123"/>
      <c r="Q1663" s="123"/>
      <c r="R1663" s="123"/>
      <c r="S1663" s="123"/>
      <c r="T1663" s="123"/>
    </row>
    <row r="1664" spans="1:20" s="90" customFormat="1" ht="26.4">
      <c r="A1664" s="82" t="s">
        <v>37</v>
      </c>
      <c r="B1664" s="83">
        <v>795</v>
      </c>
      <c r="C1664" s="84" t="s">
        <v>167</v>
      </c>
      <c r="D1664" s="84" t="s">
        <v>27</v>
      </c>
      <c r="E1664" s="84" t="s">
        <v>290</v>
      </c>
      <c r="F1664" s="84" t="s">
        <v>38</v>
      </c>
      <c r="G1664" s="70">
        <f>прил4!G2194+прил4!G3273</f>
        <v>0</v>
      </c>
      <c r="H1664" s="70">
        <f>прил4!H2194</f>
        <v>1000000</v>
      </c>
      <c r="I1664" s="70">
        <f>прил4!I2194</f>
        <v>1000000</v>
      </c>
      <c r="J1664" s="121"/>
      <c r="M1664" s="122">
        <v>200000</v>
      </c>
      <c r="P1664" s="123"/>
      <c r="Q1664" s="123"/>
      <c r="R1664" s="123"/>
      <c r="S1664" s="123"/>
      <c r="T1664" s="123">
        <f>G1664+G1704+G1710+G1716+G1719+G1722+G1746+G1829+G1836+G1848+G1852+G1859+G1862+G1880+G1883+G1886</f>
        <v>14119099.429999998</v>
      </c>
    </row>
    <row r="1665" spans="1:20" hidden="1">
      <c r="A1665" s="16" t="s">
        <v>62</v>
      </c>
      <c r="B1665" s="49">
        <v>795</v>
      </c>
      <c r="C1665" s="15" t="s">
        <v>167</v>
      </c>
      <c r="D1665" s="15" t="s">
        <v>27</v>
      </c>
      <c r="E1665" s="15" t="s">
        <v>290</v>
      </c>
      <c r="F1665" s="15" t="s">
        <v>63</v>
      </c>
      <c r="G1665" s="70">
        <f>G1666</f>
        <v>0</v>
      </c>
      <c r="H1665" s="70">
        <v>0</v>
      </c>
      <c r="I1665" s="70">
        <v>0</v>
      </c>
      <c r="J1665" s="1"/>
    </row>
    <row r="1666" spans="1:20" hidden="1">
      <c r="A1666" s="16" t="s">
        <v>174</v>
      </c>
      <c r="B1666" s="49">
        <v>795</v>
      </c>
      <c r="C1666" s="15" t="s">
        <v>167</v>
      </c>
      <c r="D1666" s="15" t="s">
        <v>27</v>
      </c>
      <c r="E1666" s="15" t="s">
        <v>290</v>
      </c>
      <c r="F1666" s="15" t="s">
        <v>175</v>
      </c>
      <c r="G1666" s="70">
        <f>прил4!G3028</f>
        <v>0</v>
      </c>
      <c r="H1666" s="70">
        <v>0</v>
      </c>
      <c r="I1666" s="70">
        <v>0</v>
      </c>
      <c r="J1666" s="1"/>
    </row>
    <row r="1667" spans="1:20" s="90" customFormat="1" hidden="1">
      <c r="A1667" s="82" t="s">
        <v>665</v>
      </c>
      <c r="B1667" s="83">
        <v>795</v>
      </c>
      <c r="C1667" s="84" t="s">
        <v>167</v>
      </c>
      <c r="D1667" s="84" t="s">
        <v>27</v>
      </c>
      <c r="E1667" s="84" t="s">
        <v>664</v>
      </c>
      <c r="F1667" s="84"/>
      <c r="G1667" s="87">
        <f t="shared" ref="G1667:I1668" si="492">G1668</f>
        <v>0</v>
      </c>
      <c r="H1667" s="87">
        <f t="shared" si="492"/>
        <v>0</v>
      </c>
      <c r="I1667" s="87">
        <f t="shared" si="492"/>
        <v>0</v>
      </c>
      <c r="P1667" s="123"/>
      <c r="Q1667" s="123"/>
      <c r="R1667" s="123"/>
      <c r="S1667" s="123"/>
      <c r="T1667" s="123"/>
    </row>
    <row r="1668" spans="1:20" s="90" customFormat="1" ht="26.4" hidden="1">
      <c r="A1668" s="82" t="s">
        <v>35</v>
      </c>
      <c r="B1668" s="83">
        <v>795</v>
      </c>
      <c r="C1668" s="84" t="s">
        <v>167</v>
      </c>
      <c r="D1668" s="84" t="s">
        <v>27</v>
      </c>
      <c r="E1668" s="84" t="s">
        <v>664</v>
      </c>
      <c r="F1668" s="84" t="s">
        <v>36</v>
      </c>
      <c r="G1668" s="87">
        <f t="shared" si="492"/>
        <v>0</v>
      </c>
      <c r="H1668" s="87">
        <f t="shared" si="492"/>
        <v>0</v>
      </c>
      <c r="I1668" s="87">
        <f t="shared" si="492"/>
        <v>0</v>
      </c>
      <c r="P1668" s="123"/>
      <c r="Q1668" s="123"/>
      <c r="R1668" s="123"/>
      <c r="S1668" s="123"/>
      <c r="T1668" s="123"/>
    </row>
    <row r="1669" spans="1:20" s="90" customFormat="1" ht="26.4" hidden="1">
      <c r="A1669" s="82" t="s">
        <v>37</v>
      </c>
      <c r="B1669" s="83">
        <v>795</v>
      </c>
      <c r="C1669" s="84" t="s">
        <v>167</v>
      </c>
      <c r="D1669" s="84" t="s">
        <v>27</v>
      </c>
      <c r="E1669" s="84" t="s">
        <v>664</v>
      </c>
      <c r="F1669" s="84" t="s">
        <v>38</v>
      </c>
      <c r="G1669" s="87">
        <f>прил4!G1455</f>
        <v>0</v>
      </c>
      <c r="H1669" s="87">
        <v>0</v>
      </c>
      <c r="I1669" s="87">
        <v>0</v>
      </c>
      <c r="P1669" s="123"/>
      <c r="Q1669" s="123"/>
      <c r="R1669" s="123"/>
      <c r="S1669" s="123"/>
      <c r="T1669" s="123"/>
    </row>
    <row r="1670" spans="1:20" hidden="1">
      <c r="A1670" s="16" t="s">
        <v>711</v>
      </c>
      <c r="B1670" s="49">
        <v>795</v>
      </c>
      <c r="C1670" s="15" t="s">
        <v>167</v>
      </c>
      <c r="D1670" s="15" t="s">
        <v>27</v>
      </c>
      <c r="E1670" s="15" t="s">
        <v>710</v>
      </c>
      <c r="F1670" s="15"/>
      <c r="G1670" s="70">
        <f t="shared" ref="G1670:I1671" si="493">G1671</f>
        <v>0</v>
      </c>
      <c r="H1670" s="70">
        <f t="shared" si="493"/>
        <v>0</v>
      </c>
      <c r="I1670" s="70">
        <f t="shared" si="493"/>
        <v>0</v>
      </c>
      <c r="J1670" s="1"/>
    </row>
    <row r="1671" spans="1:20" ht="26.4" hidden="1">
      <c r="A1671" s="16" t="s">
        <v>35</v>
      </c>
      <c r="B1671" s="49">
        <v>795</v>
      </c>
      <c r="C1671" s="15" t="s">
        <v>167</v>
      </c>
      <c r="D1671" s="15" t="s">
        <v>27</v>
      </c>
      <c r="E1671" s="15" t="s">
        <v>710</v>
      </c>
      <c r="F1671" s="15" t="s">
        <v>36</v>
      </c>
      <c r="G1671" s="70">
        <f t="shared" si="493"/>
        <v>0</v>
      </c>
      <c r="H1671" s="70">
        <f t="shared" si="493"/>
        <v>0</v>
      </c>
      <c r="I1671" s="70">
        <f t="shared" si="493"/>
        <v>0</v>
      </c>
      <c r="J1671" s="1"/>
    </row>
    <row r="1672" spans="1:20" ht="26.4" hidden="1">
      <c r="A1672" s="16" t="s">
        <v>37</v>
      </c>
      <c r="B1672" s="49">
        <v>795</v>
      </c>
      <c r="C1672" s="15" t="s">
        <v>167</v>
      </c>
      <c r="D1672" s="15" t="s">
        <v>27</v>
      </c>
      <c r="E1672" s="15" t="s">
        <v>710</v>
      </c>
      <c r="F1672" s="15" t="s">
        <v>38</v>
      </c>
      <c r="G1672" s="70">
        <f>прил4!G3034</f>
        <v>0</v>
      </c>
      <c r="H1672" s="70">
        <v>0</v>
      </c>
      <c r="I1672" s="70">
        <v>0</v>
      </c>
      <c r="J1672" s="1"/>
    </row>
    <row r="1673" spans="1:20" ht="26.4" hidden="1">
      <c r="A1673" s="82" t="s">
        <v>1006</v>
      </c>
      <c r="B1673" s="49">
        <v>793</v>
      </c>
      <c r="C1673" s="15" t="s">
        <v>167</v>
      </c>
      <c r="D1673" s="15" t="s">
        <v>27</v>
      </c>
      <c r="E1673" s="15" t="s">
        <v>1009</v>
      </c>
      <c r="F1673" s="15"/>
      <c r="G1673" s="70">
        <f>G1674</f>
        <v>0</v>
      </c>
      <c r="H1673" s="70">
        <f t="shared" ref="G1673:I1674" si="494">H1674</f>
        <v>0</v>
      </c>
      <c r="I1673" s="70">
        <f t="shared" si="494"/>
        <v>0</v>
      </c>
      <c r="J1673" s="173"/>
      <c r="K1673" s="181"/>
      <c r="L1673" s="181"/>
      <c r="M1673" s="181"/>
      <c r="N1673" s="181"/>
      <c r="O1673" s="181"/>
      <c r="P1673" s="181"/>
      <c r="Q1673" s="181"/>
      <c r="R1673" s="181"/>
      <c r="S1673" s="1"/>
      <c r="T1673" s="1"/>
    </row>
    <row r="1674" spans="1:20" ht="26.4" hidden="1">
      <c r="A1674" s="16" t="s">
        <v>35</v>
      </c>
      <c r="B1674" s="49">
        <v>793</v>
      </c>
      <c r="C1674" s="15" t="s">
        <v>167</v>
      </c>
      <c r="D1674" s="15" t="s">
        <v>27</v>
      </c>
      <c r="E1674" s="15" t="s">
        <v>1009</v>
      </c>
      <c r="F1674" s="15" t="s">
        <v>338</v>
      </c>
      <c r="G1674" s="70">
        <f t="shared" si="494"/>
        <v>0</v>
      </c>
      <c r="H1674" s="70">
        <f t="shared" si="494"/>
        <v>0</v>
      </c>
      <c r="I1674" s="70">
        <f t="shared" si="494"/>
        <v>0</v>
      </c>
      <c r="J1674" s="173"/>
      <c r="K1674" s="181"/>
      <c r="L1674" s="181"/>
      <c r="M1674" s="181"/>
      <c r="N1674" s="181"/>
      <c r="O1674" s="181"/>
      <c r="P1674" s="181"/>
      <c r="Q1674" s="181"/>
      <c r="R1674" s="181"/>
      <c r="S1674" s="1"/>
      <c r="T1674" s="1"/>
    </row>
    <row r="1675" spans="1:20" ht="26.4" hidden="1">
      <c r="A1675" s="16" t="s">
        <v>37</v>
      </c>
      <c r="B1675" s="49">
        <v>793</v>
      </c>
      <c r="C1675" s="15" t="s">
        <v>167</v>
      </c>
      <c r="D1675" s="15" t="s">
        <v>27</v>
      </c>
      <c r="E1675" s="15" t="s">
        <v>1009</v>
      </c>
      <c r="F1675" s="15" t="s">
        <v>340</v>
      </c>
      <c r="G1675" s="70">
        <f>прил4!G2205</f>
        <v>0</v>
      </c>
      <c r="H1675" s="70">
        <f>прил4!H2205</f>
        <v>0</v>
      </c>
      <c r="I1675" s="70">
        <f>прил4!I2205</f>
        <v>0</v>
      </c>
      <c r="J1675" s="173"/>
      <c r="K1675" s="181"/>
      <c r="L1675" s="181"/>
      <c r="M1675" s="181"/>
      <c r="N1675" s="181"/>
      <c r="O1675" s="181"/>
      <c r="P1675" s="181"/>
      <c r="Q1675" s="181"/>
      <c r="R1675" s="181"/>
      <c r="S1675" s="1"/>
      <c r="T1675" s="1"/>
    </row>
    <row r="1676" spans="1:20" s="18" customFormat="1" ht="20.25" hidden="1" customHeight="1">
      <c r="A1676" s="82" t="s">
        <v>1113</v>
      </c>
      <c r="B1676" s="83">
        <v>793</v>
      </c>
      <c r="C1676" s="84" t="s">
        <v>167</v>
      </c>
      <c r="D1676" s="84" t="s">
        <v>18</v>
      </c>
      <c r="E1676" s="84" t="s">
        <v>1112</v>
      </c>
      <c r="F1676" s="84"/>
      <c r="G1676" s="87">
        <f t="shared" ref="G1676:I1677" si="495">G1677</f>
        <v>0</v>
      </c>
      <c r="H1676" s="87">
        <f t="shared" si="495"/>
        <v>0</v>
      </c>
      <c r="I1676" s="87">
        <f t="shared" si="495"/>
        <v>0</v>
      </c>
      <c r="J1676" s="173"/>
      <c r="K1676" s="195"/>
      <c r="L1676" s="195"/>
      <c r="M1676" s="195"/>
      <c r="N1676" s="195"/>
      <c r="O1676" s="195"/>
      <c r="P1676" s="195"/>
      <c r="Q1676" s="195"/>
      <c r="R1676" s="195"/>
    </row>
    <row r="1677" spans="1:20" ht="30.75" hidden="1" customHeight="1">
      <c r="A1677" s="82" t="s">
        <v>35</v>
      </c>
      <c r="B1677" s="83">
        <v>793</v>
      </c>
      <c r="C1677" s="84" t="s">
        <v>167</v>
      </c>
      <c r="D1677" s="84" t="s">
        <v>18</v>
      </c>
      <c r="E1677" s="84" t="s">
        <v>1112</v>
      </c>
      <c r="F1677" s="84" t="s">
        <v>36</v>
      </c>
      <c r="G1677" s="87">
        <f t="shared" si="495"/>
        <v>0</v>
      </c>
      <c r="H1677" s="87">
        <f t="shared" si="495"/>
        <v>0</v>
      </c>
      <c r="I1677" s="87">
        <f t="shared" si="495"/>
        <v>0</v>
      </c>
      <c r="J1677" s="173"/>
      <c r="K1677" s="181"/>
      <c r="L1677" s="181"/>
      <c r="M1677" s="181"/>
      <c r="N1677" s="181"/>
      <c r="O1677" s="181"/>
      <c r="P1677" s="181"/>
      <c r="Q1677" s="181"/>
      <c r="R1677" s="181"/>
      <c r="S1677" s="1"/>
      <c r="T1677" s="1"/>
    </row>
    <row r="1678" spans="1:20" s="18" customFormat="1" ht="34.5" hidden="1" customHeight="1">
      <c r="A1678" s="82" t="s">
        <v>37</v>
      </c>
      <c r="B1678" s="83">
        <v>793</v>
      </c>
      <c r="C1678" s="84" t="s">
        <v>167</v>
      </c>
      <c r="D1678" s="84" t="s">
        <v>18</v>
      </c>
      <c r="E1678" s="84" t="s">
        <v>1112</v>
      </c>
      <c r="F1678" s="84" t="s">
        <v>38</v>
      </c>
      <c r="G1678" s="87"/>
      <c r="H1678" s="87">
        <v>0</v>
      </c>
      <c r="I1678" s="87">
        <v>0</v>
      </c>
      <c r="J1678" s="173"/>
      <c r="K1678" s="195"/>
      <c r="L1678" s="195"/>
      <c r="M1678" s="195"/>
      <c r="N1678" s="195"/>
      <c r="O1678" s="195"/>
      <c r="P1678" s="195"/>
      <c r="Q1678" s="195"/>
      <c r="R1678" s="195"/>
    </row>
    <row r="1679" spans="1:20" ht="26.4" hidden="1">
      <c r="A1679" s="82" t="s">
        <v>947</v>
      </c>
      <c r="B1679" s="49">
        <v>793</v>
      </c>
      <c r="C1679" s="15" t="s">
        <v>167</v>
      </c>
      <c r="D1679" s="15" t="s">
        <v>27</v>
      </c>
      <c r="E1679" s="15" t="s">
        <v>946</v>
      </c>
      <c r="F1679" s="15"/>
      <c r="G1679" s="70">
        <f>G1680</f>
        <v>0</v>
      </c>
      <c r="H1679" s="70">
        <f t="shared" ref="G1679:I1680" si="496">H1680</f>
        <v>0</v>
      </c>
      <c r="I1679" s="70">
        <f t="shared" si="496"/>
        <v>0</v>
      </c>
      <c r="J1679" s="173"/>
      <c r="K1679" s="181"/>
      <c r="L1679" s="181"/>
      <c r="M1679" s="181"/>
      <c r="N1679" s="181"/>
      <c r="O1679" s="181"/>
      <c r="P1679" s="181"/>
      <c r="Q1679" s="181"/>
      <c r="R1679" s="181"/>
      <c r="S1679" s="1"/>
      <c r="T1679" s="1"/>
    </row>
    <row r="1680" spans="1:20" ht="26.4" hidden="1">
      <c r="A1680" s="16" t="s">
        <v>94</v>
      </c>
      <c r="B1680" s="49">
        <v>793</v>
      </c>
      <c r="C1680" s="15" t="s">
        <v>167</v>
      </c>
      <c r="D1680" s="15" t="s">
        <v>27</v>
      </c>
      <c r="E1680" s="15" t="s">
        <v>946</v>
      </c>
      <c r="F1680" s="15" t="s">
        <v>338</v>
      </c>
      <c r="G1680" s="70">
        <f t="shared" si="496"/>
        <v>0</v>
      </c>
      <c r="H1680" s="70">
        <f t="shared" si="496"/>
        <v>0</v>
      </c>
      <c r="I1680" s="70">
        <f t="shared" si="496"/>
        <v>0</v>
      </c>
      <c r="J1680" s="173"/>
      <c r="K1680" s="181"/>
      <c r="L1680" s="181"/>
      <c r="M1680" s="181"/>
      <c r="N1680" s="181"/>
      <c r="O1680" s="181"/>
      <c r="P1680" s="181"/>
      <c r="Q1680" s="181"/>
      <c r="R1680" s="181"/>
      <c r="S1680" s="1"/>
      <c r="T1680" s="1"/>
    </row>
    <row r="1681" spans="1:20" hidden="1">
      <c r="A1681" s="16" t="s">
        <v>339</v>
      </c>
      <c r="B1681" s="49">
        <v>793</v>
      </c>
      <c r="C1681" s="15" t="s">
        <v>167</v>
      </c>
      <c r="D1681" s="15" t="s">
        <v>27</v>
      </c>
      <c r="E1681" s="15" t="s">
        <v>946</v>
      </c>
      <c r="F1681" s="15" t="s">
        <v>340</v>
      </c>
      <c r="G1681" s="70">
        <f>прил4!G2208</f>
        <v>0</v>
      </c>
      <c r="H1681" s="70">
        <f>прил4!H2208</f>
        <v>0</v>
      </c>
      <c r="I1681" s="70">
        <f>прил4!I2208</f>
        <v>0</v>
      </c>
      <c r="J1681" s="173"/>
      <c r="K1681" s="181"/>
      <c r="L1681" s="181"/>
      <c r="M1681" s="181"/>
      <c r="N1681" s="181"/>
      <c r="O1681" s="181"/>
      <c r="P1681" s="181"/>
      <c r="Q1681" s="181"/>
      <c r="R1681" s="181"/>
      <c r="S1681" s="1"/>
      <c r="T1681" s="1"/>
    </row>
    <row r="1682" spans="1:20" s="90" customFormat="1" hidden="1">
      <c r="A1682" s="82" t="s">
        <v>113</v>
      </c>
      <c r="B1682" s="83">
        <v>795</v>
      </c>
      <c r="C1682" s="84" t="s">
        <v>167</v>
      </c>
      <c r="D1682" s="84" t="s">
        <v>69</v>
      </c>
      <c r="E1682" s="84" t="s">
        <v>97</v>
      </c>
      <c r="F1682" s="84"/>
      <c r="G1682" s="87">
        <f>G1683+G1685</f>
        <v>0</v>
      </c>
      <c r="H1682" s="87">
        <f>H1683+H1685</f>
        <v>0</v>
      </c>
      <c r="I1682" s="87">
        <f>I1683+I1685</f>
        <v>0</v>
      </c>
      <c r="J1682" s="121"/>
      <c r="M1682" s="122">
        <v>60914</v>
      </c>
      <c r="P1682" s="123"/>
      <c r="Q1682" s="123"/>
      <c r="R1682" s="123"/>
      <c r="S1682" s="123"/>
      <c r="T1682" s="123"/>
    </row>
    <row r="1683" spans="1:20" s="90" customFormat="1" ht="25.5" hidden="1" customHeight="1">
      <c r="A1683" s="82" t="s">
        <v>316</v>
      </c>
      <c r="B1683" s="145">
        <v>793</v>
      </c>
      <c r="C1683" s="84" t="s">
        <v>18</v>
      </c>
      <c r="D1683" s="84" t="s">
        <v>22</v>
      </c>
      <c r="E1683" s="84" t="s">
        <v>97</v>
      </c>
      <c r="F1683" s="84" t="s">
        <v>36</v>
      </c>
      <c r="G1683" s="87">
        <f>G1684</f>
        <v>0</v>
      </c>
      <c r="H1683" s="87">
        <f>H1684</f>
        <v>0</v>
      </c>
      <c r="I1683" s="87">
        <f>I1684</f>
        <v>0</v>
      </c>
      <c r="J1683" s="121"/>
      <c r="M1683" s="122">
        <v>365000</v>
      </c>
      <c r="P1683" s="123"/>
      <c r="Q1683" s="123"/>
      <c r="R1683" s="123"/>
      <c r="S1683" s="123"/>
      <c r="T1683" s="123"/>
    </row>
    <row r="1684" spans="1:20" s="90" customFormat="1" ht="25.5" hidden="1" customHeight="1">
      <c r="A1684" s="82" t="s">
        <v>37</v>
      </c>
      <c r="B1684" s="145">
        <v>793</v>
      </c>
      <c r="C1684" s="84" t="s">
        <v>18</v>
      </c>
      <c r="D1684" s="84" t="s">
        <v>22</v>
      </c>
      <c r="E1684" s="84" t="s">
        <v>97</v>
      </c>
      <c r="F1684" s="84" t="s">
        <v>38</v>
      </c>
      <c r="G1684" s="70">
        <f>прил4!G2390+прил4!G3292</f>
        <v>0</v>
      </c>
      <c r="H1684" s="70">
        <f>прил4!H2390</f>
        <v>0</v>
      </c>
      <c r="I1684" s="70">
        <f>прил4!I2390</f>
        <v>0</v>
      </c>
      <c r="J1684" s="121"/>
      <c r="M1684" s="122">
        <v>50000</v>
      </c>
      <c r="P1684" s="123"/>
      <c r="Q1684" s="123"/>
      <c r="R1684" s="123"/>
      <c r="S1684" s="123"/>
      <c r="T1684" s="123"/>
    </row>
    <row r="1685" spans="1:20" s="90" customFormat="1" hidden="1">
      <c r="A1685" s="82" t="s">
        <v>152</v>
      </c>
      <c r="B1685" s="83">
        <v>795</v>
      </c>
      <c r="C1685" s="84" t="s">
        <v>167</v>
      </c>
      <c r="D1685" s="84" t="s">
        <v>69</v>
      </c>
      <c r="E1685" s="84" t="s">
        <v>97</v>
      </c>
      <c r="F1685" s="84" t="s">
        <v>153</v>
      </c>
      <c r="G1685" s="70">
        <f>G1686</f>
        <v>0</v>
      </c>
      <c r="H1685" s="70">
        <f t="shared" ref="H1685:I1685" si="497">H1686</f>
        <v>0</v>
      </c>
      <c r="I1685" s="70">
        <f t="shared" si="497"/>
        <v>0</v>
      </c>
      <c r="J1685" s="123"/>
      <c r="M1685" s="90">
        <v>500000</v>
      </c>
      <c r="P1685" s="123"/>
      <c r="Q1685" s="123"/>
      <c r="R1685" s="123"/>
      <c r="S1685" s="123"/>
      <c r="T1685" s="123"/>
    </row>
    <row r="1686" spans="1:20" s="90" customFormat="1" hidden="1">
      <c r="A1686" s="82" t="s">
        <v>172</v>
      </c>
      <c r="B1686" s="83">
        <v>795</v>
      </c>
      <c r="C1686" s="84" t="s">
        <v>167</v>
      </c>
      <c r="D1686" s="84" t="s">
        <v>69</v>
      </c>
      <c r="E1686" s="84" t="s">
        <v>97</v>
      </c>
      <c r="F1686" s="84" t="s">
        <v>173</v>
      </c>
      <c r="G1686" s="70">
        <f>прил4!G3108</f>
        <v>0</v>
      </c>
      <c r="H1686" s="70">
        <f>прил4!H3108</f>
        <v>0</v>
      </c>
      <c r="I1686" s="70">
        <f>прил4!I3108</f>
        <v>0</v>
      </c>
      <c r="J1686" s="123"/>
      <c r="M1686" s="90">
        <f>M1641+M1642+M1643+M1644+M1645+M1646+M1647+M1648+M1654+M1657+M1658+M1662+M1663+M1664+M1682+M1683+M1684+M1685</f>
        <v>120115842</v>
      </c>
      <c r="P1686" s="123"/>
      <c r="Q1686" s="123"/>
      <c r="R1686" s="123"/>
      <c r="S1686" s="123"/>
      <c r="T1686" s="123"/>
    </row>
    <row r="1687" spans="1:20" s="90" customFormat="1" ht="26.25" hidden="1" customHeight="1">
      <c r="A1687" s="82" t="s">
        <v>76</v>
      </c>
      <c r="B1687" s="83">
        <v>795</v>
      </c>
      <c r="C1687" s="84" t="s">
        <v>167</v>
      </c>
      <c r="D1687" s="84" t="s">
        <v>69</v>
      </c>
      <c r="E1687" s="84" t="s">
        <v>77</v>
      </c>
      <c r="F1687" s="84"/>
      <c r="G1687" s="70">
        <f t="shared" ref="G1687:I1688" si="498">G1688</f>
        <v>0</v>
      </c>
      <c r="H1687" s="70">
        <f t="shared" si="498"/>
        <v>0</v>
      </c>
      <c r="I1687" s="70">
        <f t="shared" si="498"/>
        <v>0</v>
      </c>
      <c r="J1687" s="123"/>
      <c r="M1687" s="123">
        <f>M1686-H1641</f>
        <v>107141942</v>
      </c>
      <c r="P1687" s="123"/>
      <c r="Q1687" s="123"/>
      <c r="R1687" s="123"/>
      <c r="S1687" s="123"/>
      <c r="T1687" s="123"/>
    </row>
    <row r="1688" spans="1:20" s="90" customFormat="1" ht="26.25" hidden="1" customHeight="1">
      <c r="A1688" s="82" t="s">
        <v>35</v>
      </c>
      <c r="B1688" s="83">
        <v>795</v>
      </c>
      <c r="C1688" s="84" t="s">
        <v>167</v>
      </c>
      <c r="D1688" s="84" t="s">
        <v>69</v>
      </c>
      <c r="E1688" s="84" t="s">
        <v>77</v>
      </c>
      <c r="F1688" s="84" t="s">
        <v>36</v>
      </c>
      <c r="G1688" s="70">
        <f t="shared" si="498"/>
        <v>0</v>
      </c>
      <c r="H1688" s="70">
        <f t="shared" si="498"/>
        <v>0</v>
      </c>
      <c r="I1688" s="70">
        <f t="shared" si="498"/>
        <v>0</v>
      </c>
      <c r="J1688" s="123"/>
      <c r="P1688" s="123"/>
      <c r="Q1688" s="123"/>
      <c r="R1688" s="123"/>
      <c r="S1688" s="123"/>
      <c r="T1688" s="123"/>
    </row>
    <row r="1689" spans="1:20" s="90" customFormat="1" ht="26.4" hidden="1">
      <c r="A1689" s="82" t="s">
        <v>37</v>
      </c>
      <c r="B1689" s="83">
        <v>795</v>
      </c>
      <c r="C1689" s="84" t="s">
        <v>167</v>
      </c>
      <c r="D1689" s="84" t="s">
        <v>69</v>
      </c>
      <c r="E1689" s="84" t="s">
        <v>77</v>
      </c>
      <c r="F1689" s="84" t="s">
        <v>38</v>
      </c>
      <c r="G1689" s="70">
        <f>прил4!G2395</f>
        <v>0</v>
      </c>
      <c r="H1689" s="70">
        <f>прил4!H2395</f>
        <v>0</v>
      </c>
      <c r="I1689" s="70">
        <f>прил4!I2395</f>
        <v>0</v>
      </c>
      <c r="J1689" s="123"/>
      <c r="P1689" s="123"/>
      <c r="Q1689" s="123"/>
      <c r="R1689" s="123"/>
      <c r="S1689" s="123"/>
      <c r="T1689" s="123"/>
    </row>
    <row r="1690" spans="1:20" s="90" customFormat="1" ht="34.5" hidden="1" customHeight="1">
      <c r="A1690" s="82" t="s">
        <v>669</v>
      </c>
      <c r="B1690" s="83">
        <v>795</v>
      </c>
      <c r="C1690" s="84" t="s">
        <v>167</v>
      </c>
      <c r="D1690" s="84" t="s">
        <v>69</v>
      </c>
      <c r="E1690" s="84" t="s">
        <v>404</v>
      </c>
      <c r="F1690" s="84"/>
      <c r="G1690" s="70">
        <f t="shared" ref="G1690:I1691" si="499">G1691</f>
        <v>0</v>
      </c>
      <c r="H1690" s="70">
        <f t="shared" si="499"/>
        <v>0</v>
      </c>
      <c r="I1690" s="70">
        <f t="shared" si="499"/>
        <v>0</v>
      </c>
      <c r="J1690" s="123"/>
      <c r="P1690" s="123"/>
      <c r="Q1690" s="123"/>
      <c r="R1690" s="123"/>
      <c r="S1690" s="123"/>
      <c r="T1690" s="123"/>
    </row>
    <row r="1691" spans="1:20" s="90" customFormat="1" ht="34.5" hidden="1" customHeight="1">
      <c r="A1691" s="82" t="s">
        <v>35</v>
      </c>
      <c r="B1691" s="83">
        <v>795</v>
      </c>
      <c r="C1691" s="84" t="s">
        <v>167</v>
      </c>
      <c r="D1691" s="84" t="s">
        <v>69</v>
      </c>
      <c r="E1691" s="84" t="s">
        <v>404</v>
      </c>
      <c r="F1691" s="84" t="s">
        <v>36</v>
      </c>
      <c r="G1691" s="70">
        <f t="shared" si="499"/>
        <v>0</v>
      </c>
      <c r="H1691" s="70">
        <f t="shared" si="499"/>
        <v>0</v>
      </c>
      <c r="I1691" s="70">
        <f t="shared" si="499"/>
        <v>0</v>
      </c>
      <c r="J1691" s="123"/>
      <c r="P1691" s="123"/>
      <c r="Q1691" s="123"/>
      <c r="R1691" s="123"/>
      <c r="S1691" s="123"/>
      <c r="T1691" s="123"/>
    </row>
    <row r="1692" spans="1:20" s="90" customFormat="1" ht="34.5" hidden="1" customHeight="1">
      <c r="A1692" s="82" t="s">
        <v>37</v>
      </c>
      <c r="B1692" s="83">
        <v>795</v>
      </c>
      <c r="C1692" s="84" t="s">
        <v>167</v>
      </c>
      <c r="D1692" s="84" t="s">
        <v>69</v>
      </c>
      <c r="E1692" s="84" t="s">
        <v>404</v>
      </c>
      <c r="F1692" s="84" t="s">
        <v>38</v>
      </c>
      <c r="G1692" s="70">
        <f>прил4!G2398</f>
        <v>0</v>
      </c>
      <c r="H1692" s="70">
        <f>прил4!H2398</f>
        <v>0</v>
      </c>
      <c r="I1692" s="70">
        <f>прил4!I2398</f>
        <v>0</v>
      </c>
      <c r="J1692" s="123"/>
      <c r="P1692" s="123"/>
      <c r="Q1692" s="123"/>
      <c r="R1692" s="123"/>
      <c r="S1692" s="123"/>
      <c r="T1692" s="123"/>
    </row>
    <row r="1693" spans="1:20" ht="28.5" hidden="1" customHeight="1">
      <c r="A1693" s="82" t="s">
        <v>508</v>
      </c>
      <c r="B1693" s="49">
        <v>793</v>
      </c>
      <c r="C1693" s="15" t="s">
        <v>167</v>
      </c>
      <c r="D1693" s="15" t="s">
        <v>27</v>
      </c>
      <c r="E1693" s="15" t="s">
        <v>507</v>
      </c>
      <c r="F1693" s="15"/>
      <c r="G1693" s="70">
        <f>G1694</f>
        <v>0</v>
      </c>
      <c r="H1693" s="70">
        <f t="shared" ref="G1693:I1694" si="500">H1694</f>
        <v>0</v>
      </c>
      <c r="I1693" s="70">
        <f t="shared" si="500"/>
        <v>0</v>
      </c>
      <c r="J1693" s="173"/>
      <c r="K1693" s="181"/>
      <c r="L1693" s="181"/>
      <c r="M1693" s="181"/>
      <c r="N1693" s="181"/>
      <c r="O1693" s="181"/>
      <c r="P1693" s="181"/>
      <c r="Q1693" s="181"/>
      <c r="R1693" s="181"/>
      <c r="S1693" s="1"/>
      <c r="T1693" s="1"/>
    </row>
    <row r="1694" spans="1:20" ht="26.4" hidden="1">
      <c r="A1694" s="16" t="s">
        <v>35</v>
      </c>
      <c r="B1694" s="49">
        <v>793</v>
      </c>
      <c r="C1694" s="15" t="s">
        <v>167</v>
      </c>
      <c r="D1694" s="15" t="s">
        <v>27</v>
      </c>
      <c r="E1694" s="15" t="s">
        <v>507</v>
      </c>
      <c r="F1694" s="15" t="s">
        <v>36</v>
      </c>
      <c r="G1694" s="70">
        <f t="shared" si="500"/>
        <v>0</v>
      </c>
      <c r="H1694" s="70">
        <f t="shared" si="500"/>
        <v>0</v>
      </c>
      <c r="I1694" s="70">
        <f t="shared" si="500"/>
        <v>0</v>
      </c>
      <c r="J1694" s="173"/>
      <c r="K1694" s="181"/>
      <c r="L1694" s="181"/>
      <c r="M1694" s="181"/>
      <c r="N1694" s="181"/>
      <c r="O1694" s="181"/>
      <c r="P1694" s="181"/>
      <c r="Q1694" s="181"/>
      <c r="R1694" s="181"/>
      <c r="S1694" s="1"/>
      <c r="T1694" s="1"/>
    </row>
    <row r="1695" spans="1:20" ht="26.4" hidden="1">
      <c r="A1695" s="16" t="s">
        <v>37</v>
      </c>
      <c r="B1695" s="49">
        <v>793</v>
      </c>
      <c r="C1695" s="15" t="s">
        <v>167</v>
      </c>
      <c r="D1695" s="15" t="s">
        <v>27</v>
      </c>
      <c r="E1695" s="15" t="s">
        <v>507</v>
      </c>
      <c r="F1695" s="15" t="s">
        <v>38</v>
      </c>
      <c r="G1695" s="70"/>
      <c r="H1695" s="70">
        <v>0</v>
      </c>
      <c r="I1695" s="70">
        <v>0</v>
      </c>
      <c r="J1695" s="173"/>
      <c r="K1695" s="181"/>
      <c r="L1695" s="181"/>
      <c r="M1695" s="181"/>
      <c r="N1695" s="181"/>
      <c r="O1695" s="181"/>
      <c r="P1695" s="181"/>
      <c r="Q1695" s="181"/>
      <c r="R1695" s="181"/>
      <c r="S1695" s="1"/>
      <c r="T1695" s="1"/>
    </row>
    <row r="1696" spans="1:20" ht="34.5" hidden="1" customHeight="1">
      <c r="A1696" s="82" t="s">
        <v>1115</v>
      </c>
      <c r="B1696" s="145">
        <v>793</v>
      </c>
      <c r="C1696" s="84" t="s">
        <v>167</v>
      </c>
      <c r="D1696" s="84" t="s">
        <v>27</v>
      </c>
      <c r="E1696" s="84" t="s">
        <v>1114</v>
      </c>
      <c r="F1696" s="84"/>
      <c r="G1696" s="87">
        <f t="shared" ref="G1696:I1697" si="501">G1697</f>
        <v>0</v>
      </c>
      <c r="H1696" s="87">
        <f t="shared" si="501"/>
        <v>0</v>
      </c>
      <c r="I1696" s="87">
        <f t="shared" si="501"/>
        <v>0</v>
      </c>
      <c r="J1696" s="181"/>
      <c r="K1696" s="181"/>
      <c r="L1696" s="181"/>
      <c r="M1696" s="181"/>
      <c r="N1696" s="181"/>
      <c r="O1696" s="181"/>
      <c r="P1696" s="181"/>
      <c r="Q1696" s="181"/>
      <c r="R1696" s="181"/>
      <c r="S1696" s="1"/>
      <c r="T1696" s="1"/>
    </row>
    <row r="1697" spans="1:20" ht="34.5" hidden="1" customHeight="1">
      <c r="A1697" s="82" t="s">
        <v>35</v>
      </c>
      <c r="B1697" s="145">
        <v>793</v>
      </c>
      <c r="C1697" s="84" t="s">
        <v>167</v>
      </c>
      <c r="D1697" s="84" t="s">
        <v>27</v>
      </c>
      <c r="E1697" s="84" t="s">
        <v>1114</v>
      </c>
      <c r="F1697" s="84" t="s">
        <v>36</v>
      </c>
      <c r="G1697" s="87">
        <f t="shared" si="501"/>
        <v>0</v>
      </c>
      <c r="H1697" s="87">
        <f t="shared" si="501"/>
        <v>0</v>
      </c>
      <c r="I1697" s="87">
        <f t="shared" si="501"/>
        <v>0</v>
      </c>
      <c r="J1697" s="181"/>
      <c r="K1697" s="181"/>
      <c r="L1697" s="181"/>
      <c r="M1697" s="181"/>
      <c r="N1697" s="181"/>
      <c r="O1697" s="181"/>
      <c r="P1697" s="181"/>
      <c r="Q1697" s="181"/>
      <c r="R1697" s="181"/>
      <c r="S1697" s="1"/>
      <c r="T1697" s="1"/>
    </row>
    <row r="1698" spans="1:20" ht="34.5" hidden="1" customHeight="1">
      <c r="A1698" s="82" t="s">
        <v>37</v>
      </c>
      <c r="B1698" s="145">
        <v>793</v>
      </c>
      <c r="C1698" s="84" t="s">
        <v>167</v>
      </c>
      <c r="D1698" s="84" t="s">
        <v>27</v>
      </c>
      <c r="E1698" s="84" t="s">
        <v>1114</v>
      </c>
      <c r="F1698" s="84" t="s">
        <v>38</v>
      </c>
      <c r="G1698" s="87">
        <f>прил4!G2270</f>
        <v>0</v>
      </c>
      <c r="H1698" s="87">
        <v>0</v>
      </c>
      <c r="I1698" s="87">
        <v>0</v>
      </c>
      <c r="J1698" s="181"/>
      <c r="K1698" s="181"/>
      <c r="L1698" s="181"/>
      <c r="M1698" s="181"/>
      <c r="N1698" s="181"/>
      <c r="O1698" s="181"/>
      <c r="P1698" s="181"/>
      <c r="Q1698" s="181"/>
      <c r="R1698" s="181"/>
      <c r="S1698" s="1"/>
      <c r="T1698" s="1"/>
    </row>
    <row r="1699" spans="1:20" ht="26.4">
      <c r="A1699" s="16" t="s">
        <v>1376</v>
      </c>
      <c r="B1699" s="49">
        <v>793</v>
      </c>
      <c r="C1699" s="15" t="s">
        <v>167</v>
      </c>
      <c r="D1699" s="15" t="s">
        <v>27</v>
      </c>
      <c r="E1699" s="15" t="s">
        <v>1375</v>
      </c>
      <c r="F1699" s="15"/>
      <c r="G1699" s="70">
        <f>G1700</f>
        <v>1000000</v>
      </c>
      <c r="H1699" s="70">
        <f t="shared" ref="G1699:I1700" si="502">H1700</f>
        <v>0</v>
      </c>
      <c r="I1699" s="70">
        <f t="shared" si="502"/>
        <v>0</v>
      </c>
      <c r="J1699" s="172"/>
      <c r="K1699" s="69"/>
      <c r="L1699" s="69"/>
      <c r="M1699" s="69"/>
      <c r="N1699" s="69"/>
      <c r="O1699" s="69"/>
      <c r="P1699" s="69"/>
      <c r="Q1699" s="69"/>
      <c r="R1699" s="69"/>
      <c r="S1699" s="1"/>
      <c r="T1699" s="1"/>
    </row>
    <row r="1700" spans="1:20" ht="26.4">
      <c r="A1700" s="16" t="s">
        <v>35</v>
      </c>
      <c r="B1700" s="49">
        <v>793</v>
      </c>
      <c r="C1700" s="15" t="s">
        <v>167</v>
      </c>
      <c r="D1700" s="15" t="s">
        <v>27</v>
      </c>
      <c r="E1700" s="15" t="s">
        <v>1375</v>
      </c>
      <c r="F1700" s="15" t="s">
        <v>36</v>
      </c>
      <c r="G1700" s="70">
        <f t="shared" si="502"/>
        <v>1000000</v>
      </c>
      <c r="H1700" s="70">
        <f t="shared" si="502"/>
        <v>0</v>
      </c>
      <c r="I1700" s="70">
        <f t="shared" si="502"/>
        <v>0</v>
      </c>
      <c r="J1700" s="172"/>
      <c r="K1700" s="69"/>
      <c r="L1700" s="69"/>
      <c r="M1700" s="69"/>
      <c r="N1700" s="69"/>
      <c r="O1700" s="69"/>
      <c r="P1700" s="69"/>
      <c r="Q1700" s="69"/>
      <c r="R1700" s="69"/>
      <c r="S1700" s="1"/>
      <c r="T1700" s="1"/>
    </row>
    <row r="1701" spans="1:20" ht="26.4">
      <c r="A1701" s="16" t="s">
        <v>37</v>
      </c>
      <c r="B1701" s="49">
        <v>793</v>
      </c>
      <c r="C1701" s="15" t="s">
        <v>167</v>
      </c>
      <c r="D1701" s="15" t="s">
        <v>27</v>
      </c>
      <c r="E1701" s="15" t="s">
        <v>1375</v>
      </c>
      <c r="F1701" s="15" t="s">
        <v>38</v>
      </c>
      <c r="G1701" s="70">
        <f>прил4!G2212</f>
        <v>1000000</v>
      </c>
      <c r="H1701" s="70"/>
      <c r="I1701" s="70"/>
      <c r="J1701" s="172"/>
      <c r="K1701" s="69"/>
      <c r="L1701" s="69"/>
      <c r="M1701" s="69"/>
      <c r="N1701" s="69"/>
      <c r="O1701" s="69"/>
      <c r="P1701" s="69"/>
      <c r="Q1701" s="69"/>
      <c r="R1701" s="69"/>
      <c r="S1701" s="1"/>
      <c r="T1701" s="1"/>
    </row>
    <row r="1702" spans="1:20" ht="27.75" customHeight="1">
      <c r="A1702" s="136" t="s">
        <v>1162</v>
      </c>
      <c r="B1702" s="83">
        <v>793</v>
      </c>
      <c r="C1702" s="84" t="s">
        <v>167</v>
      </c>
      <c r="D1702" s="84" t="s">
        <v>167</v>
      </c>
      <c r="E1702" s="84" t="s">
        <v>1116</v>
      </c>
      <c r="F1702" s="84"/>
      <c r="G1702" s="87">
        <f>G1703</f>
        <v>0</v>
      </c>
      <c r="H1702" s="87">
        <f t="shared" ref="H1702:I1702" si="503">H1703</f>
        <v>101000</v>
      </c>
      <c r="I1702" s="87">
        <f t="shared" si="503"/>
        <v>101000</v>
      </c>
      <c r="J1702" s="174"/>
      <c r="K1702" s="181"/>
      <c r="L1702" s="181"/>
      <c r="M1702" s="181"/>
      <c r="N1702" s="181"/>
      <c r="O1702" s="181"/>
      <c r="P1702" s="181"/>
      <c r="Q1702" s="181"/>
      <c r="R1702" s="181"/>
      <c r="S1702" s="1"/>
      <c r="T1702" s="1"/>
    </row>
    <row r="1703" spans="1:20" ht="21" customHeight="1">
      <c r="A1703" s="82" t="s">
        <v>35</v>
      </c>
      <c r="B1703" s="83">
        <v>793</v>
      </c>
      <c r="C1703" s="84" t="s">
        <v>167</v>
      </c>
      <c r="D1703" s="84" t="s">
        <v>167</v>
      </c>
      <c r="E1703" s="84" t="s">
        <v>1116</v>
      </c>
      <c r="F1703" s="84" t="s">
        <v>36</v>
      </c>
      <c r="G1703" s="87">
        <f>G1704</f>
        <v>0</v>
      </c>
      <c r="H1703" s="87">
        <f t="shared" ref="H1703:I1703" si="504">H1704</f>
        <v>101000</v>
      </c>
      <c r="I1703" s="87">
        <f t="shared" si="504"/>
        <v>101000</v>
      </c>
      <c r="J1703" s="174"/>
      <c r="K1703" s="181"/>
      <c r="L1703" s="181"/>
      <c r="M1703" s="181"/>
      <c r="N1703" s="181"/>
      <c r="O1703" s="181"/>
      <c r="P1703" s="181"/>
      <c r="Q1703" s="181"/>
      <c r="R1703" s="181"/>
      <c r="S1703" s="1"/>
      <c r="T1703" s="1"/>
    </row>
    <row r="1704" spans="1:20" ht="30.75" customHeight="1">
      <c r="A1704" s="82" t="s">
        <v>37</v>
      </c>
      <c r="B1704" s="83">
        <v>793</v>
      </c>
      <c r="C1704" s="84" t="s">
        <v>167</v>
      </c>
      <c r="D1704" s="84" t="s">
        <v>167</v>
      </c>
      <c r="E1704" s="84" t="s">
        <v>1116</v>
      </c>
      <c r="F1704" s="84" t="s">
        <v>38</v>
      </c>
      <c r="G1704" s="70">
        <f>прил4!G2538</f>
        <v>0</v>
      </c>
      <c r="H1704" s="70">
        <f>прил4!H2538</f>
        <v>101000</v>
      </c>
      <c r="I1704" s="70">
        <f>прил4!I2538</f>
        <v>101000</v>
      </c>
      <c r="J1704" s="174"/>
      <c r="K1704" s="181"/>
      <c r="L1704" s="181"/>
      <c r="M1704" s="181"/>
      <c r="N1704" s="181"/>
      <c r="O1704" s="181"/>
      <c r="P1704" s="181"/>
      <c r="Q1704" s="181"/>
      <c r="R1704" s="181"/>
      <c r="S1704" s="1"/>
      <c r="T1704" s="1"/>
    </row>
    <row r="1705" spans="1:20" ht="44.25" hidden="1" customHeight="1">
      <c r="A1705" s="16" t="s">
        <v>1306</v>
      </c>
      <c r="B1705" s="14">
        <v>793</v>
      </c>
      <c r="C1705" s="15" t="s">
        <v>167</v>
      </c>
      <c r="D1705" s="15" t="s">
        <v>27</v>
      </c>
      <c r="E1705" s="15" t="s">
        <v>1305</v>
      </c>
      <c r="F1705" s="15"/>
      <c r="G1705" s="70">
        <f t="shared" ref="G1705:I1706" si="505">G1706</f>
        <v>0</v>
      </c>
      <c r="H1705" s="70">
        <f t="shared" si="505"/>
        <v>0</v>
      </c>
      <c r="I1705" s="70">
        <f t="shared" si="505"/>
        <v>0</v>
      </c>
      <c r="J1705" s="69"/>
      <c r="K1705" s="69"/>
      <c r="L1705" s="69"/>
      <c r="M1705" s="69"/>
      <c r="N1705" s="69"/>
      <c r="O1705" s="69"/>
      <c r="P1705" s="69"/>
      <c r="Q1705" s="69"/>
      <c r="R1705" s="69"/>
      <c r="S1705" s="1"/>
      <c r="T1705" s="1"/>
    </row>
    <row r="1706" spans="1:20" ht="34.5" hidden="1" customHeight="1">
      <c r="A1706" s="16" t="s">
        <v>35</v>
      </c>
      <c r="B1706" s="14">
        <v>793</v>
      </c>
      <c r="C1706" s="15" t="s">
        <v>167</v>
      </c>
      <c r="D1706" s="15" t="s">
        <v>27</v>
      </c>
      <c r="E1706" s="15" t="s">
        <v>1305</v>
      </c>
      <c r="F1706" s="15" t="s">
        <v>36</v>
      </c>
      <c r="G1706" s="70">
        <f t="shared" si="505"/>
        <v>0</v>
      </c>
      <c r="H1706" s="70">
        <f t="shared" si="505"/>
        <v>0</v>
      </c>
      <c r="I1706" s="70">
        <f t="shared" si="505"/>
        <v>0</v>
      </c>
      <c r="J1706" s="69"/>
      <c r="K1706" s="69"/>
      <c r="L1706" s="69"/>
      <c r="M1706" s="69"/>
      <c r="N1706" s="69"/>
      <c r="O1706" s="69"/>
      <c r="P1706" s="69"/>
      <c r="Q1706" s="69"/>
      <c r="R1706" s="69"/>
      <c r="S1706" s="1"/>
      <c r="T1706" s="1"/>
    </row>
    <row r="1707" spans="1:20" ht="34.5" hidden="1" customHeight="1">
      <c r="A1707" s="16" t="s">
        <v>37</v>
      </c>
      <c r="B1707" s="14">
        <v>793</v>
      </c>
      <c r="C1707" s="15" t="s">
        <v>167</v>
      </c>
      <c r="D1707" s="15" t="s">
        <v>27</v>
      </c>
      <c r="E1707" s="15" t="s">
        <v>1305</v>
      </c>
      <c r="F1707" s="15" t="s">
        <v>38</v>
      </c>
      <c r="G1707" s="70">
        <f>прил4!G2280</f>
        <v>0</v>
      </c>
      <c r="H1707" s="70">
        <v>0</v>
      </c>
      <c r="I1707" s="70">
        <v>0</v>
      </c>
      <c r="J1707" s="69"/>
      <c r="K1707" s="69"/>
      <c r="L1707" s="69"/>
      <c r="M1707" s="69"/>
      <c r="N1707" s="69"/>
      <c r="O1707" s="69"/>
      <c r="P1707" s="69"/>
      <c r="Q1707" s="69"/>
      <c r="R1707" s="69"/>
      <c r="S1707" s="1"/>
      <c r="T1707" s="1"/>
    </row>
    <row r="1708" spans="1:20" s="90" customFormat="1" ht="32.25" customHeight="1">
      <c r="A1708" s="82" t="s">
        <v>1181</v>
      </c>
      <c r="B1708" s="83">
        <v>795</v>
      </c>
      <c r="C1708" s="84" t="s">
        <v>167</v>
      </c>
      <c r="D1708" s="84" t="s">
        <v>69</v>
      </c>
      <c r="E1708" s="84" t="s">
        <v>79</v>
      </c>
      <c r="F1708" s="84"/>
      <c r="G1708" s="70">
        <f t="shared" ref="G1708:I1709" si="506">G1709</f>
        <v>3984079.81</v>
      </c>
      <c r="H1708" s="70">
        <f t="shared" si="506"/>
        <v>5046400</v>
      </c>
      <c r="I1708" s="70">
        <f t="shared" si="506"/>
        <v>5046400</v>
      </c>
      <c r="J1708" s="123"/>
      <c r="P1708" s="123"/>
      <c r="Q1708" s="123"/>
      <c r="R1708" s="123"/>
      <c r="S1708" s="123"/>
      <c r="T1708" s="123"/>
    </row>
    <row r="1709" spans="1:20" s="90" customFormat="1" ht="25.5" customHeight="1">
      <c r="A1709" s="82" t="s">
        <v>316</v>
      </c>
      <c r="B1709" s="145">
        <v>793</v>
      </c>
      <c r="C1709" s="84" t="s">
        <v>18</v>
      </c>
      <c r="D1709" s="84" t="s">
        <v>22</v>
      </c>
      <c r="E1709" s="84" t="s">
        <v>79</v>
      </c>
      <c r="F1709" s="84" t="s">
        <v>36</v>
      </c>
      <c r="G1709" s="70">
        <f t="shared" si="506"/>
        <v>3984079.81</v>
      </c>
      <c r="H1709" s="70">
        <f t="shared" si="506"/>
        <v>5046400</v>
      </c>
      <c r="I1709" s="70">
        <f t="shared" si="506"/>
        <v>5046400</v>
      </c>
      <c r="J1709" s="123"/>
      <c r="P1709" s="123"/>
      <c r="Q1709" s="123"/>
      <c r="R1709" s="123"/>
      <c r="S1709" s="123"/>
      <c r="T1709" s="123"/>
    </row>
    <row r="1710" spans="1:20" s="90" customFormat="1" ht="25.5" customHeight="1">
      <c r="A1710" s="82" t="s">
        <v>37</v>
      </c>
      <c r="B1710" s="145">
        <v>793</v>
      </c>
      <c r="C1710" s="84" t="s">
        <v>18</v>
      </c>
      <c r="D1710" s="84" t="s">
        <v>22</v>
      </c>
      <c r="E1710" s="84" t="s">
        <v>79</v>
      </c>
      <c r="F1710" s="84" t="s">
        <v>38</v>
      </c>
      <c r="G1710" s="70">
        <f>прил4!G2100+прил4!G641+прил4!G3258</f>
        <v>3984079.81</v>
      </c>
      <c r="H1710" s="70">
        <f>прил4!H2100+прил4!H641</f>
        <v>5046400</v>
      </c>
      <c r="I1710" s="70">
        <f>прил4!I2100+прил4!I641</f>
        <v>5046400</v>
      </c>
      <c r="J1710" s="123"/>
      <c r="P1710" s="123"/>
      <c r="Q1710" s="123"/>
      <c r="R1710" s="123"/>
      <c r="S1710" s="123"/>
      <c r="T1710" s="123"/>
    </row>
    <row r="1711" spans="1:20" s="90" customFormat="1" ht="20.25" hidden="1" customHeight="1">
      <c r="A1711" s="82" t="s">
        <v>604</v>
      </c>
      <c r="B1711" s="83">
        <v>795</v>
      </c>
      <c r="C1711" s="84" t="s">
        <v>167</v>
      </c>
      <c r="D1711" s="84" t="s">
        <v>27</v>
      </c>
      <c r="E1711" s="84" t="s">
        <v>603</v>
      </c>
      <c r="F1711" s="84"/>
      <c r="G1711" s="70">
        <f t="shared" ref="G1711:I1712" si="507">G1712</f>
        <v>0</v>
      </c>
      <c r="H1711" s="70">
        <f t="shared" si="507"/>
        <v>0</v>
      </c>
      <c r="I1711" s="70">
        <f t="shared" si="507"/>
        <v>0</v>
      </c>
      <c r="P1711" s="123"/>
      <c r="Q1711" s="123"/>
      <c r="R1711" s="123"/>
      <c r="S1711" s="123"/>
      <c r="T1711" s="123"/>
    </row>
    <row r="1712" spans="1:20" s="90" customFormat="1" ht="34.5" hidden="1" customHeight="1">
      <c r="A1712" s="82" t="s">
        <v>35</v>
      </c>
      <c r="B1712" s="83">
        <v>795</v>
      </c>
      <c r="C1712" s="84" t="s">
        <v>167</v>
      </c>
      <c r="D1712" s="84" t="s">
        <v>27</v>
      </c>
      <c r="E1712" s="84" t="s">
        <v>603</v>
      </c>
      <c r="F1712" s="84" t="s">
        <v>36</v>
      </c>
      <c r="G1712" s="70">
        <f t="shared" si="507"/>
        <v>0</v>
      </c>
      <c r="H1712" s="70">
        <f t="shared" si="507"/>
        <v>0</v>
      </c>
      <c r="I1712" s="70">
        <f t="shared" si="507"/>
        <v>0</v>
      </c>
      <c r="P1712" s="123"/>
      <c r="Q1712" s="123"/>
      <c r="R1712" s="123"/>
      <c r="S1712" s="123"/>
      <c r="T1712" s="123"/>
    </row>
    <row r="1713" spans="1:20" s="90" customFormat="1" ht="34.5" hidden="1" customHeight="1">
      <c r="A1713" s="82" t="s">
        <v>37</v>
      </c>
      <c r="B1713" s="83">
        <v>795</v>
      </c>
      <c r="C1713" s="84" t="s">
        <v>167</v>
      </c>
      <c r="D1713" s="84" t="s">
        <v>27</v>
      </c>
      <c r="E1713" s="84" t="s">
        <v>603</v>
      </c>
      <c r="F1713" s="84" t="s">
        <v>38</v>
      </c>
      <c r="G1713" s="70">
        <f>прил4!G3072</f>
        <v>0</v>
      </c>
      <c r="H1713" s="70"/>
      <c r="I1713" s="70"/>
      <c r="P1713" s="123"/>
      <c r="Q1713" s="123"/>
      <c r="R1713" s="123"/>
      <c r="S1713" s="123"/>
      <c r="T1713" s="123"/>
    </row>
    <row r="1714" spans="1:20" s="90" customFormat="1" ht="31.5" customHeight="1">
      <c r="A1714" s="82" t="s">
        <v>921</v>
      </c>
      <c r="B1714" s="83">
        <v>795</v>
      </c>
      <c r="C1714" s="84" t="s">
        <v>167</v>
      </c>
      <c r="D1714" s="84" t="s">
        <v>69</v>
      </c>
      <c r="E1714" s="84" t="s">
        <v>81</v>
      </c>
      <c r="F1714" s="84"/>
      <c r="G1714" s="70">
        <f t="shared" ref="G1714:I1715" si="508">G1715</f>
        <v>2325583.54</v>
      </c>
      <c r="H1714" s="70">
        <f t="shared" si="508"/>
        <v>1000000</v>
      </c>
      <c r="I1714" s="70">
        <f t="shared" si="508"/>
        <v>500000</v>
      </c>
      <c r="J1714" s="123"/>
      <c r="P1714" s="123"/>
      <c r="Q1714" s="123"/>
      <c r="R1714" s="123"/>
      <c r="S1714" s="123"/>
      <c r="T1714" s="123"/>
    </row>
    <row r="1715" spans="1:20" s="90" customFormat="1" ht="21.75" customHeight="1">
      <c r="A1715" s="82" t="s">
        <v>316</v>
      </c>
      <c r="B1715" s="145">
        <v>793</v>
      </c>
      <c r="C1715" s="84" t="s">
        <v>18</v>
      </c>
      <c r="D1715" s="84" t="s">
        <v>22</v>
      </c>
      <c r="E1715" s="84" t="s">
        <v>81</v>
      </c>
      <c r="F1715" s="84" t="s">
        <v>36</v>
      </c>
      <c r="G1715" s="70">
        <f t="shared" si="508"/>
        <v>2325583.54</v>
      </c>
      <c r="H1715" s="70">
        <f t="shared" si="508"/>
        <v>1000000</v>
      </c>
      <c r="I1715" s="70">
        <f t="shared" si="508"/>
        <v>500000</v>
      </c>
      <c r="J1715" s="123"/>
      <c r="P1715" s="123"/>
      <c r="Q1715" s="123"/>
      <c r="R1715" s="123"/>
      <c r="S1715" s="123"/>
      <c r="T1715" s="123"/>
    </row>
    <row r="1716" spans="1:20" s="90" customFormat="1" ht="29.25" customHeight="1">
      <c r="A1716" s="82" t="s">
        <v>37</v>
      </c>
      <c r="B1716" s="145">
        <v>793</v>
      </c>
      <c r="C1716" s="84" t="s">
        <v>18</v>
      </c>
      <c r="D1716" s="84" t="s">
        <v>22</v>
      </c>
      <c r="E1716" s="84" t="s">
        <v>81</v>
      </c>
      <c r="F1716" s="84" t="s">
        <v>38</v>
      </c>
      <c r="G1716" s="70">
        <f>прил4!G2103</f>
        <v>2325583.54</v>
      </c>
      <c r="H1716" s="70">
        <f>прил4!H2103</f>
        <v>1000000</v>
      </c>
      <c r="I1716" s="70">
        <f>прил4!I2103</f>
        <v>500000</v>
      </c>
      <c r="J1716" s="123"/>
      <c r="P1716" s="123"/>
      <c r="Q1716" s="123"/>
      <c r="R1716" s="123"/>
      <c r="S1716" s="123"/>
      <c r="T1716" s="123"/>
    </row>
    <row r="1717" spans="1:20" s="18" customFormat="1" ht="35.25" customHeight="1">
      <c r="A1717" s="16" t="s">
        <v>915</v>
      </c>
      <c r="B1717" s="49">
        <v>793</v>
      </c>
      <c r="C1717" s="15" t="s">
        <v>167</v>
      </c>
      <c r="D1717" s="15" t="s">
        <v>18</v>
      </c>
      <c r="E1717" s="15" t="s">
        <v>914</v>
      </c>
      <c r="F1717" s="15"/>
      <c r="G1717" s="70">
        <f t="shared" ref="G1717:I1718" si="509">G1718</f>
        <v>131547.65</v>
      </c>
      <c r="H1717" s="70">
        <f t="shared" si="509"/>
        <v>500000</v>
      </c>
      <c r="I1717" s="70">
        <f t="shared" si="509"/>
        <v>500000</v>
      </c>
      <c r="J1717" s="173"/>
      <c r="K1717" s="195"/>
      <c r="L1717" s="195"/>
      <c r="M1717" s="195"/>
      <c r="N1717" s="195"/>
      <c r="O1717" s="195"/>
      <c r="P1717" s="195"/>
      <c r="Q1717" s="195"/>
      <c r="R1717" s="195"/>
    </row>
    <row r="1718" spans="1:20" ht="35.25" customHeight="1">
      <c r="A1718" s="16" t="s">
        <v>35</v>
      </c>
      <c r="B1718" s="49">
        <v>793</v>
      </c>
      <c r="C1718" s="15" t="s">
        <v>167</v>
      </c>
      <c r="D1718" s="15" t="s">
        <v>18</v>
      </c>
      <c r="E1718" s="15" t="s">
        <v>914</v>
      </c>
      <c r="F1718" s="15" t="s">
        <v>36</v>
      </c>
      <c r="G1718" s="70">
        <f t="shared" si="509"/>
        <v>131547.65</v>
      </c>
      <c r="H1718" s="70">
        <f t="shared" si="509"/>
        <v>500000</v>
      </c>
      <c r="I1718" s="70">
        <f t="shared" si="509"/>
        <v>500000</v>
      </c>
      <c r="J1718" s="173"/>
      <c r="K1718" s="181"/>
      <c r="L1718" s="181"/>
      <c r="M1718" s="181"/>
      <c r="N1718" s="181"/>
      <c r="O1718" s="181"/>
      <c r="P1718" s="181"/>
      <c r="Q1718" s="181"/>
      <c r="R1718" s="181"/>
      <c r="S1718" s="1"/>
      <c r="T1718" s="1"/>
    </row>
    <row r="1719" spans="1:20" s="18" customFormat="1" ht="35.25" customHeight="1">
      <c r="A1719" s="16" t="s">
        <v>37</v>
      </c>
      <c r="B1719" s="49">
        <v>793</v>
      </c>
      <c r="C1719" s="15" t="s">
        <v>167</v>
      </c>
      <c r="D1719" s="15" t="s">
        <v>18</v>
      </c>
      <c r="E1719" s="15" t="s">
        <v>914</v>
      </c>
      <c r="F1719" s="15" t="s">
        <v>38</v>
      </c>
      <c r="G1719" s="70">
        <f>прил4!G2106</f>
        <v>131547.65</v>
      </c>
      <c r="H1719" s="70">
        <f>прил4!H2106</f>
        <v>500000</v>
      </c>
      <c r="I1719" s="70">
        <f>прил4!I2106</f>
        <v>500000</v>
      </c>
      <c r="J1719" s="173"/>
      <c r="K1719" s="195"/>
      <c r="L1719" s="195"/>
      <c r="M1719" s="195"/>
      <c r="N1719" s="195"/>
      <c r="O1719" s="195"/>
      <c r="P1719" s="195"/>
      <c r="Q1719" s="195"/>
      <c r="R1719" s="195"/>
    </row>
    <row r="1720" spans="1:20" s="90" customFormat="1" ht="21.75" customHeight="1">
      <c r="A1720" s="82" t="s">
        <v>84</v>
      </c>
      <c r="B1720" s="83">
        <v>795</v>
      </c>
      <c r="C1720" s="84" t="s">
        <v>167</v>
      </c>
      <c r="D1720" s="84" t="s">
        <v>69</v>
      </c>
      <c r="E1720" s="84" t="s">
        <v>83</v>
      </c>
      <c r="F1720" s="84"/>
      <c r="G1720" s="70">
        <f t="shared" ref="G1720:I1721" si="510">G1721</f>
        <v>969156.52</v>
      </c>
      <c r="H1720" s="70">
        <f t="shared" si="510"/>
        <v>504500</v>
      </c>
      <c r="I1720" s="70">
        <f t="shared" si="510"/>
        <v>504500</v>
      </c>
      <c r="J1720" s="123"/>
      <c r="P1720" s="123"/>
      <c r="Q1720" s="123"/>
      <c r="R1720" s="123"/>
      <c r="S1720" s="123"/>
      <c r="T1720" s="123"/>
    </row>
    <row r="1721" spans="1:20" s="90" customFormat="1" ht="21.75" customHeight="1">
      <c r="A1721" s="82" t="s">
        <v>316</v>
      </c>
      <c r="B1721" s="145">
        <v>793</v>
      </c>
      <c r="C1721" s="84" t="s">
        <v>18</v>
      </c>
      <c r="D1721" s="84" t="s">
        <v>22</v>
      </c>
      <c r="E1721" s="84" t="s">
        <v>83</v>
      </c>
      <c r="F1721" s="84" t="s">
        <v>36</v>
      </c>
      <c r="G1721" s="70">
        <f t="shared" si="510"/>
        <v>969156.52</v>
      </c>
      <c r="H1721" s="70">
        <f t="shared" si="510"/>
        <v>504500</v>
      </c>
      <c r="I1721" s="70">
        <f t="shared" si="510"/>
        <v>504500</v>
      </c>
      <c r="J1721" s="123"/>
      <c r="P1721" s="123"/>
      <c r="Q1721" s="123"/>
      <c r="R1721" s="123"/>
      <c r="S1721" s="123"/>
      <c r="T1721" s="123"/>
    </row>
    <row r="1722" spans="1:20" s="90" customFormat="1" ht="30.75" customHeight="1">
      <c r="A1722" s="82" t="s">
        <v>37</v>
      </c>
      <c r="B1722" s="145">
        <v>793</v>
      </c>
      <c r="C1722" s="84" t="s">
        <v>18</v>
      </c>
      <c r="D1722" s="84" t="s">
        <v>22</v>
      </c>
      <c r="E1722" s="84" t="s">
        <v>83</v>
      </c>
      <c r="F1722" s="84" t="s">
        <v>38</v>
      </c>
      <c r="G1722" s="70">
        <f>прил4!G3003+прил4!G2096+прил4!G637+прил4!G2109+прил4!G3255+прил4!G2118</f>
        <v>969156.52</v>
      </c>
      <c r="H1722" s="70">
        <f>прил4!H3003+прил4!H2096+прил4!H637+прил4!H2109+прил4!H3255</f>
        <v>504500</v>
      </c>
      <c r="I1722" s="70">
        <f>прил4!I3003+прил4!I2096+прил4!I637+прил4!I2109+прил4!I3255</f>
        <v>504500</v>
      </c>
      <c r="J1722" s="87">
        <f>прил4!K3003+прил4!K2096</f>
        <v>0</v>
      </c>
      <c r="K1722" s="87">
        <f>прил4!L3003+прил4!L2096</f>
        <v>0</v>
      </c>
      <c r="L1722" s="87">
        <f>прил4!M3003+прил4!M2096</f>
        <v>0</v>
      </c>
      <c r="M1722" s="87">
        <f>прил4!N3003+прил4!N2096</f>
        <v>0</v>
      </c>
      <c r="N1722" s="87">
        <f>прил4!O3003+прил4!O2096</f>
        <v>0</v>
      </c>
      <c r="O1722" s="87">
        <f>прил4!P3003+прил4!P2096</f>
        <v>0</v>
      </c>
      <c r="P1722" s="123"/>
      <c r="Q1722" s="123"/>
      <c r="R1722" s="123"/>
      <c r="S1722" s="123"/>
      <c r="T1722" s="123"/>
    </row>
    <row r="1723" spans="1:20" s="146" customFormat="1" ht="17.25" hidden="1" customHeight="1">
      <c r="A1723" s="82" t="s">
        <v>368</v>
      </c>
      <c r="B1723" s="145">
        <v>793</v>
      </c>
      <c r="C1723" s="84" t="s">
        <v>167</v>
      </c>
      <c r="D1723" s="84" t="s">
        <v>69</v>
      </c>
      <c r="E1723" s="84" t="s">
        <v>367</v>
      </c>
      <c r="F1723" s="84"/>
      <c r="G1723" s="70">
        <f t="shared" ref="G1723:O1724" si="511">G1724</f>
        <v>0</v>
      </c>
      <c r="H1723" s="70">
        <f t="shared" si="511"/>
        <v>0</v>
      </c>
      <c r="I1723" s="70">
        <f t="shared" si="511"/>
        <v>0</v>
      </c>
      <c r="J1723" s="148"/>
      <c r="P1723" s="148"/>
      <c r="Q1723" s="148"/>
      <c r="R1723" s="148"/>
      <c r="S1723" s="148"/>
      <c r="T1723" s="148"/>
    </row>
    <row r="1724" spans="1:20" s="146" customFormat="1" ht="17.25" hidden="1" customHeight="1">
      <c r="A1724" s="82" t="s">
        <v>316</v>
      </c>
      <c r="B1724" s="145">
        <v>793</v>
      </c>
      <c r="C1724" s="84" t="s">
        <v>167</v>
      </c>
      <c r="D1724" s="84" t="s">
        <v>69</v>
      </c>
      <c r="E1724" s="84" t="s">
        <v>367</v>
      </c>
      <c r="F1724" s="84" t="s">
        <v>36</v>
      </c>
      <c r="G1724" s="70">
        <f t="shared" si="511"/>
        <v>0</v>
      </c>
      <c r="H1724" s="70">
        <f t="shared" si="511"/>
        <v>0</v>
      </c>
      <c r="I1724" s="70">
        <f t="shared" si="511"/>
        <v>0</v>
      </c>
      <c r="J1724" s="159">
        <f t="shared" si="511"/>
        <v>0</v>
      </c>
      <c r="K1724" s="159">
        <f t="shared" si="511"/>
        <v>0</v>
      </c>
      <c r="L1724" s="159">
        <f t="shared" si="511"/>
        <v>0</v>
      </c>
      <c r="M1724" s="159">
        <f t="shared" si="511"/>
        <v>0</v>
      </c>
      <c r="N1724" s="159">
        <f t="shared" si="511"/>
        <v>0</v>
      </c>
      <c r="O1724" s="159">
        <f t="shared" si="511"/>
        <v>0</v>
      </c>
      <c r="P1724" s="148"/>
      <c r="Q1724" s="148"/>
      <c r="R1724" s="148"/>
      <c r="S1724" s="148"/>
      <c r="T1724" s="148"/>
    </row>
    <row r="1725" spans="1:20" s="146" customFormat="1" ht="28.5" hidden="1" customHeight="1">
      <c r="A1725" s="82" t="s">
        <v>37</v>
      </c>
      <c r="B1725" s="145">
        <v>793</v>
      </c>
      <c r="C1725" s="84" t="s">
        <v>167</v>
      </c>
      <c r="D1725" s="84" t="s">
        <v>69</v>
      </c>
      <c r="E1725" s="84" t="s">
        <v>367</v>
      </c>
      <c r="F1725" s="84" t="s">
        <v>38</v>
      </c>
      <c r="G1725" s="70">
        <f>прил4!G2072+прил4!G3103+прил4!G2377</f>
        <v>0</v>
      </c>
      <c r="H1725" s="70">
        <f>прил4!H2072+прил4!H3103+прил4!H2377</f>
        <v>0</v>
      </c>
      <c r="I1725" s="70">
        <f>прил4!I2072+прил4!I3103+прил4!I2377</f>
        <v>0</v>
      </c>
      <c r="J1725" s="148"/>
      <c r="P1725" s="148"/>
      <c r="Q1725" s="148"/>
      <c r="R1725" s="148"/>
      <c r="S1725" s="148"/>
      <c r="T1725" s="148"/>
    </row>
    <row r="1726" spans="1:20" s="146" customFormat="1" ht="27.75" hidden="1" customHeight="1">
      <c r="A1726" s="82" t="s">
        <v>510</v>
      </c>
      <c r="B1726" s="83">
        <v>795</v>
      </c>
      <c r="C1726" s="149" t="s">
        <v>167</v>
      </c>
      <c r="D1726" s="149" t="s">
        <v>18</v>
      </c>
      <c r="E1726" s="84" t="s">
        <v>509</v>
      </c>
      <c r="F1726" s="84"/>
      <c r="G1726" s="70">
        <f t="shared" ref="G1726:I1727" si="512">G1727</f>
        <v>0</v>
      </c>
      <c r="H1726" s="70">
        <f t="shared" si="512"/>
        <v>0</v>
      </c>
      <c r="I1726" s="70">
        <f t="shared" si="512"/>
        <v>0</v>
      </c>
      <c r="P1726" s="148"/>
      <c r="Q1726" s="148"/>
      <c r="R1726" s="148"/>
      <c r="S1726" s="148"/>
      <c r="T1726" s="148"/>
    </row>
    <row r="1727" spans="1:20" s="146" customFormat="1" ht="28.5" hidden="1" customHeight="1">
      <c r="A1727" s="82" t="s">
        <v>316</v>
      </c>
      <c r="B1727" s="83">
        <v>795</v>
      </c>
      <c r="C1727" s="149" t="s">
        <v>167</v>
      </c>
      <c r="D1727" s="149" t="s">
        <v>18</v>
      </c>
      <c r="E1727" s="84" t="s">
        <v>509</v>
      </c>
      <c r="F1727" s="84" t="s">
        <v>36</v>
      </c>
      <c r="G1727" s="70">
        <f t="shared" si="512"/>
        <v>0</v>
      </c>
      <c r="H1727" s="70">
        <f t="shared" si="512"/>
        <v>0</v>
      </c>
      <c r="I1727" s="70">
        <f t="shared" si="512"/>
        <v>0</v>
      </c>
      <c r="P1727" s="148"/>
      <c r="Q1727" s="148"/>
      <c r="R1727" s="148"/>
      <c r="S1727" s="148"/>
      <c r="T1727" s="148"/>
    </row>
    <row r="1728" spans="1:20" s="146" customFormat="1" ht="28.5" hidden="1" customHeight="1">
      <c r="A1728" s="82" t="s">
        <v>37</v>
      </c>
      <c r="B1728" s="83">
        <v>795</v>
      </c>
      <c r="C1728" s="149" t="s">
        <v>167</v>
      </c>
      <c r="D1728" s="149" t="s">
        <v>18</v>
      </c>
      <c r="E1728" s="84" t="s">
        <v>509</v>
      </c>
      <c r="F1728" s="84" t="s">
        <v>38</v>
      </c>
      <c r="G1728" s="70"/>
      <c r="H1728" s="70">
        <v>0</v>
      </c>
      <c r="I1728" s="70">
        <v>0</v>
      </c>
      <c r="P1728" s="148"/>
      <c r="Q1728" s="148"/>
      <c r="R1728" s="148"/>
      <c r="S1728" s="148"/>
      <c r="T1728" s="148"/>
    </row>
    <row r="1729" spans="1:20" s="90" customFormat="1" ht="25.5" hidden="1" customHeight="1">
      <c r="A1729" s="82" t="s">
        <v>481</v>
      </c>
      <c r="B1729" s="83">
        <v>795</v>
      </c>
      <c r="C1729" s="84" t="s">
        <v>167</v>
      </c>
      <c r="D1729" s="84" t="s">
        <v>27</v>
      </c>
      <c r="E1729" s="84" t="s">
        <v>445</v>
      </c>
      <c r="F1729" s="84"/>
      <c r="G1729" s="70">
        <f t="shared" ref="G1729:I1730" si="513">G1730</f>
        <v>0</v>
      </c>
      <c r="H1729" s="70">
        <f t="shared" si="513"/>
        <v>0</v>
      </c>
      <c r="I1729" s="70">
        <f t="shared" si="513"/>
        <v>0</v>
      </c>
      <c r="J1729" s="123"/>
      <c r="P1729" s="123"/>
      <c r="Q1729" s="123"/>
      <c r="R1729" s="123"/>
      <c r="S1729" s="123"/>
      <c r="T1729" s="123"/>
    </row>
    <row r="1730" spans="1:20" s="90" customFormat="1" ht="34.5" hidden="1" customHeight="1">
      <c r="A1730" s="82" t="s">
        <v>35</v>
      </c>
      <c r="B1730" s="83">
        <v>795</v>
      </c>
      <c r="C1730" s="84" t="s">
        <v>167</v>
      </c>
      <c r="D1730" s="84" t="s">
        <v>27</v>
      </c>
      <c r="E1730" s="84" t="s">
        <v>445</v>
      </c>
      <c r="F1730" s="84" t="s">
        <v>338</v>
      </c>
      <c r="G1730" s="70">
        <f t="shared" si="513"/>
        <v>0</v>
      </c>
      <c r="H1730" s="70">
        <f t="shared" si="513"/>
        <v>0</v>
      </c>
      <c r="I1730" s="70">
        <f t="shared" si="513"/>
        <v>0</v>
      </c>
      <c r="J1730" s="123"/>
      <c r="P1730" s="123"/>
      <c r="Q1730" s="123"/>
      <c r="R1730" s="123"/>
      <c r="S1730" s="123"/>
      <c r="T1730" s="123"/>
    </row>
    <row r="1731" spans="1:20" s="90" customFormat="1" ht="34.5" hidden="1" customHeight="1">
      <c r="A1731" s="82" t="s">
        <v>37</v>
      </c>
      <c r="B1731" s="83">
        <v>795</v>
      </c>
      <c r="C1731" s="84" t="s">
        <v>167</v>
      </c>
      <c r="D1731" s="84" t="s">
        <v>27</v>
      </c>
      <c r="E1731" s="84" t="s">
        <v>445</v>
      </c>
      <c r="F1731" s="84" t="s">
        <v>340</v>
      </c>
      <c r="G1731" s="70">
        <f>прил4!G3052</f>
        <v>0</v>
      </c>
      <c r="H1731" s="70">
        <f>прил4!H3052</f>
        <v>0</v>
      </c>
      <c r="I1731" s="70">
        <f>прил4!I3052</f>
        <v>0</v>
      </c>
      <c r="J1731" s="123"/>
      <c r="P1731" s="123"/>
      <c r="Q1731" s="123"/>
      <c r="R1731" s="123"/>
      <c r="S1731" s="123"/>
      <c r="T1731" s="123"/>
    </row>
    <row r="1732" spans="1:20" s="90" customFormat="1" ht="34.5" hidden="1" customHeight="1">
      <c r="A1732" s="82" t="s">
        <v>447</v>
      </c>
      <c r="B1732" s="83">
        <v>795</v>
      </c>
      <c r="C1732" s="84" t="s">
        <v>167</v>
      </c>
      <c r="D1732" s="84" t="s">
        <v>27</v>
      </c>
      <c r="E1732" s="84" t="s">
        <v>446</v>
      </c>
      <c r="F1732" s="84"/>
      <c r="G1732" s="70">
        <f t="shared" ref="G1732:I1733" si="514">G1733</f>
        <v>0</v>
      </c>
      <c r="H1732" s="70">
        <f t="shared" si="514"/>
        <v>0</v>
      </c>
      <c r="I1732" s="70">
        <f t="shared" si="514"/>
        <v>0</v>
      </c>
      <c r="J1732" s="123"/>
      <c r="P1732" s="123"/>
      <c r="Q1732" s="123"/>
      <c r="R1732" s="123"/>
      <c r="S1732" s="123"/>
      <c r="T1732" s="123"/>
    </row>
    <row r="1733" spans="1:20" s="90" customFormat="1" ht="34.5" hidden="1" customHeight="1">
      <c r="A1733" s="82" t="s">
        <v>35</v>
      </c>
      <c r="B1733" s="83">
        <v>795</v>
      </c>
      <c r="C1733" s="84" t="s">
        <v>167</v>
      </c>
      <c r="D1733" s="84" t="s">
        <v>27</v>
      </c>
      <c r="E1733" s="84" t="s">
        <v>446</v>
      </c>
      <c r="F1733" s="84" t="s">
        <v>36</v>
      </c>
      <c r="G1733" s="70">
        <f t="shared" si="514"/>
        <v>0</v>
      </c>
      <c r="H1733" s="70">
        <f t="shared" si="514"/>
        <v>0</v>
      </c>
      <c r="I1733" s="70">
        <f t="shared" si="514"/>
        <v>0</v>
      </c>
      <c r="J1733" s="123"/>
      <c r="P1733" s="123"/>
      <c r="Q1733" s="123"/>
      <c r="R1733" s="123"/>
      <c r="S1733" s="123"/>
      <c r="T1733" s="123"/>
    </row>
    <row r="1734" spans="1:20" s="90" customFormat="1" ht="34.5" hidden="1" customHeight="1">
      <c r="A1734" s="82" t="s">
        <v>37</v>
      </c>
      <c r="B1734" s="83">
        <v>795</v>
      </c>
      <c r="C1734" s="84" t="s">
        <v>167</v>
      </c>
      <c r="D1734" s="84" t="s">
        <v>27</v>
      </c>
      <c r="E1734" s="84" t="s">
        <v>446</v>
      </c>
      <c r="F1734" s="84" t="s">
        <v>38</v>
      </c>
      <c r="G1734" s="70">
        <f>прил4!G3063</f>
        <v>0</v>
      </c>
      <c r="H1734" s="70">
        <f>прил4!H3063</f>
        <v>0</v>
      </c>
      <c r="I1734" s="70">
        <f>прил4!I3063</f>
        <v>0</v>
      </c>
      <c r="J1734" s="123"/>
      <c r="P1734" s="123"/>
      <c r="Q1734" s="123"/>
      <c r="R1734" s="123"/>
      <c r="S1734" s="123"/>
      <c r="T1734" s="123"/>
    </row>
    <row r="1735" spans="1:20" s="90" customFormat="1" ht="34.5" hidden="1" customHeight="1">
      <c r="A1735" s="82" t="s">
        <v>476</v>
      </c>
      <c r="B1735" s="83">
        <v>795</v>
      </c>
      <c r="C1735" s="84" t="s">
        <v>167</v>
      </c>
      <c r="D1735" s="84" t="s">
        <v>27</v>
      </c>
      <c r="E1735" s="84" t="s">
        <v>475</v>
      </c>
      <c r="F1735" s="84"/>
      <c r="G1735" s="70">
        <f>G1736</f>
        <v>0</v>
      </c>
      <c r="H1735" s="70">
        <f t="shared" ref="H1735:I1736" si="515">H1736</f>
        <v>0</v>
      </c>
      <c r="I1735" s="70">
        <f t="shared" si="515"/>
        <v>0</v>
      </c>
      <c r="P1735" s="123"/>
      <c r="Q1735" s="123"/>
      <c r="R1735" s="123"/>
      <c r="S1735" s="123"/>
      <c r="T1735" s="123"/>
    </row>
    <row r="1736" spans="1:20" s="90" customFormat="1" ht="34.5" hidden="1" customHeight="1">
      <c r="A1736" s="82" t="s">
        <v>94</v>
      </c>
      <c r="B1736" s="83">
        <v>795</v>
      </c>
      <c r="C1736" s="84" t="s">
        <v>167</v>
      </c>
      <c r="D1736" s="84" t="s">
        <v>27</v>
      </c>
      <c r="E1736" s="84" t="s">
        <v>475</v>
      </c>
      <c r="F1736" s="84" t="s">
        <v>338</v>
      </c>
      <c r="G1736" s="70">
        <f>G1737</f>
        <v>0</v>
      </c>
      <c r="H1736" s="70">
        <f t="shared" si="515"/>
        <v>0</v>
      </c>
      <c r="I1736" s="70">
        <f t="shared" si="515"/>
        <v>0</v>
      </c>
      <c r="P1736" s="123"/>
      <c r="Q1736" s="123"/>
      <c r="R1736" s="123"/>
      <c r="S1736" s="123"/>
      <c r="T1736" s="123"/>
    </row>
    <row r="1737" spans="1:20" s="90" customFormat="1" ht="34.5" hidden="1" customHeight="1">
      <c r="A1737" s="82" t="s">
        <v>339</v>
      </c>
      <c r="B1737" s="83">
        <v>795</v>
      </c>
      <c r="C1737" s="84" t="s">
        <v>167</v>
      </c>
      <c r="D1737" s="84" t="s">
        <v>27</v>
      </c>
      <c r="E1737" s="84" t="s">
        <v>475</v>
      </c>
      <c r="F1737" s="84" t="s">
        <v>340</v>
      </c>
      <c r="G1737" s="70">
        <f>прил4!G3066</f>
        <v>0</v>
      </c>
      <c r="H1737" s="70">
        <v>0</v>
      </c>
      <c r="I1737" s="70">
        <v>0</v>
      </c>
      <c r="P1737" s="123"/>
      <c r="Q1737" s="123"/>
      <c r="R1737" s="123"/>
      <c r="S1737" s="123"/>
      <c r="T1737" s="123"/>
    </row>
    <row r="1738" spans="1:20" s="90" customFormat="1" ht="34.5" hidden="1" customHeight="1">
      <c r="A1738" s="82" t="s">
        <v>482</v>
      </c>
      <c r="B1738" s="83">
        <v>795</v>
      </c>
      <c r="C1738" s="84" t="s">
        <v>167</v>
      </c>
      <c r="D1738" s="84" t="s">
        <v>27</v>
      </c>
      <c r="E1738" s="84" t="s">
        <v>483</v>
      </c>
      <c r="F1738" s="84"/>
      <c r="G1738" s="70">
        <f t="shared" ref="G1738:I1739" si="516">G1739</f>
        <v>0</v>
      </c>
      <c r="H1738" s="70">
        <f t="shared" si="516"/>
        <v>0</v>
      </c>
      <c r="I1738" s="70">
        <f t="shared" si="516"/>
        <v>0</v>
      </c>
      <c r="P1738" s="123"/>
      <c r="Q1738" s="123"/>
      <c r="R1738" s="123"/>
      <c r="S1738" s="123"/>
      <c r="T1738" s="123"/>
    </row>
    <row r="1739" spans="1:20" s="90" customFormat="1" ht="34.5" hidden="1" customHeight="1">
      <c r="A1739" s="82" t="s">
        <v>35</v>
      </c>
      <c r="B1739" s="83">
        <v>795</v>
      </c>
      <c r="C1739" s="84" t="s">
        <v>167</v>
      </c>
      <c r="D1739" s="84" t="s">
        <v>27</v>
      </c>
      <c r="E1739" s="84" t="s">
        <v>483</v>
      </c>
      <c r="F1739" s="84" t="s">
        <v>36</v>
      </c>
      <c r="G1739" s="70">
        <f t="shared" si="516"/>
        <v>0</v>
      </c>
      <c r="H1739" s="70">
        <f t="shared" si="516"/>
        <v>0</v>
      </c>
      <c r="I1739" s="70">
        <f t="shared" si="516"/>
        <v>0</v>
      </c>
      <c r="P1739" s="123"/>
      <c r="Q1739" s="123"/>
      <c r="R1739" s="123"/>
      <c r="S1739" s="123"/>
      <c r="T1739" s="123"/>
    </row>
    <row r="1740" spans="1:20" s="90" customFormat="1" ht="34.5" hidden="1" customHeight="1">
      <c r="A1740" s="82" t="s">
        <v>37</v>
      </c>
      <c r="B1740" s="83">
        <v>795</v>
      </c>
      <c r="C1740" s="84" t="s">
        <v>167</v>
      </c>
      <c r="D1740" s="84" t="s">
        <v>27</v>
      </c>
      <c r="E1740" s="84" t="s">
        <v>483</v>
      </c>
      <c r="F1740" s="84" t="s">
        <v>38</v>
      </c>
      <c r="G1740" s="70">
        <f>прил4!G3143+прил4!G3055</f>
        <v>0</v>
      </c>
      <c r="H1740" s="70">
        <f>прил4!H3143+прил4!H3055</f>
        <v>0</v>
      </c>
      <c r="I1740" s="70">
        <f>прил4!I3143+прил4!I3055</f>
        <v>0</v>
      </c>
      <c r="P1740" s="123"/>
      <c r="Q1740" s="123"/>
      <c r="R1740" s="123"/>
      <c r="S1740" s="123"/>
      <c r="T1740" s="123"/>
    </row>
    <row r="1741" spans="1:20" ht="60.75" hidden="1" customHeight="1">
      <c r="A1741" s="16" t="s">
        <v>1011</v>
      </c>
      <c r="B1741" s="14">
        <v>793</v>
      </c>
      <c r="C1741" s="15" t="s">
        <v>167</v>
      </c>
      <c r="D1741" s="15" t="s">
        <v>27</v>
      </c>
      <c r="E1741" s="15" t="s">
        <v>1008</v>
      </c>
      <c r="F1741" s="15"/>
      <c r="G1741" s="70">
        <f t="shared" ref="G1741:I1742" si="517">G1742</f>
        <v>0</v>
      </c>
      <c r="H1741" s="70">
        <f t="shared" si="517"/>
        <v>0</v>
      </c>
      <c r="I1741" s="70">
        <f t="shared" si="517"/>
        <v>0</v>
      </c>
      <c r="J1741" s="181"/>
      <c r="K1741" s="181"/>
      <c r="L1741" s="181"/>
      <c r="M1741" s="181"/>
      <c r="N1741" s="181"/>
      <c r="O1741" s="181"/>
      <c r="P1741" s="181"/>
      <c r="Q1741" s="181"/>
      <c r="R1741" s="181"/>
      <c r="S1741" s="1"/>
      <c r="T1741" s="1"/>
    </row>
    <row r="1742" spans="1:20" ht="34.5" hidden="1" customHeight="1">
      <c r="A1742" s="16" t="s">
        <v>62</v>
      </c>
      <c r="B1742" s="14">
        <v>793</v>
      </c>
      <c r="C1742" s="15" t="s">
        <v>167</v>
      </c>
      <c r="D1742" s="15" t="s">
        <v>27</v>
      </c>
      <c r="E1742" s="15" t="s">
        <v>1008</v>
      </c>
      <c r="F1742" s="15" t="s">
        <v>63</v>
      </c>
      <c r="G1742" s="70">
        <f t="shared" si="517"/>
        <v>0</v>
      </c>
      <c r="H1742" s="70">
        <f t="shared" si="517"/>
        <v>0</v>
      </c>
      <c r="I1742" s="70">
        <f t="shared" si="517"/>
        <v>0</v>
      </c>
      <c r="J1742" s="181"/>
      <c r="K1742" s="181"/>
      <c r="L1742" s="181"/>
      <c r="M1742" s="181"/>
      <c r="N1742" s="181"/>
      <c r="O1742" s="181"/>
      <c r="P1742" s="181"/>
      <c r="Q1742" s="181"/>
      <c r="R1742" s="181"/>
      <c r="S1742" s="1"/>
      <c r="T1742" s="1"/>
    </row>
    <row r="1743" spans="1:20" ht="34.5" hidden="1" customHeight="1">
      <c r="A1743" s="16" t="s">
        <v>174</v>
      </c>
      <c r="B1743" s="14">
        <v>793</v>
      </c>
      <c r="C1743" s="15" t="s">
        <v>167</v>
      </c>
      <c r="D1743" s="15" t="s">
        <v>27</v>
      </c>
      <c r="E1743" s="15" t="s">
        <v>1008</v>
      </c>
      <c r="F1743" s="15" t="s">
        <v>175</v>
      </c>
      <c r="G1743" s="70">
        <f>прил4!G2273</f>
        <v>0</v>
      </c>
      <c r="H1743" s="70">
        <v>0</v>
      </c>
      <c r="I1743" s="70">
        <v>0</v>
      </c>
      <c r="J1743" s="181"/>
      <c r="K1743" s="181"/>
      <c r="L1743" s="181"/>
      <c r="M1743" s="181"/>
      <c r="N1743" s="181"/>
      <c r="O1743" s="181"/>
      <c r="P1743" s="181"/>
      <c r="Q1743" s="181"/>
      <c r="R1743" s="181"/>
      <c r="S1743" s="1"/>
      <c r="T1743" s="1"/>
    </row>
    <row r="1744" spans="1:20" s="90" customFormat="1" ht="34.5" customHeight="1">
      <c r="A1744" s="82" t="s">
        <v>1457</v>
      </c>
      <c r="B1744" s="83">
        <v>795</v>
      </c>
      <c r="C1744" s="84" t="s">
        <v>167</v>
      </c>
      <c r="D1744" s="84" t="s">
        <v>27</v>
      </c>
      <c r="E1744" s="84" t="s">
        <v>507</v>
      </c>
      <c r="F1744" s="84"/>
      <c r="G1744" s="70">
        <f t="shared" ref="G1744:I1744" si="518">G1745</f>
        <v>0</v>
      </c>
      <c r="H1744" s="70">
        <f t="shared" si="518"/>
        <v>500000</v>
      </c>
      <c r="I1744" s="70">
        <f t="shared" si="518"/>
        <v>500000</v>
      </c>
      <c r="P1744" s="123"/>
      <c r="Q1744" s="123"/>
      <c r="R1744" s="123"/>
      <c r="S1744" s="123"/>
      <c r="T1744" s="123"/>
    </row>
    <row r="1745" spans="1:20" s="90" customFormat="1" ht="34.5" customHeight="1">
      <c r="A1745" s="82" t="s">
        <v>35</v>
      </c>
      <c r="B1745" s="83">
        <v>795</v>
      </c>
      <c r="C1745" s="84" t="s">
        <v>167</v>
      </c>
      <c r="D1745" s="84" t="s">
        <v>27</v>
      </c>
      <c r="E1745" s="84" t="s">
        <v>507</v>
      </c>
      <c r="F1745" s="84" t="s">
        <v>36</v>
      </c>
      <c r="G1745" s="70">
        <f>G1746</f>
        <v>0</v>
      </c>
      <c r="H1745" s="70">
        <f>H1746</f>
        <v>500000</v>
      </c>
      <c r="I1745" s="70">
        <f>I1746</f>
        <v>500000</v>
      </c>
      <c r="P1745" s="123"/>
      <c r="Q1745" s="123"/>
      <c r="R1745" s="123"/>
      <c r="S1745" s="123"/>
      <c r="T1745" s="123"/>
    </row>
    <row r="1746" spans="1:20" s="90" customFormat="1" ht="34.5" customHeight="1">
      <c r="A1746" s="82" t="s">
        <v>37</v>
      </c>
      <c r="B1746" s="83">
        <v>795</v>
      </c>
      <c r="C1746" s="84" t="s">
        <v>167</v>
      </c>
      <c r="D1746" s="84" t="s">
        <v>27</v>
      </c>
      <c r="E1746" s="84" t="s">
        <v>507</v>
      </c>
      <c r="F1746" s="84" t="s">
        <v>38</v>
      </c>
      <c r="G1746" s="70">
        <f>прил4!G2263+прил4!G3276</f>
        <v>0</v>
      </c>
      <c r="H1746" s="70">
        <f>прил4!H2263+прил4!H3276</f>
        <v>500000</v>
      </c>
      <c r="I1746" s="70">
        <f>прил4!I2263+прил4!I3276</f>
        <v>500000</v>
      </c>
      <c r="P1746" s="123"/>
      <c r="Q1746" s="123"/>
      <c r="R1746" s="123"/>
      <c r="S1746" s="123"/>
      <c r="T1746" s="123"/>
    </row>
    <row r="1747" spans="1:20" s="90" customFormat="1" ht="32.25" hidden="1" customHeight="1">
      <c r="A1747" s="82" t="s">
        <v>511</v>
      </c>
      <c r="B1747" s="83">
        <v>795</v>
      </c>
      <c r="C1747" s="84" t="s">
        <v>167</v>
      </c>
      <c r="D1747" s="84" t="s">
        <v>27</v>
      </c>
      <c r="E1747" s="84" t="s">
        <v>512</v>
      </c>
      <c r="F1747" s="84"/>
      <c r="G1747" s="70">
        <f>G1748</f>
        <v>0</v>
      </c>
      <c r="H1747" s="70">
        <v>0</v>
      </c>
      <c r="I1747" s="70">
        <v>0</v>
      </c>
      <c r="P1747" s="123"/>
      <c r="Q1747" s="123"/>
      <c r="R1747" s="123"/>
      <c r="S1747" s="123"/>
      <c r="T1747" s="123"/>
    </row>
    <row r="1748" spans="1:20" s="90" customFormat="1" ht="30" hidden="1" customHeight="1">
      <c r="A1748" s="82" t="s">
        <v>94</v>
      </c>
      <c r="B1748" s="83">
        <v>795</v>
      </c>
      <c r="C1748" s="84" t="s">
        <v>167</v>
      </c>
      <c r="D1748" s="84" t="s">
        <v>27</v>
      </c>
      <c r="E1748" s="84" t="s">
        <v>512</v>
      </c>
      <c r="F1748" s="84" t="s">
        <v>338</v>
      </c>
      <c r="G1748" s="70">
        <f>G1749</f>
        <v>0</v>
      </c>
      <c r="H1748" s="70">
        <v>0</v>
      </c>
      <c r="I1748" s="70">
        <v>0</v>
      </c>
      <c r="P1748" s="123"/>
      <c r="Q1748" s="123"/>
      <c r="R1748" s="123"/>
      <c r="S1748" s="123"/>
      <c r="T1748" s="123"/>
    </row>
    <row r="1749" spans="1:20" s="90" customFormat="1" ht="20.25" hidden="1" customHeight="1">
      <c r="A1749" s="82" t="s">
        <v>339</v>
      </c>
      <c r="B1749" s="83">
        <v>795</v>
      </c>
      <c r="C1749" s="84" t="s">
        <v>167</v>
      </c>
      <c r="D1749" s="84" t="s">
        <v>27</v>
      </c>
      <c r="E1749" s="84" t="s">
        <v>512</v>
      </c>
      <c r="F1749" s="84" t="s">
        <v>340</v>
      </c>
      <c r="G1749" s="70">
        <f>прил4!G3069</f>
        <v>0</v>
      </c>
      <c r="H1749" s="70">
        <v>0</v>
      </c>
      <c r="I1749" s="70">
        <v>0</v>
      </c>
      <c r="P1749" s="123"/>
      <c r="Q1749" s="123"/>
      <c r="R1749" s="123"/>
      <c r="S1749" s="123"/>
      <c r="T1749" s="123"/>
    </row>
    <row r="1750" spans="1:20" ht="49.5" hidden="1" customHeight="1">
      <c r="A1750" s="37" t="s">
        <v>704</v>
      </c>
      <c r="B1750" s="49">
        <v>795</v>
      </c>
      <c r="C1750" s="15" t="s">
        <v>167</v>
      </c>
      <c r="D1750" s="15" t="s">
        <v>167</v>
      </c>
      <c r="E1750" s="15" t="s">
        <v>688</v>
      </c>
      <c r="F1750" s="15"/>
      <c r="G1750" s="70">
        <f>G1751+G1753</f>
        <v>0</v>
      </c>
      <c r="H1750" s="70">
        <f t="shared" ref="H1750:I1750" si="519">H1751+H1753</f>
        <v>0</v>
      </c>
      <c r="I1750" s="70">
        <f t="shared" si="519"/>
        <v>0</v>
      </c>
      <c r="J1750" s="1"/>
    </row>
    <row r="1751" spans="1:20" ht="27" hidden="1" customHeight="1">
      <c r="A1751" s="16" t="s">
        <v>94</v>
      </c>
      <c r="B1751" s="49">
        <v>795</v>
      </c>
      <c r="C1751" s="15" t="s">
        <v>167</v>
      </c>
      <c r="D1751" s="15" t="s">
        <v>167</v>
      </c>
      <c r="E1751" s="15" t="s">
        <v>582</v>
      </c>
      <c r="F1751" s="15" t="s">
        <v>338</v>
      </c>
      <c r="G1751" s="70">
        <f>G1752</f>
        <v>0</v>
      </c>
      <c r="H1751" s="8">
        <f>H1752</f>
        <v>0</v>
      </c>
      <c r="I1751" s="8">
        <v>0</v>
      </c>
      <c r="J1751" s="1"/>
    </row>
    <row r="1752" spans="1:20" ht="18.75" hidden="1" customHeight="1">
      <c r="A1752" s="82" t="s">
        <v>339</v>
      </c>
      <c r="B1752" s="49">
        <v>795</v>
      </c>
      <c r="C1752" s="15" t="s">
        <v>167</v>
      </c>
      <c r="D1752" s="15" t="s">
        <v>167</v>
      </c>
      <c r="E1752" s="15" t="s">
        <v>582</v>
      </c>
      <c r="F1752" s="15" t="s">
        <v>340</v>
      </c>
      <c r="G1752" s="70"/>
      <c r="H1752" s="8"/>
      <c r="I1752" s="8">
        <v>0</v>
      </c>
      <c r="J1752" s="1"/>
    </row>
    <row r="1753" spans="1:20" ht="39.75" hidden="1" customHeight="1">
      <c r="A1753" s="82" t="s">
        <v>35</v>
      </c>
      <c r="B1753" s="49">
        <v>795</v>
      </c>
      <c r="C1753" s="15" t="s">
        <v>167</v>
      </c>
      <c r="D1753" s="15" t="s">
        <v>167</v>
      </c>
      <c r="E1753" s="15" t="s">
        <v>689</v>
      </c>
      <c r="F1753" s="15" t="s">
        <v>338</v>
      </c>
      <c r="G1753" s="70">
        <f>G1754</f>
        <v>0</v>
      </c>
      <c r="H1753" s="8"/>
      <c r="I1753" s="8"/>
      <c r="J1753" s="1"/>
    </row>
    <row r="1754" spans="1:20" ht="39" hidden="1" customHeight="1">
      <c r="A1754" s="16" t="s">
        <v>37</v>
      </c>
      <c r="B1754" s="49">
        <v>795</v>
      </c>
      <c r="C1754" s="15" t="s">
        <v>167</v>
      </c>
      <c r="D1754" s="15" t="s">
        <v>167</v>
      </c>
      <c r="E1754" s="15" t="s">
        <v>688</v>
      </c>
      <c r="F1754" s="15" t="s">
        <v>340</v>
      </c>
      <c r="G1754" s="70">
        <f>прил4!G3135</f>
        <v>0</v>
      </c>
      <c r="H1754" s="8"/>
      <c r="I1754" s="8"/>
      <c r="J1754" s="1"/>
    </row>
    <row r="1755" spans="1:20" s="90" customFormat="1" ht="39.75" hidden="1" customHeight="1">
      <c r="A1755" s="136" t="s">
        <v>704</v>
      </c>
      <c r="B1755" s="83">
        <v>795</v>
      </c>
      <c r="C1755" s="84" t="s">
        <v>167</v>
      </c>
      <c r="D1755" s="84" t="s">
        <v>167</v>
      </c>
      <c r="E1755" s="84" t="s">
        <v>582</v>
      </c>
      <c r="F1755" s="84"/>
      <c r="G1755" s="70">
        <f>G1756+G1758</f>
        <v>0</v>
      </c>
      <c r="H1755" s="70">
        <f t="shared" ref="H1755:I1755" si="520">H1756+H1758</f>
        <v>0</v>
      </c>
      <c r="I1755" s="70">
        <f t="shared" si="520"/>
        <v>0</v>
      </c>
      <c r="P1755" s="123"/>
      <c r="Q1755" s="123"/>
      <c r="R1755" s="123"/>
      <c r="S1755" s="123"/>
      <c r="T1755" s="123"/>
    </row>
    <row r="1756" spans="1:20" s="90" customFormat="1" ht="27" hidden="1" customHeight="1">
      <c r="A1756" s="82" t="s">
        <v>94</v>
      </c>
      <c r="B1756" s="83">
        <v>795</v>
      </c>
      <c r="C1756" s="84" t="s">
        <v>167</v>
      </c>
      <c r="D1756" s="84" t="s">
        <v>167</v>
      </c>
      <c r="E1756" s="84" t="s">
        <v>582</v>
      </c>
      <c r="F1756" s="84" t="s">
        <v>338</v>
      </c>
      <c r="G1756" s="70">
        <f>G1757</f>
        <v>0</v>
      </c>
      <c r="H1756" s="8">
        <f>H1757</f>
        <v>0</v>
      </c>
      <c r="I1756" s="8">
        <v>0</v>
      </c>
      <c r="P1756" s="123"/>
      <c r="Q1756" s="123"/>
      <c r="R1756" s="123"/>
      <c r="S1756" s="123"/>
      <c r="T1756" s="123"/>
    </row>
    <row r="1757" spans="1:20" s="90" customFormat="1" ht="18.75" hidden="1" customHeight="1">
      <c r="A1757" s="82" t="s">
        <v>339</v>
      </c>
      <c r="B1757" s="83">
        <v>795</v>
      </c>
      <c r="C1757" s="84" t="s">
        <v>167</v>
      </c>
      <c r="D1757" s="84" t="s">
        <v>167</v>
      </c>
      <c r="E1757" s="84" t="s">
        <v>582</v>
      </c>
      <c r="F1757" s="84" t="s">
        <v>340</v>
      </c>
      <c r="G1757" s="70"/>
      <c r="H1757" s="8"/>
      <c r="I1757" s="8">
        <v>0</v>
      </c>
      <c r="P1757" s="123"/>
      <c r="Q1757" s="123"/>
      <c r="R1757" s="123"/>
      <c r="S1757" s="123"/>
      <c r="T1757" s="123"/>
    </row>
    <row r="1758" spans="1:20" s="90" customFormat="1" ht="33.75" hidden="1" customHeight="1">
      <c r="A1758" s="82" t="s">
        <v>35</v>
      </c>
      <c r="B1758" s="83">
        <v>795</v>
      </c>
      <c r="C1758" s="84" t="s">
        <v>167</v>
      </c>
      <c r="D1758" s="84" t="s">
        <v>167</v>
      </c>
      <c r="E1758" s="84" t="s">
        <v>582</v>
      </c>
      <c r="F1758" s="84" t="s">
        <v>338</v>
      </c>
      <c r="G1758" s="70">
        <f>G1759</f>
        <v>0</v>
      </c>
      <c r="H1758" s="8">
        <v>0</v>
      </c>
      <c r="I1758" s="8">
        <v>0</v>
      </c>
      <c r="P1758" s="123"/>
      <c r="Q1758" s="123"/>
      <c r="R1758" s="123"/>
      <c r="S1758" s="123"/>
      <c r="T1758" s="123"/>
    </row>
    <row r="1759" spans="1:20" s="90" customFormat="1" ht="42" hidden="1" customHeight="1">
      <c r="A1759" s="16" t="s">
        <v>37</v>
      </c>
      <c r="B1759" s="83">
        <v>795</v>
      </c>
      <c r="C1759" s="84" t="s">
        <v>167</v>
      </c>
      <c r="D1759" s="84" t="s">
        <v>167</v>
      </c>
      <c r="E1759" s="84" t="s">
        <v>582</v>
      </c>
      <c r="F1759" s="84" t="s">
        <v>340</v>
      </c>
      <c r="G1759" s="70">
        <f>прил4!G3140</f>
        <v>0</v>
      </c>
      <c r="H1759" s="8">
        <v>0</v>
      </c>
      <c r="I1759" s="8">
        <v>0</v>
      </c>
      <c r="P1759" s="123"/>
      <c r="Q1759" s="123"/>
      <c r="R1759" s="123"/>
      <c r="S1759" s="123"/>
      <c r="T1759" s="123"/>
    </row>
    <row r="1760" spans="1:20" s="90" customFormat="1" ht="81" hidden="1" customHeight="1">
      <c r="A1760" s="37" t="s">
        <v>680</v>
      </c>
      <c r="B1760" s="83">
        <v>795</v>
      </c>
      <c r="C1760" s="84" t="s">
        <v>167</v>
      </c>
      <c r="D1760" s="84" t="s">
        <v>167</v>
      </c>
      <c r="E1760" s="84" t="s">
        <v>687</v>
      </c>
      <c r="F1760" s="84"/>
      <c r="G1760" s="70">
        <f>G1761</f>
        <v>0</v>
      </c>
      <c r="H1760" s="8">
        <v>0</v>
      </c>
      <c r="I1760" s="8">
        <v>0</v>
      </c>
      <c r="P1760" s="123"/>
      <c r="Q1760" s="123"/>
      <c r="R1760" s="123"/>
      <c r="S1760" s="123"/>
      <c r="T1760" s="123"/>
    </row>
    <row r="1761" spans="1:20" s="90" customFormat="1" ht="21" hidden="1" customHeight="1">
      <c r="A1761" s="82" t="s">
        <v>152</v>
      </c>
      <c r="B1761" s="83">
        <v>795</v>
      </c>
      <c r="C1761" s="84" t="s">
        <v>167</v>
      </c>
      <c r="D1761" s="84" t="s">
        <v>167</v>
      </c>
      <c r="E1761" s="84" t="s">
        <v>687</v>
      </c>
      <c r="F1761" s="84" t="s">
        <v>153</v>
      </c>
      <c r="G1761" s="70">
        <f>G1762</f>
        <v>0</v>
      </c>
      <c r="H1761" s="8">
        <v>0</v>
      </c>
      <c r="I1761" s="8">
        <v>0</v>
      </c>
      <c r="P1761" s="123"/>
      <c r="Q1761" s="123"/>
      <c r="R1761" s="123"/>
      <c r="S1761" s="123"/>
      <c r="T1761" s="123"/>
    </row>
    <row r="1762" spans="1:20" s="90" customFormat="1" ht="24" hidden="1" customHeight="1">
      <c r="A1762" s="82" t="s">
        <v>164</v>
      </c>
      <c r="B1762" s="83">
        <v>795</v>
      </c>
      <c r="C1762" s="84" t="s">
        <v>167</v>
      </c>
      <c r="D1762" s="84" t="s">
        <v>167</v>
      </c>
      <c r="E1762" s="84" t="s">
        <v>687</v>
      </c>
      <c r="F1762" s="84" t="s">
        <v>165</v>
      </c>
      <c r="G1762" s="70">
        <f>прил4!G3126</f>
        <v>0</v>
      </c>
      <c r="H1762" s="8">
        <v>0</v>
      </c>
      <c r="I1762" s="8">
        <v>0</v>
      </c>
      <c r="P1762" s="123"/>
      <c r="Q1762" s="123"/>
      <c r="R1762" s="123"/>
      <c r="S1762" s="123"/>
      <c r="T1762" s="123"/>
    </row>
    <row r="1763" spans="1:20" s="90" customFormat="1" ht="39.75" hidden="1" customHeight="1">
      <c r="A1763" s="136" t="s">
        <v>559</v>
      </c>
      <c r="B1763" s="83">
        <v>795</v>
      </c>
      <c r="C1763" s="84" t="s">
        <v>167</v>
      </c>
      <c r="D1763" s="84" t="s">
        <v>167</v>
      </c>
      <c r="E1763" s="84" t="s">
        <v>582</v>
      </c>
      <c r="F1763" s="84"/>
      <c r="G1763" s="70">
        <f>G1764+G1766</f>
        <v>0</v>
      </c>
      <c r="H1763" s="70">
        <f t="shared" ref="H1763:I1763" si="521">H1764+H1766</f>
        <v>0</v>
      </c>
      <c r="I1763" s="70">
        <f t="shared" si="521"/>
        <v>0</v>
      </c>
      <c r="P1763" s="123"/>
      <c r="Q1763" s="123"/>
      <c r="R1763" s="123"/>
      <c r="S1763" s="123"/>
      <c r="T1763" s="123"/>
    </row>
    <row r="1764" spans="1:20" s="90" customFormat="1" ht="27" hidden="1" customHeight="1">
      <c r="A1764" s="82" t="s">
        <v>94</v>
      </c>
      <c r="B1764" s="83">
        <v>795</v>
      </c>
      <c r="C1764" s="84" t="s">
        <v>167</v>
      </c>
      <c r="D1764" s="84" t="s">
        <v>167</v>
      </c>
      <c r="E1764" s="84" t="s">
        <v>582</v>
      </c>
      <c r="F1764" s="84" t="s">
        <v>338</v>
      </c>
      <c r="G1764" s="70">
        <f>G1765</f>
        <v>0</v>
      </c>
      <c r="H1764" s="8">
        <f>H1765</f>
        <v>0</v>
      </c>
      <c r="I1764" s="8">
        <v>0</v>
      </c>
      <c r="P1764" s="123"/>
      <c r="Q1764" s="123"/>
      <c r="R1764" s="123"/>
      <c r="S1764" s="123"/>
      <c r="T1764" s="123"/>
    </row>
    <row r="1765" spans="1:20" s="90" customFormat="1" ht="24" hidden="1" customHeight="1">
      <c r="A1765" s="82" t="s">
        <v>339</v>
      </c>
      <c r="B1765" s="83">
        <v>795</v>
      </c>
      <c r="C1765" s="84" t="s">
        <v>167</v>
      </c>
      <c r="D1765" s="84" t="s">
        <v>167</v>
      </c>
      <c r="E1765" s="84" t="s">
        <v>582</v>
      </c>
      <c r="F1765" s="84" t="s">
        <v>340</v>
      </c>
      <c r="G1765" s="70">
        <f>прил4!G3138</f>
        <v>0</v>
      </c>
      <c r="H1765" s="8">
        <f>прил4!H3138</f>
        <v>0</v>
      </c>
      <c r="I1765" s="8">
        <f>прил4!I3138</f>
        <v>0</v>
      </c>
      <c r="P1765" s="123"/>
      <c r="Q1765" s="123"/>
      <c r="R1765" s="123"/>
      <c r="S1765" s="123"/>
      <c r="T1765" s="123"/>
    </row>
    <row r="1766" spans="1:20" s="90" customFormat="1" ht="17.25" hidden="1" customHeight="1">
      <c r="A1766" s="82" t="s">
        <v>152</v>
      </c>
      <c r="B1766" s="83">
        <v>795</v>
      </c>
      <c r="C1766" s="84" t="s">
        <v>167</v>
      </c>
      <c r="D1766" s="84" t="s">
        <v>167</v>
      </c>
      <c r="E1766" s="84" t="s">
        <v>582</v>
      </c>
      <c r="F1766" s="84" t="s">
        <v>153</v>
      </c>
      <c r="G1766" s="70">
        <f>G1767</f>
        <v>0</v>
      </c>
      <c r="H1766" s="8"/>
      <c r="I1766" s="8"/>
      <c r="P1766" s="123"/>
      <c r="Q1766" s="123"/>
      <c r="R1766" s="123"/>
      <c r="S1766" s="123"/>
      <c r="T1766" s="123"/>
    </row>
    <row r="1767" spans="1:20" s="90" customFormat="1" ht="21" hidden="1" customHeight="1">
      <c r="A1767" s="82" t="s">
        <v>164</v>
      </c>
      <c r="B1767" s="83">
        <v>795</v>
      </c>
      <c r="C1767" s="84" t="s">
        <v>167</v>
      </c>
      <c r="D1767" s="84" t="s">
        <v>167</v>
      </c>
      <c r="E1767" s="84" t="s">
        <v>582</v>
      </c>
      <c r="F1767" s="84" t="s">
        <v>165</v>
      </c>
      <c r="G1767" s="70"/>
      <c r="H1767" s="8"/>
      <c r="I1767" s="8"/>
      <c r="P1767" s="123"/>
      <c r="Q1767" s="123"/>
      <c r="R1767" s="123"/>
      <c r="S1767" s="123"/>
      <c r="T1767" s="123"/>
    </row>
    <row r="1768" spans="1:20" s="90" customFormat="1" ht="25.5" hidden="1" customHeight="1">
      <c r="A1768" s="136" t="s">
        <v>599</v>
      </c>
      <c r="B1768" s="83">
        <v>795</v>
      </c>
      <c r="C1768" s="84" t="s">
        <v>167</v>
      </c>
      <c r="D1768" s="84" t="s">
        <v>167</v>
      </c>
      <c r="E1768" s="84" t="s">
        <v>596</v>
      </c>
      <c r="F1768" s="84"/>
      <c r="G1768" s="70">
        <f>G1769</f>
        <v>0</v>
      </c>
      <c r="H1768" s="8">
        <v>0</v>
      </c>
      <c r="I1768" s="8">
        <v>0</v>
      </c>
      <c r="P1768" s="123"/>
      <c r="Q1768" s="123"/>
      <c r="R1768" s="123"/>
      <c r="S1768" s="123"/>
      <c r="T1768" s="123"/>
    </row>
    <row r="1769" spans="1:20" s="90" customFormat="1" ht="39.75" hidden="1" customHeight="1">
      <c r="A1769" s="136" t="s">
        <v>598</v>
      </c>
      <c r="B1769" s="83">
        <v>795</v>
      </c>
      <c r="C1769" s="84" t="s">
        <v>167</v>
      </c>
      <c r="D1769" s="84" t="s">
        <v>167</v>
      </c>
      <c r="E1769" s="84" t="s">
        <v>597</v>
      </c>
      <c r="F1769" s="84"/>
      <c r="G1769" s="70">
        <f>G1770</f>
        <v>0</v>
      </c>
      <c r="H1769" s="8">
        <v>0</v>
      </c>
      <c r="I1769" s="8">
        <v>0</v>
      </c>
      <c r="P1769" s="123"/>
      <c r="Q1769" s="123"/>
      <c r="R1769" s="123"/>
      <c r="S1769" s="123"/>
      <c r="T1769" s="123"/>
    </row>
    <row r="1770" spans="1:20" s="90" customFormat="1" ht="30.75" hidden="1" customHeight="1">
      <c r="A1770" s="82" t="s">
        <v>94</v>
      </c>
      <c r="B1770" s="83">
        <v>795</v>
      </c>
      <c r="C1770" s="84" t="s">
        <v>167</v>
      </c>
      <c r="D1770" s="84" t="s">
        <v>167</v>
      </c>
      <c r="E1770" s="84" t="s">
        <v>597</v>
      </c>
      <c r="F1770" s="84" t="s">
        <v>338</v>
      </c>
      <c r="G1770" s="70">
        <f>G1771</f>
        <v>0</v>
      </c>
      <c r="H1770" s="8">
        <v>0</v>
      </c>
      <c r="I1770" s="8">
        <v>0</v>
      </c>
      <c r="P1770" s="123"/>
      <c r="Q1770" s="123"/>
      <c r="R1770" s="123"/>
      <c r="S1770" s="123"/>
      <c r="T1770" s="123"/>
    </row>
    <row r="1771" spans="1:20" s="90" customFormat="1" ht="30.75" hidden="1" customHeight="1">
      <c r="A1771" s="82" t="s">
        <v>339</v>
      </c>
      <c r="B1771" s="83">
        <v>795</v>
      </c>
      <c r="C1771" s="84" t="s">
        <v>167</v>
      </c>
      <c r="D1771" s="84" t="s">
        <v>167</v>
      </c>
      <c r="E1771" s="84" t="s">
        <v>597</v>
      </c>
      <c r="F1771" s="84" t="s">
        <v>340</v>
      </c>
      <c r="G1771" s="70">
        <f>прил4!G3130</f>
        <v>0</v>
      </c>
      <c r="H1771" s="8">
        <v>0</v>
      </c>
      <c r="I1771" s="8">
        <v>0</v>
      </c>
      <c r="P1771" s="123"/>
      <c r="Q1771" s="123"/>
      <c r="R1771" s="123"/>
      <c r="S1771" s="123"/>
      <c r="T1771" s="123"/>
    </row>
    <row r="1772" spans="1:20" s="90" customFormat="1" ht="66" hidden="1" customHeight="1">
      <c r="A1772" s="82" t="s">
        <v>786</v>
      </c>
      <c r="B1772" s="83">
        <v>795</v>
      </c>
      <c r="C1772" s="84" t="s">
        <v>167</v>
      </c>
      <c r="D1772" s="84" t="s">
        <v>27</v>
      </c>
      <c r="E1772" s="84" t="s">
        <v>686</v>
      </c>
      <c r="F1772" s="84"/>
      <c r="G1772" s="70">
        <f>G1773+G1775</f>
        <v>0</v>
      </c>
      <c r="H1772" s="70">
        <f t="shared" ref="G1772:I1773" si="522">H1773</f>
        <v>0</v>
      </c>
      <c r="I1772" s="70">
        <f t="shared" si="522"/>
        <v>0</v>
      </c>
      <c r="P1772" s="123"/>
      <c r="Q1772" s="123"/>
      <c r="R1772" s="123"/>
      <c r="S1772" s="123"/>
      <c r="T1772" s="123"/>
    </row>
    <row r="1773" spans="1:20" s="90" customFormat="1" ht="34.5" hidden="1" customHeight="1">
      <c r="A1773" s="82" t="s">
        <v>35</v>
      </c>
      <c r="B1773" s="83">
        <v>795</v>
      </c>
      <c r="C1773" s="84" t="s">
        <v>167</v>
      </c>
      <c r="D1773" s="84" t="s">
        <v>27</v>
      </c>
      <c r="E1773" s="84" t="s">
        <v>686</v>
      </c>
      <c r="F1773" s="84" t="s">
        <v>338</v>
      </c>
      <c r="G1773" s="70">
        <f t="shared" si="522"/>
        <v>0</v>
      </c>
      <c r="H1773" s="70">
        <f t="shared" si="522"/>
        <v>0</v>
      </c>
      <c r="I1773" s="70">
        <f t="shared" si="522"/>
        <v>0</v>
      </c>
      <c r="P1773" s="123"/>
      <c r="Q1773" s="123"/>
      <c r="R1773" s="123"/>
      <c r="S1773" s="123"/>
      <c r="T1773" s="123"/>
    </row>
    <row r="1774" spans="1:20" ht="34.5" hidden="1" customHeight="1">
      <c r="A1774" s="16" t="s">
        <v>37</v>
      </c>
      <c r="B1774" s="49">
        <v>795</v>
      </c>
      <c r="C1774" s="15" t="s">
        <v>167</v>
      </c>
      <c r="D1774" s="15" t="s">
        <v>27</v>
      </c>
      <c r="E1774" s="15" t="s">
        <v>686</v>
      </c>
      <c r="F1774" s="15" t="s">
        <v>340</v>
      </c>
      <c r="G1774" s="70">
        <f>прил4!G3052</f>
        <v>0</v>
      </c>
      <c r="H1774" s="70">
        <f>832780-832780</f>
        <v>0</v>
      </c>
      <c r="I1774" s="70">
        <v>0</v>
      </c>
      <c r="J1774" s="1"/>
    </row>
    <row r="1775" spans="1:20" ht="18" hidden="1" customHeight="1">
      <c r="A1775" s="82" t="s">
        <v>152</v>
      </c>
      <c r="B1775" s="49">
        <v>795</v>
      </c>
      <c r="C1775" s="15" t="s">
        <v>167</v>
      </c>
      <c r="D1775" s="15" t="s">
        <v>27</v>
      </c>
      <c r="E1775" s="15" t="s">
        <v>686</v>
      </c>
      <c r="F1775" s="84" t="s">
        <v>153</v>
      </c>
      <c r="G1775" s="70">
        <f>G1776</f>
        <v>0</v>
      </c>
      <c r="H1775" s="70">
        <f>H1776</f>
        <v>0</v>
      </c>
      <c r="I1775" s="70">
        <f>I1776</f>
        <v>0</v>
      </c>
      <c r="J1775" s="1"/>
    </row>
    <row r="1776" spans="1:20" ht="18" hidden="1" customHeight="1">
      <c r="A1776" s="82" t="s">
        <v>172</v>
      </c>
      <c r="B1776" s="49">
        <v>795</v>
      </c>
      <c r="C1776" s="15" t="s">
        <v>167</v>
      </c>
      <c r="D1776" s="15" t="s">
        <v>27</v>
      </c>
      <c r="E1776" s="15" t="s">
        <v>686</v>
      </c>
      <c r="F1776" s="84" t="s">
        <v>173</v>
      </c>
      <c r="G1776" s="70"/>
      <c r="H1776" s="70"/>
      <c r="I1776" s="70"/>
      <c r="J1776" s="1"/>
    </row>
    <row r="1777" spans="1:20" ht="44.25" hidden="1" customHeight="1">
      <c r="A1777" s="82" t="s">
        <v>774</v>
      </c>
      <c r="B1777" s="49">
        <v>795</v>
      </c>
      <c r="C1777" s="15" t="s">
        <v>167</v>
      </c>
      <c r="D1777" s="15" t="s">
        <v>27</v>
      </c>
      <c r="E1777" s="15" t="s">
        <v>773</v>
      </c>
      <c r="F1777" s="15"/>
      <c r="G1777" s="70">
        <f t="shared" ref="G1777:I1778" si="523">G1778</f>
        <v>0</v>
      </c>
      <c r="H1777" s="70">
        <f t="shared" si="523"/>
        <v>0</v>
      </c>
      <c r="I1777" s="70">
        <f t="shared" si="523"/>
        <v>0</v>
      </c>
      <c r="J1777" s="1"/>
    </row>
    <row r="1778" spans="1:20" ht="34.5" hidden="1" customHeight="1">
      <c r="A1778" s="82" t="s">
        <v>35</v>
      </c>
      <c r="B1778" s="49">
        <v>795</v>
      </c>
      <c r="C1778" s="15" t="s">
        <v>167</v>
      </c>
      <c r="D1778" s="15" t="s">
        <v>27</v>
      </c>
      <c r="E1778" s="15" t="s">
        <v>773</v>
      </c>
      <c r="F1778" s="15" t="s">
        <v>338</v>
      </c>
      <c r="G1778" s="70">
        <f t="shared" si="523"/>
        <v>0</v>
      </c>
      <c r="H1778" s="70">
        <f t="shared" si="523"/>
        <v>0</v>
      </c>
      <c r="I1778" s="70">
        <f t="shared" si="523"/>
        <v>0</v>
      </c>
      <c r="J1778" s="1"/>
    </row>
    <row r="1779" spans="1:20" ht="34.5" hidden="1" customHeight="1">
      <c r="A1779" s="16" t="s">
        <v>37</v>
      </c>
      <c r="B1779" s="49">
        <v>795</v>
      </c>
      <c r="C1779" s="15" t="s">
        <v>167</v>
      </c>
      <c r="D1779" s="15" t="s">
        <v>27</v>
      </c>
      <c r="E1779" s="15" t="s">
        <v>773</v>
      </c>
      <c r="F1779" s="15" t="s">
        <v>340</v>
      </c>
      <c r="G1779" s="70"/>
      <c r="H1779" s="70"/>
      <c r="I1779" s="70"/>
      <c r="J1779" s="1"/>
    </row>
    <row r="1780" spans="1:20" ht="44.25" hidden="1" customHeight="1">
      <c r="A1780" s="82" t="s">
        <v>776</v>
      </c>
      <c r="B1780" s="49">
        <v>795</v>
      </c>
      <c r="C1780" s="15" t="s">
        <v>167</v>
      </c>
      <c r="D1780" s="15" t="s">
        <v>27</v>
      </c>
      <c r="E1780" s="15" t="s">
        <v>775</v>
      </c>
      <c r="F1780" s="15"/>
      <c r="G1780" s="70">
        <f t="shared" ref="G1780:I1781" si="524">G1781</f>
        <v>0</v>
      </c>
      <c r="H1780" s="70">
        <f t="shared" si="524"/>
        <v>0</v>
      </c>
      <c r="I1780" s="70">
        <f t="shared" si="524"/>
        <v>0</v>
      </c>
      <c r="J1780" s="1"/>
    </row>
    <row r="1781" spans="1:20" ht="34.5" hidden="1" customHeight="1">
      <c r="A1781" s="82" t="s">
        <v>35</v>
      </c>
      <c r="B1781" s="49">
        <v>795</v>
      </c>
      <c r="C1781" s="15" t="s">
        <v>167</v>
      </c>
      <c r="D1781" s="15" t="s">
        <v>27</v>
      </c>
      <c r="E1781" s="15" t="s">
        <v>775</v>
      </c>
      <c r="F1781" s="15" t="s">
        <v>338</v>
      </c>
      <c r="G1781" s="70">
        <f t="shared" si="524"/>
        <v>0</v>
      </c>
      <c r="H1781" s="70">
        <f t="shared" si="524"/>
        <v>0</v>
      </c>
      <c r="I1781" s="70">
        <f t="shared" si="524"/>
        <v>0</v>
      </c>
      <c r="J1781" s="1"/>
    </row>
    <row r="1782" spans="1:20" ht="34.5" hidden="1" customHeight="1">
      <c r="A1782" s="16" t="s">
        <v>37</v>
      </c>
      <c r="B1782" s="49">
        <v>795</v>
      </c>
      <c r="C1782" s="15" t="s">
        <v>167</v>
      </c>
      <c r="D1782" s="15" t="s">
        <v>27</v>
      </c>
      <c r="E1782" s="15" t="s">
        <v>775</v>
      </c>
      <c r="F1782" s="15" t="s">
        <v>340</v>
      </c>
      <c r="G1782" s="70"/>
      <c r="H1782" s="70"/>
      <c r="I1782" s="70"/>
      <c r="J1782" s="1"/>
    </row>
    <row r="1783" spans="1:20" ht="44.25" hidden="1" customHeight="1">
      <c r="A1783" s="82" t="s">
        <v>778</v>
      </c>
      <c r="B1783" s="49">
        <v>795</v>
      </c>
      <c r="C1783" s="15" t="s">
        <v>167</v>
      </c>
      <c r="D1783" s="15" t="s">
        <v>27</v>
      </c>
      <c r="E1783" s="15" t="s">
        <v>777</v>
      </c>
      <c r="F1783" s="15"/>
      <c r="G1783" s="70">
        <f t="shared" ref="G1783:I1784" si="525">G1784</f>
        <v>0</v>
      </c>
      <c r="H1783" s="70">
        <f t="shared" si="525"/>
        <v>0</v>
      </c>
      <c r="I1783" s="70">
        <f t="shared" si="525"/>
        <v>0</v>
      </c>
      <c r="J1783" s="1"/>
    </row>
    <row r="1784" spans="1:20" ht="34.5" hidden="1" customHeight="1">
      <c r="A1784" s="82" t="s">
        <v>35</v>
      </c>
      <c r="B1784" s="49">
        <v>795</v>
      </c>
      <c r="C1784" s="15" t="s">
        <v>167</v>
      </c>
      <c r="D1784" s="15" t="s">
        <v>27</v>
      </c>
      <c r="E1784" s="15" t="s">
        <v>777</v>
      </c>
      <c r="F1784" s="15" t="s">
        <v>338</v>
      </c>
      <c r="G1784" s="70">
        <f t="shared" si="525"/>
        <v>0</v>
      </c>
      <c r="H1784" s="70">
        <f t="shared" si="525"/>
        <v>0</v>
      </c>
      <c r="I1784" s="70">
        <f t="shared" si="525"/>
        <v>0</v>
      </c>
      <c r="J1784" s="1"/>
    </row>
    <row r="1785" spans="1:20" ht="34.5" hidden="1" customHeight="1">
      <c r="A1785" s="16" t="s">
        <v>37</v>
      </c>
      <c r="B1785" s="49">
        <v>795</v>
      </c>
      <c r="C1785" s="15" t="s">
        <v>167</v>
      </c>
      <c r="D1785" s="15" t="s">
        <v>27</v>
      </c>
      <c r="E1785" s="15" t="s">
        <v>777</v>
      </c>
      <c r="F1785" s="15" t="s">
        <v>340</v>
      </c>
      <c r="G1785" s="70">
        <f>прил4!G3046</f>
        <v>0</v>
      </c>
      <c r="H1785" s="70">
        <f>832780-832780</f>
        <v>0</v>
      </c>
      <c r="I1785" s="70">
        <v>0</v>
      </c>
      <c r="J1785" s="1"/>
    </row>
    <row r="1786" spans="1:20" ht="57" hidden="1" customHeight="1">
      <c r="A1786" s="82" t="s">
        <v>780</v>
      </c>
      <c r="B1786" s="49">
        <v>795</v>
      </c>
      <c r="C1786" s="15" t="s">
        <v>167</v>
      </c>
      <c r="D1786" s="15" t="s">
        <v>27</v>
      </c>
      <c r="E1786" s="15" t="s">
        <v>779</v>
      </c>
      <c r="F1786" s="15"/>
      <c r="G1786" s="70">
        <f t="shared" ref="G1786:I1787" si="526">G1787</f>
        <v>0</v>
      </c>
      <c r="H1786" s="70">
        <f t="shared" si="526"/>
        <v>0</v>
      </c>
      <c r="I1786" s="70">
        <f t="shared" si="526"/>
        <v>0</v>
      </c>
      <c r="J1786" s="1"/>
    </row>
    <row r="1787" spans="1:20" ht="34.5" hidden="1" customHeight="1">
      <c r="A1787" s="82" t="s">
        <v>35</v>
      </c>
      <c r="B1787" s="49">
        <v>795</v>
      </c>
      <c r="C1787" s="15" t="s">
        <v>167</v>
      </c>
      <c r="D1787" s="15" t="s">
        <v>27</v>
      </c>
      <c r="E1787" s="15" t="s">
        <v>779</v>
      </c>
      <c r="F1787" s="15" t="s">
        <v>338</v>
      </c>
      <c r="G1787" s="70">
        <f t="shared" si="526"/>
        <v>0</v>
      </c>
      <c r="H1787" s="70">
        <f t="shared" si="526"/>
        <v>0</v>
      </c>
      <c r="I1787" s="70">
        <f t="shared" si="526"/>
        <v>0</v>
      </c>
      <c r="J1787" s="1"/>
    </row>
    <row r="1788" spans="1:20" ht="34.5" hidden="1" customHeight="1">
      <c r="A1788" s="16" t="s">
        <v>37</v>
      </c>
      <c r="B1788" s="49">
        <v>795</v>
      </c>
      <c r="C1788" s="15" t="s">
        <v>167</v>
      </c>
      <c r="D1788" s="15" t="s">
        <v>27</v>
      </c>
      <c r="E1788" s="15" t="s">
        <v>779</v>
      </c>
      <c r="F1788" s="15" t="s">
        <v>340</v>
      </c>
      <c r="G1788" s="70"/>
      <c r="H1788" s="70"/>
      <c r="I1788" s="70"/>
      <c r="J1788" s="1"/>
    </row>
    <row r="1789" spans="1:20" s="18" customFormat="1" ht="63" hidden="1" customHeight="1">
      <c r="A1789" s="82" t="s">
        <v>80</v>
      </c>
      <c r="B1789" s="49">
        <v>793</v>
      </c>
      <c r="C1789" s="15" t="s">
        <v>167</v>
      </c>
      <c r="D1789" s="15" t="s">
        <v>18</v>
      </c>
      <c r="E1789" s="15" t="s">
        <v>79</v>
      </c>
      <c r="F1789" s="15"/>
      <c r="G1789" s="70">
        <f t="shared" ref="G1789:I1790" si="527">G1790</f>
        <v>0</v>
      </c>
      <c r="H1789" s="70">
        <f t="shared" si="527"/>
        <v>0</v>
      </c>
      <c r="I1789" s="70">
        <f t="shared" si="527"/>
        <v>0</v>
      </c>
      <c r="P1789" s="17"/>
      <c r="Q1789" s="17"/>
      <c r="R1789" s="17"/>
      <c r="S1789" s="17"/>
      <c r="T1789" s="17"/>
    </row>
    <row r="1790" spans="1:20" ht="30.75" hidden="1" customHeight="1">
      <c r="A1790" s="16" t="s">
        <v>35</v>
      </c>
      <c r="B1790" s="49">
        <v>793</v>
      </c>
      <c r="C1790" s="15" t="s">
        <v>167</v>
      </c>
      <c r="D1790" s="15" t="s">
        <v>18</v>
      </c>
      <c r="E1790" s="15" t="s">
        <v>79</v>
      </c>
      <c r="F1790" s="15" t="s">
        <v>36</v>
      </c>
      <c r="G1790" s="70">
        <f t="shared" si="527"/>
        <v>0</v>
      </c>
      <c r="H1790" s="70">
        <f t="shared" si="527"/>
        <v>0</v>
      </c>
      <c r="I1790" s="70">
        <f t="shared" si="527"/>
        <v>0</v>
      </c>
      <c r="J1790" s="1"/>
    </row>
    <row r="1791" spans="1:20" s="18" customFormat="1" ht="34.5" hidden="1" customHeight="1">
      <c r="A1791" s="16" t="s">
        <v>37</v>
      </c>
      <c r="B1791" s="49">
        <v>793</v>
      </c>
      <c r="C1791" s="15" t="s">
        <v>167</v>
      </c>
      <c r="D1791" s="15" t="s">
        <v>18</v>
      </c>
      <c r="E1791" s="15" t="s">
        <v>79</v>
      </c>
      <c r="F1791" s="15" t="s">
        <v>38</v>
      </c>
      <c r="G1791" s="70"/>
      <c r="H1791" s="70"/>
      <c r="I1791" s="70"/>
      <c r="P1791" s="17"/>
      <c r="Q1791" s="17"/>
      <c r="R1791" s="17"/>
      <c r="S1791" s="17"/>
      <c r="T1791" s="17"/>
    </row>
    <row r="1792" spans="1:20" s="18" customFormat="1" ht="20.25" hidden="1" customHeight="1">
      <c r="A1792" s="16" t="s">
        <v>82</v>
      </c>
      <c r="B1792" s="49">
        <v>793</v>
      </c>
      <c r="C1792" s="15" t="s">
        <v>167</v>
      </c>
      <c r="D1792" s="15" t="s">
        <v>18</v>
      </c>
      <c r="E1792" s="15" t="s">
        <v>81</v>
      </c>
      <c r="F1792" s="15"/>
      <c r="G1792" s="70">
        <f t="shared" ref="G1792:I1793" si="528">G1793</f>
        <v>0</v>
      </c>
      <c r="H1792" s="70">
        <f t="shared" si="528"/>
        <v>0</v>
      </c>
      <c r="I1792" s="70">
        <f t="shared" si="528"/>
        <v>0</v>
      </c>
      <c r="P1792" s="17"/>
      <c r="Q1792" s="17"/>
      <c r="R1792" s="17"/>
      <c r="S1792" s="17"/>
      <c r="T1792" s="17"/>
    </row>
    <row r="1793" spans="1:20" ht="30.75" hidden="1" customHeight="1">
      <c r="A1793" s="16" t="s">
        <v>35</v>
      </c>
      <c r="B1793" s="49">
        <v>793</v>
      </c>
      <c r="C1793" s="15" t="s">
        <v>167</v>
      </c>
      <c r="D1793" s="15" t="s">
        <v>18</v>
      </c>
      <c r="E1793" s="15" t="s">
        <v>81</v>
      </c>
      <c r="F1793" s="15" t="s">
        <v>36</v>
      </c>
      <c r="G1793" s="70">
        <f t="shared" si="528"/>
        <v>0</v>
      </c>
      <c r="H1793" s="70">
        <f t="shared" si="528"/>
        <v>0</v>
      </c>
      <c r="I1793" s="70">
        <f t="shared" si="528"/>
        <v>0</v>
      </c>
      <c r="J1793" s="1"/>
    </row>
    <row r="1794" spans="1:20" s="18" customFormat="1" ht="34.5" hidden="1" customHeight="1">
      <c r="A1794" s="16" t="s">
        <v>37</v>
      </c>
      <c r="B1794" s="49">
        <v>793</v>
      </c>
      <c r="C1794" s="15" t="s">
        <v>167</v>
      </c>
      <c r="D1794" s="15" t="s">
        <v>18</v>
      </c>
      <c r="E1794" s="15" t="s">
        <v>81</v>
      </c>
      <c r="F1794" s="15" t="s">
        <v>38</v>
      </c>
      <c r="G1794" s="70"/>
      <c r="H1794" s="70"/>
      <c r="I1794" s="70"/>
      <c r="P1794" s="17"/>
      <c r="Q1794" s="17"/>
      <c r="R1794" s="17"/>
      <c r="S1794" s="17"/>
      <c r="T1794" s="17"/>
    </row>
    <row r="1795" spans="1:20" s="18" customFormat="1" ht="20.25" hidden="1" customHeight="1">
      <c r="A1795" s="16" t="s">
        <v>84</v>
      </c>
      <c r="B1795" s="49">
        <v>793</v>
      </c>
      <c r="C1795" s="15" t="s">
        <v>167</v>
      </c>
      <c r="D1795" s="15" t="s">
        <v>18</v>
      </c>
      <c r="E1795" s="15" t="s">
        <v>83</v>
      </c>
      <c r="F1795" s="15"/>
      <c r="G1795" s="70">
        <f t="shared" ref="G1795:I1796" si="529">G1796</f>
        <v>0</v>
      </c>
      <c r="H1795" s="70">
        <f t="shared" si="529"/>
        <v>0</v>
      </c>
      <c r="I1795" s="70">
        <f t="shared" si="529"/>
        <v>0</v>
      </c>
      <c r="P1795" s="17"/>
      <c r="Q1795" s="17"/>
      <c r="R1795" s="17"/>
      <c r="S1795" s="17"/>
      <c r="T1795" s="17"/>
    </row>
    <row r="1796" spans="1:20" ht="30.75" hidden="1" customHeight="1">
      <c r="A1796" s="16" t="s">
        <v>35</v>
      </c>
      <c r="B1796" s="49">
        <v>793</v>
      </c>
      <c r="C1796" s="15" t="s">
        <v>167</v>
      </c>
      <c r="D1796" s="15" t="s">
        <v>18</v>
      </c>
      <c r="E1796" s="15" t="s">
        <v>83</v>
      </c>
      <c r="F1796" s="15" t="s">
        <v>36</v>
      </c>
      <c r="G1796" s="70">
        <f t="shared" si="529"/>
        <v>0</v>
      </c>
      <c r="H1796" s="70">
        <f t="shared" si="529"/>
        <v>0</v>
      </c>
      <c r="I1796" s="70">
        <f t="shared" si="529"/>
        <v>0</v>
      </c>
      <c r="J1796" s="1"/>
    </row>
    <row r="1797" spans="1:20" s="18" customFormat="1" ht="34.5" hidden="1" customHeight="1">
      <c r="A1797" s="16" t="s">
        <v>37</v>
      </c>
      <c r="B1797" s="49">
        <v>793</v>
      </c>
      <c r="C1797" s="15" t="s">
        <v>167</v>
      </c>
      <c r="D1797" s="15" t="s">
        <v>18</v>
      </c>
      <c r="E1797" s="15" t="s">
        <v>83</v>
      </c>
      <c r="F1797" s="15" t="s">
        <v>38</v>
      </c>
      <c r="G1797" s="70"/>
      <c r="H1797" s="70"/>
      <c r="I1797" s="70"/>
      <c r="P1797" s="17"/>
      <c r="Q1797" s="17"/>
      <c r="R1797" s="17"/>
      <c r="S1797" s="17"/>
      <c r="T1797" s="17"/>
    </row>
    <row r="1798" spans="1:20" ht="73.5" hidden="1" customHeight="1">
      <c r="A1798" s="37" t="s">
        <v>680</v>
      </c>
      <c r="B1798" s="49">
        <v>793</v>
      </c>
      <c r="C1798" s="15" t="s">
        <v>167</v>
      </c>
      <c r="D1798" s="15" t="s">
        <v>167</v>
      </c>
      <c r="E1798" s="15" t="s">
        <v>687</v>
      </c>
      <c r="F1798" s="15"/>
      <c r="G1798" s="70">
        <f>G1799</f>
        <v>0</v>
      </c>
      <c r="H1798" s="8">
        <v>0</v>
      </c>
      <c r="I1798" s="8">
        <v>0</v>
      </c>
      <c r="J1798" s="174"/>
      <c r="K1798" s="181"/>
      <c r="L1798" s="181"/>
      <c r="M1798" s="181"/>
      <c r="N1798" s="181"/>
      <c r="O1798" s="181"/>
      <c r="P1798" s="181"/>
      <c r="Q1798" s="181"/>
      <c r="R1798" s="181"/>
      <c r="S1798" s="1"/>
      <c r="T1798" s="1"/>
    </row>
    <row r="1799" spans="1:20" ht="21" hidden="1" customHeight="1">
      <c r="A1799" s="82" t="s">
        <v>152</v>
      </c>
      <c r="B1799" s="49">
        <v>793</v>
      </c>
      <c r="C1799" s="15" t="s">
        <v>167</v>
      </c>
      <c r="D1799" s="15" t="s">
        <v>167</v>
      </c>
      <c r="E1799" s="15" t="s">
        <v>687</v>
      </c>
      <c r="F1799" s="15" t="s">
        <v>153</v>
      </c>
      <c r="G1799" s="70">
        <f>G1800</f>
        <v>0</v>
      </c>
      <c r="H1799" s="8">
        <v>0</v>
      </c>
      <c r="I1799" s="8">
        <v>0</v>
      </c>
      <c r="J1799" s="174"/>
      <c r="K1799" s="181"/>
      <c r="L1799" s="181"/>
      <c r="M1799" s="181"/>
      <c r="N1799" s="181"/>
      <c r="O1799" s="181"/>
      <c r="P1799" s="181"/>
      <c r="Q1799" s="181"/>
      <c r="R1799" s="181"/>
      <c r="S1799" s="1"/>
      <c r="T1799" s="1"/>
    </row>
    <row r="1800" spans="1:20" ht="20.25" hidden="1" customHeight="1">
      <c r="A1800" s="82" t="s">
        <v>172</v>
      </c>
      <c r="B1800" s="49">
        <v>793</v>
      </c>
      <c r="C1800" s="15" t="s">
        <v>167</v>
      </c>
      <c r="D1800" s="15" t="s">
        <v>167</v>
      </c>
      <c r="E1800" s="15" t="s">
        <v>687</v>
      </c>
      <c r="F1800" s="15" t="s">
        <v>173</v>
      </c>
      <c r="G1800" s="70">
        <f>прил4!G2509</f>
        <v>0</v>
      </c>
      <c r="H1800" s="8">
        <v>0</v>
      </c>
      <c r="I1800" s="8">
        <v>0</v>
      </c>
      <c r="J1800" s="174"/>
      <c r="K1800" s="181"/>
      <c r="L1800" s="181"/>
      <c r="M1800" s="181"/>
      <c r="N1800" s="181"/>
      <c r="O1800" s="181"/>
      <c r="P1800" s="181"/>
      <c r="Q1800" s="181"/>
      <c r="R1800" s="181"/>
      <c r="S1800" s="1"/>
      <c r="T1800" s="1"/>
    </row>
    <row r="1801" spans="1:20" ht="25.5" hidden="1" customHeight="1">
      <c r="A1801" s="37" t="s">
        <v>599</v>
      </c>
      <c r="B1801" s="49">
        <v>793</v>
      </c>
      <c r="C1801" s="15" t="s">
        <v>167</v>
      </c>
      <c r="D1801" s="15" t="s">
        <v>167</v>
      </c>
      <c r="E1801" s="15" t="s">
        <v>596</v>
      </c>
      <c r="F1801" s="15"/>
      <c r="G1801" s="70">
        <f>G1802</f>
        <v>0</v>
      </c>
      <c r="H1801" s="8">
        <v>0</v>
      </c>
      <c r="I1801" s="8">
        <v>0</v>
      </c>
      <c r="J1801" s="174"/>
      <c r="K1801" s="181"/>
      <c r="L1801" s="181"/>
      <c r="M1801" s="181"/>
      <c r="N1801" s="181"/>
      <c r="O1801" s="181"/>
      <c r="P1801" s="181"/>
      <c r="Q1801" s="181"/>
      <c r="R1801" s="181"/>
      <c r="S1801" s="1"/>
      <c r="T1801" s="1"/>
    </row>
    <row r="1802" spans="1:20" ht="39.75" hidden="1" customHeight="1">
      <c r="A1802" s="37" t="s">
        <v>598</v>
      </c>
      <c r="B1802" s="49">
        <v>793</v>
      </c>
      <c r="C1802" s="15" t="s">
        <v>167</v>
      </c>
      <c r="D1802" s="15" t="s">
        <v>167</v>
      </c>
      <c r="E1802" s="15" t="s">
        <v>597</v>
      </c>
      <c r="F1802" s="15"/>
      <c r="G1802" s="70">
        <f>G1803</f>
        <v>0</v>
      </c>
      <c r="H1802" s="8">
        <v>0</v>
      </c>
      <c r="I1802" s="8">
        <v>0</v>
      </c>
      <c r="J1802" s="174"/>
      <c r="K1802" s="181"/>
      <c r="L1802" s="181"/>
      <c r="M1802" s="181"/>
      <c r="N1802" s="181"/>
      <c r="O1802" s="181"/>
      <c r="P1802" s="181"/>
      <c r="Q1802" s="181"/>
      <c r="R1802" s="181"/>
      <c r="S1802" s="1"/>
      <c r="T1802" s="1"/>
    </row>
    <row r="1803" spans="1:20" ht="30.75" hidden="1" customHeight="1">
      <c r="A1803" s="16" t="s">
        <v>94</v>
      </c>
      <c r="B1803" s="49">
        <v>793</v>
      </c>
      <c r="C1803" s="15" t="s">
        <v>167</v>
      </c>
      <c r="D1803" s="15" t="s">
        <v>167</v>
      </c>
      <c r="E1803" s="15" t="s">
        <v>597</v>
      </c>
      <c r="F1803" s="15" t="s">
        <v>338</v>
      </c>
      <c r="G1803" s="70">
        <f>G1804</f>
        <v>0</v>
      </c>
      <c r="H1803" s="8">
        <v>0</v>
      </c>
      <c r="I1803" s="8">
        <v>0</v>
      </c>
      <c r="J1803" s="174"/>
      <c r="K1803" s="181"/>
      <c r="L1803" s="181"/>
      <c r="M1803" s="181"/>
      <c r="N1803" s="181"/>
      <c r="O1803" s="181"/>
      <c r="P1803" s="181"/>
      <c r="Q1803" s="181"/>
      <c r="R1803" s="181"/>
      <c r="S1803" s="1"/>
      <c r="T1803" s="1"/>
    </row>
    <row r="1804" spans="1:20" ht="30.75" hidden="1" customHeight="1">
      <c r="A1804" s="16" t="s">
        <v>339</v>
      </c>
      <c r="B1804" s="49">
        <v>793</v>
      </c>
      <c r="C1804" s="15" t="s">
        <v>167</v>
      </c>
      <c r="D1804" s="15" t="s">
        <v>167</v>
      </c>
      <c r="E1804" s="15" t="s">
        <v>597</v>
      </c>
      <c r="F1804" s="15" t="s">
        <v>340</v>
      </c>
      <c r="G1804" s="70"/>
      <c r="H1804" s="8">
        <v>0</v>
      </c>
      <c r="I1804" s="8">
        <v>0</v>
      </c>
      <c r="J1804" s="174"/>
      <c r="K1804" s="181"/>
      <c r="L1804" s="181"/>
      <c r="M1804" s="181"/>
      <c r="N1804" s="181"/>
      <c r="O1804" s="181"/>
      <c r="P1804" s="181"/>
      <c r="Q1804" s="181"/>
      <c r="R1804" s="181"/>
      <c r="S1804" s="1"/>
      <c r="T1804" s="1"/>
    </row>
    <row r="1805" spans="1:20" ht="55.5" hidden="1" customHeight="1">
      <c r="A1805" s="136" t="s">
        <v>704</v>
      </c>
      <c r="B1805" s="49">
        <v>793</v>
      </c>
      <c r="C1805" s="15" t="s">
        <v>167</v>
      </c>
      <c r="D1805" s="15" t="s">
        <v>167</v>
      </c>
      <c r="E1805" s="15" t="s">
        <v>688</v>
      </c>
      <c r="F1805" s="15"/>
      <c r="G1805" s="70">
        <f>G1806+G1808</f>
        <v>0</v>
      </c>
      <c r="H1805" s="70">
        <f t="shared" ref="H1805:I1805" si="530">H1806+H1808</f>
        <v>0</v>
      </c>
      <c r="I1805" s="70">
        <f t="shared" si="530"/>
        <v>0</v>
      </c>
      <c r="J1805" s="173"/>
      <c r="K1805" s="181"/>
      <c r="L1805" s="181"/>
      <c r="M1805" s="181"/>
      <c r="N1805" s="181"/>
      <c r="O1805" s="181"/>
      <c r="P1805" s="181"/>
      <c r="Q1805" s="181"/>
      <c r="R1805" s="181"/>
      <c r="S1805" s="1"/>
      <c r="T1805" s="1"/>
    </row>
    <row r="1806" spans="1:20" ht="27" hidden="1" customHeight="1">
      <c r="A1806" s="16" t="s">
        <v>94</v>
      </c>
      <c r="B1806" s="49">
        <v>793</v>
      </c>
      <c r="C1806" s="15" t="s">
        <v>167</v>
      </c>
      <c r="D1806" s="15" t="s">
        <v>167</v>
      </c>
      <c r="E1806" s="15" t="s">
        <v>582</v>
      </c>
      <c r="F1806" s="15" t="s">
        <v>338</v>
      </c>
      <c r="G1806" s="70">
        <f>G1807</f>
        <v>0</v>
      </c>
      <c r="H1806" s="8">
        <f>H1807</f>
        <v>0</v>
      </c>
      <c r="I1806" s="8">
        <v>0</v>
      </c>
      <c r="J1806" s="174"/>
      <c r="K1806" s="181"/>
      <c r="L1806" s="181"/>
      <c r="M1806" s="181"/>
      <c r="N1806" s="181"/>
      <c r="O1806" s="181"/>
      <c r="P1806" s="181"/>
      <c r="Q1806" s="181"/>
      <c r="R1806" s="181"/>
      <c r="S1806" s="1"/>
      <c r="T1806" s="1"/>
    </row>
    <row r="1807" spans="1:20" ht="18.75" hidden="1" customHeight="1">
      <c r="A1807" s="82" t="s">
        <v>339</v>
      </c>
      <c r="B1807" s="49">
        <v>793</v>
      </c>
      <c r="C1807" s="15" t="s">
        <v>167</v>
      </c>
      <c r="D1807" s="15" t="s">
        <v>167</v>
      </c>
      <c r="E1807" s="15" t="s">
        <v>582</v>
      </c>
      <c r="F1807" s="15" t="s">
        <v>340</v>
      </c>
      <c r="G1807" s="70"/>
      <c r="H1807" s="8"/>
      <c r="I1807" s="8">
        <v>0</v>
      </c>
      <c r="J1807" s="174"/>
      <c r="K1807" s="181"/>
      <c r="L1807" s="181"/>
      <c r="M1807" s="181"/>
      <c r="N1807" s="181"/>
      <c r="O1807" s="181"/>
      <c r="P1807" s="181"/>
      <c r="Q1807" s="181"/>
      <c r="R1807" s="181"/>
      <c r="S1807" s="1"/>
      <c r="T1807" s="1"/>
    </row>
    <row r="1808" spans="1:20" ht="39.75" hidden="1" customHeight="1">
      <c r="A1808" s="82" t="s">
        <v>35</v>
      </c>
      <c r="B1808" s="49">
        <v>793</v>
      </c>
      <c r="C1808" s="15" t="s">
        <v>167</v>
      </c>
      <c r="D1808" s="15" t="s">
        <v>167</v>
      </c>
      <c r="E1808" s="15" t="s">
        <v>689</v>
      </c>
      <c r="F1808" s="15" t="s">
        <v>338</v>
      </c>
      <c r="G1808" s="70">
        <f>G1809</f>
        <v>0</v>
      </c>
      <c r="H1808" s="8"/>
      <c r="I1808" s="8"/>
      <c r="J1808" s="174"/>
      <c r="K1808" s="181"/>
      <c r="L1808" s="181"/>
      <c r="M1808" s="181"/>
      <c r="N1808" s="181"/>
      <c r="O1808" s="181"/>
      <c r="P1808" s="181"/>
      <c r="Q1808" s="181"/>
      <c r="R1808" s="181"/>
      <c r="S1808" s="1"/>
      <c r="T1808" s="1"/>
    </row>
    <row r="1809" spans="1:20" ht="39" hidden="1" customHeight="1">
      <c r="A1809" s="16" t="s">
        <v>37</v>
      </c>
      <c r="B1809" s="49">
        <v>793</v>
      </c>
      <c r="C1809" s="15" t="s">
        <v>167</v>
      </c>
      <c r="D1809" s="15" t="s">
        <v>167</v>
      </c>
      <c r="E1809" s="15" t="s">
        <v>688</v>
      </c>
      <c r="F1809" s="15" t="s">
        <v>340</v>
      </c>
      <c r="G1809" s="70">
        <f>358104.72+400000-758104.72</f>
        <v>0</v>
      </c>
      <c r="H1809" s="8"/>
      <c r="I1809" s="8"/>
      <c r="J1809" s="174"/>
      <c r="K1809" s="181"/>
      <c r="L1809" s="181"/>
      <c r="M1809" s="181"/>
      <c r="N1809" s="181"/>
      <c r="O1809" s="181"/>
      <c r="P1809" s="181"/>
      <c r="Q1809" s="181"/>
      <c r="R1809" s="181"/>
      <c r="S1809" s="1"/>
      <c r="T1809" s="1"/>
    </row>
    <row r="1810" spans="1:20" ht="57" hidden="1" customHeight="1">
      <c r="A1810" s="37" t="s">
        <v>704</v>
      </c>
      <c r="B1810" s="49">
        <v>793</v>
      </c>
      <c r="C1810" s="15" t="s">
        <v>167</v>
      </c>
      <c r="D1810" s="15" t="s">
        <v>167</v>
      </c>
      <c r="E1810" s="15" t="s">
        <v>582</v>
      </c>
      <c r="F1810" s="15"/>
      <c r="G1810" s="70">
        <f>G1811+G1813</f>
        <v>0</v>
      </c>
      <c r="H1810" s="70">
        <f t="shared" ref="H1810:I1810" si="531">H1811+H1813</f>
        <v>0</v>
      </c>
      <c r="I1810" s="70">
        <f t="shared" si="531"/>
        <v>0</v>
      </c>
      <c r="J1810" s="173"/>
      <c r="K1810" s="181"/>
      <c r="L1810" s="181"/>
      <c r="M1810" s="181"/>
      <c r="N1810" s="181"/>
      <c r="O1810" s="181"/>
      <c r="P1810" s="181"/>
      <c r="Q1810" s="181"/>
      <c r="R1810" s="181"/>
      <c r="S1810" s="1"/>
      <c r="T1810" s="1"/>
    </row>
    <row r="1811" spans="1:20" ht="27" hidden="1" customHeight="1">
      <c r="A1811" s="16" t="s">
        <v>94</v>
      </c>
      <c r="B1811" s="49">
        <v>793</v>
      </c>
      <c r="C1811" s="15" t="s">
        <v>167</v>
      </c>
      <c r="D1811" s="15" t="s">
        <v>167</v>
      </c>
      <c r="E1811" s="15" t="s">
        <v>582</v>
      </c>
      <c r="F1811" s="15" t="s">
        <v>338</v>
      </c>
      <c r="G1811" s="70">
        <f>G1812</f>
        <v>0</v>
      </c>
      <c r="H1811" s="8">
        <f>H1812</f>
        <v>0</v>
      </c>
      <c r="I1811" s="8">
        <v>0</v>
      </c>
      <c r="J1811" s="174"/>
      <c r="K1811" s="181"/>
      <c r="L1811" s="181"/>
      <c r="M1811" s="181"/>
      <c r="N1811" s="181"/>
      <c r="O1811" s="181"/>
      <c r="P1811" s="181"/>
      <c r="Q1811" s="181"/>
      <c r="R1811" s="181"/>
      <c r="S1811" s="1"/>
      <c r="T1811" s="1"/>
    </row>
    <row r="1812" spans="1:20" ht="18.75" hidden="1" customHeight="1">
      <c r="A1812" s="82" t="s">
        <v>339</v>
      </c>
      <c r="B1812" s="49">
        <v>793</v>
      </c>
      <c r="C1812" s="15" t="s">
        <v>167</v>
      </c>
      <c r="D1812" s="15" t="s">
        <v>167</v>
      </c>
      <c r="E1812" s="15" t="s">
        <v>582</v>
      </c>
      <c r="F1812" s="15" t="s">
        <v>340</v>
      </c>
      <c r="G1812" s="70"/>
      <c r="H1812" s="8"/>
      <c r="I1812" s="8">
        <v>0</v>
      </c>
      <c r="J1812" s="174"/>
      <c r="K1812" s="181"/>
      <c r="L1812" s="181"/>
      <c r="M1812" s="181"/>
      <c r="N1812" s="181"/>
      <c r="O1812" s="181"/>
      <c r="P1812" s="181"/>
      <c r="Q1812" s="181"/>
      <c r="R1812" s="181"/>
      <c r="S1812" s="1"/>
      <c r="T1812" s="1"/>
    </row>
    <row r="1813" spans="1:20" ht="30" hidden="1" customHeight="1">
      <c r="A1813" s="82" t="s">
        <v>35</v>
      </c>
      <c r="B1813" s="49">
        <v>793</v>
      </c>
      <c r="C1813" s="15" t="s">
        <v>167</v>
      </c>
      <c r="D1813" s="15" t="s">
        <v>167</v>
      </c>
      <c r="E1813" s="15" t="s">
        <v>582</v>
      </c>
      <c r="F1813" s="15" t="s">
        <v>338</v>
      </c>
      <c r="G1813" s="70">
        <f>G1814</f>
        <v>0</v>
      </c>
      <c r="H1813" s="8">
        <v>0</v>
      </c>
      <c r="I1813" s="8">
        <v>0</v>
      </c>
      <c r="J1813" s="174"/>
      <c r="K1813" s="181"/>
      <c r="L1813" s="181"/>
      <c r="M1813" s="181"/>
      <c r="N1813" s="181"/>
      <c r="O1813" s="181"/>
      <c r="P1813" s="181"/>
      <c r="Q1813" s="181"/>
      <c r="R1813" s="181"/>
      <c r="S1813" s="1"/>
      <c r="T1813" s="1"/>
    </row>
    <row r="1814" spans="1:20" ht="30.75" hidden="1" customHeight="1">
      <c r="A1814" s="16" t="s">
        <v>37</v>
      </c>
      <c r="B1814" s="49">
        <v>793</v>
      </c>
      <c r="C1814" s="15" t="s">
        <v>167</v>
      </c>
      <c r="D1814" s="15" t="s">
        <v>167</v>
      </c>
      <c r="E1814" s="15" t="s">
        <v>582</v>
      </c>
      <c r="F1814" s="15" t="s">
        <v>340</v>
      </c>
      <c r="G1814" s="70"/>
      <c r="H1814" s="8"/>
      <c r="I1814" s="8"/>
      <c r="J1814" s="174"/>
      <c r="K1814" s="181"/>
      <c r="L1814" s="181"/>
      <c r="M1814" s="181"/>
      <c r="N1814" s="181"/>
      <c r="O1814" s="181"/>
      <c r="P1814" s="181"/>
      <c r="Q1814" s="181"/>
      <c r="R1814" s="181"/>
      <c r="S1814" s="1"/>
      <c r="T1814" s="1"/>
    </row>
    <row r="1815" spans="1:20" s="3" customFormat="1" ht="33.75" hidden="1" customHeight="1">
      <c r="A1815" s="16" t="s">
        <v>482</v>
      </c>
      <c r="B1815" s="49">
        <v>793</v>
      </c>
      <c r="C1815" s="15" t="s">
        <v>167</v>
      </c>
      <c r="D1815" s="15" t="s">
        <v>167</v>
      </c>
      <c r="E1815" s="15" t="s">
        <v>483</v>
      </c>
      <c r="F1815" s="15"/>
      <c r="G1815" s="70">
        <f>G1816</f>
        <v>0</v>
      </c>
      <c r="H1815" s="8">
        <v>0</v>
      </c>
      <c r="I1815" s="8">
        <v>0</v>
      </c>
      <c r="J1815" s="174"/>
      <c r="K1815" s="194"/>
      <c r="L1815" s="194"/>
      <c r="M1815" s="194"/>
      <c r="N1815" s="194"/>
      <c r="O1815" s="194"/>
      <c r="P1815" s="194"/>
      <c r="Q1815" s="194"/>
      <c r="R1815" s="194"/>
    </row>
    <row r="1816" spans="1:20" s="3" customFormat="1" ht="38.25" hidden="1" customHeight="1">
      <c r="A1816" s="16" t="s">
        <v>35</v>
      </c>
      <c r="B1816" s="49">
        <v>793</v>
      </c>
      <c r="C1816" s="15" t="s">
        <v>167</v>
      </c>
      <c r="D1816" s="15" t="s">
        <v>167</v>
      </c>
      <c r="E1816" s="15" t="s">
        <v>483</v>
      </c>
      <c r="F1816" s="15" t="s">
        <v>36</v>
      </c>
      <c r="G1816" s="70">
        <f>G1817</f>
        <v>0</v>
      </c>
      <c r="H1816" s="8">
        <v>0</v>
      </c>
      <c r="I1816" s="8">
        <v>0</v>
      </c>
      <c r="J1816" s="174"/>
      <c r="K1816" s="194"/>
      <c r="L1816" s="194"/>
      <c r="M1816" s="194"/>
      <c r="N1816" s="194"/>
      <c r="O1816" s="194"/>
      <c r="P1816" s="194"/>
      <c r="Q1816" s="194"/>
      <c r="R1816" s="194"/>
    </row>
    <row r="1817" spans="1:20" s="3" customFormat="1" ht="38.25" hidden="1" customHeight="1">
      <c r="A1817" s="16" t="s">
        <v>37</v>
      </c>
      <c r="B1817" s="49">
        <v>793</v>
      </c>
      <c r="C1817" s="15" t="s">
        <v>167</v>
      </c>
      <c r="D1817" s="15" t="s">
        <v>167</v>
      </c>
      <c r="E1817" s="15" t="s">
        <v>483</v>
      </c>
      <c r="F1817" s="15" t="s">
        <v>38</v>
      </c>
      <c r="G1817" s="70"/>
      <c r="H1817" s="8">
        <v>0</v>
      </c>
      <c r="I1817" s="8">
        <v>0</v>
      </c>
      <c r="J1817" s="174"/>
      <c r="K1817" s="194"/>
      <c r="L1817" s="194"/>
      <c r="M1817" s="194"/>
      <c r="N1817" s="194"/>
      <c r="O1817" s="194"/>
      <c r="P1817" s="194"/>
      <c r="Q1817" s="194"/>
      <c r="R1817" s="194"/>
    </row>
    <row r="1818" spans="1:20" ht="85.5" hidden="1" customHeight="1">
      <c r="A1818" s="37" t="s">
        <v>786</v>
      </c>
      <c r="B1818" s="49">
        <v>793</v>
      </c>
      <c r="C1818" s="15" t="s">
        <v>167</v>
      </c>
      <c r="D1818" s="15" t="s">
        <v>167</v>
      </c>
      <c r="E1818" s="15" t="s">
        <v>686</v>
      </c>
      <c r="F1818" s="15"/>
      <c r="G1818" s="70">
        <f>G1819</f>
        <v>0</v>
      </c>
      <c r="H1818" s="8">
        <v>0</v>
      </c>
      <c r="I1818" s="8">
        <v>0</v>
      </c>
      <c r="J1818" s="174"/>
      <c r="K1818" s="181"/>
      <c r="L1818" s="181"/>
      <c r="M1818" s="181"/>
      <c r="N1818" s="181"/>
      <c r="O1818" s="181"/>
      <c r="P1818" s="181"/>
      <c r="Q1818" s="181"/>
      <c r="R1818" s="181"/>
      <c r="S1818" s="1"/>
      <c r="T1818" s="1"/>
    </row>
    <row r="1819" spans="1:20" ht="21" hidden="1" customHeight="1">
      <c r="A1819" s="82" t="s">
        <v>152</v>
      </c>
      <c r="B1819" s="49">
        <v>793</v>
      </c>
      <c r="C1819" s="15" t="s">
        <v>167</v>
      </c>
      <c r="D1819" s="15" t="s">
        <v>167</v>
      </c>
      <c r="E1819" s="15" t="s">
        <v>686</v>
      </c>
      <c r="F1819" s="15" t="s">
        <v>153</v>
      </c>
      <c r="G1819" s="70">
        <f>G1820</f>
        <v>0</v>
      </c>
      <c r="H1819" s="8">
        <v>0</v>
      </c>
      <c r="I1819" s="8">
        <v>0</v>
      </c>
      <c r="J1819" s="174"/>
      <c r="K1819" s="181"/>
      <c r="L1819" s="181"/>
      <c r="M1819" s="181"/>
      <c r="N1819" s="181"/>
      <c r="O1819" s="181"/>
      <c r="P1819" s="181"/>
      <c r="Q1819" s="181"/>
      <c r="R1819" s="181"/>
      <c r="S1819" s="1"/>
      <c r="T1819" s="1"/>
    </row>
    <row r="1820" spans="1:20" ht="20.25" hidden="1" customHeight="1">
      <c r="A1820" s="82" t="s">
        <v>172</v>
      </c>
      <c r="B1820" s="49">
        <v>793</v>
      </c>
      <c r="C1820" s="15" t="s">
        <v>167</v>
      </c>
      <c r="D1820" s="15" t="s">
        <v>167</v>
      </c>
      <c r="E1820" s="15" t="s">
        <v>686</v>
      </c>
      <c r="F1820" s="15" t="s">
        <v>173</v>
      </c>
      <c r="G1820" s="70">
        <f>прил4!G2532</f>
        <v>0</v>
      </c>
      <c r="H1820" s="8">
        <v>0</v>
      </c>
      <c r="I1820" s="8">
        <v>0</v>
      </c>
      <c r="J1820" s="174"/>
      <c r="K1820" s="181"/>
      <c r="L1820" s="181"/>
      <c r="M1820" s="181"/>
      <c r="N1820" s="181"/>
      <c r="O1820" s="181"/>
      <c r="P1820" s="181"/>
      <c r="Q1820" s="181"/>
      <c r="R1820" s="181"/>
      <c r="S1820" s="1"/>
      <c r="T1820" s="1"/>
    </row>
    <row r="1821" spans="1:20" ht="67.5" hidden="1" customHeight="1">
      <c r="A1821" s="37" t="s">
        <v>949</v>
      </c>
      <c r="B1821" s="49">
        <v>793</v>
      </c>
      <c r="C1821" s="15" t="s">
        <v>167</v>
      </c>
      <c r="D1821" s="15" t="s">
        <v>167</v>
      </c>
      <c r="E1821" s="15" t="s">
        <v>582</v>
      </c>
      <c r="F1821" s="15"/>
      <c r="G1821" s="70">
        <f>G1822</f>
        <v>0</v>
      </c>
      <c r="H1821" s="8">
        <v>0</v>
      </c>
      <c r="I1821" s="8">
        <v>0</v>
      </c>
      <c r="J1821" s="174"/>
      <c r="K1821" s="181"/>
      <c r="L1821" s="181"/>
      <c r="M1821" s="181"/>
      <c r="N1821" s="181"/>
      <c r="O1821" s="181"/>
      <c r="P1821" s="181"/>
      <c r="Q1821" s="181"/>
      <c r="R1821" s="181"/>
      <c r="S1821" s="1"/>
      <c r="T1821" s="1"/>
    </row>
    <row r="1822" spans="1:20" ht="44.25" hidden="1" customHeight="1">
      <c r="A1822" s="82" t="s">
        <v>94</v>
      </c>
      <c r="B1822" s="49">
        <v>793</v>
      </c>
      <c r="C1822" s="15" t="s">
        <v>167</v>
      </c>
      <c r="D1822" s="15" t="s">
        <v>167</v>
      </c>
      <c r="E1822" s="15" t="s">
        <v>582</v>
      </c>
      <c r="F1822" s="15" t="s">
        <v>338</v>
      </c>
      <c r="G1822" s="70">
        <f>G1823</f>
        <v>0</v>
      </c>
      <c r="H1822" s="8">
        <v>0</v>
      </c>
      <c r="I1822" s="8">
        <v>0</v>
      </c>
      <c r="J1822" s="174"/>
      <c r="K1822" s="181"/>
      <c r="L1822" s="181"/>
      <c r="M1822" s="181"/>
      <c r="N1822" s="181"/>
      <c r="O1822" s="181"/>
      <c r="P1822" s="181"/>
      <c r="Q1822" s="181"/>
      <c r="R1822" s="181"/>
      <c r="S1822" s="1"/>
      <c r="T1822" s="1"/>
    </row>
    <row r="1823" spans="1:20" ht="20.25" hidden="1" customHeight="1">
      <c r="A1823" s="82" t="s">
        <v>339</v>
      </c>
      <c r="B1823" s="49">
        <v>793</v>
      </c>
      <c r="C1823" s="15" t="s">
        <v>167</v>
      </c>
      <c r="D1823" s="15" t="s">
        <v>167</v>
      </c>
      <c r="E1823" s="15" t="s">
        <v>582</v>
      </c>
      <c r="F1823" s="15" t="s">
        <v>340</v>
      </c>
      <c r="G1823" s="70">
        <f>прил4!G2529</f>
        <v>0</v>
      </c>
      <c r="H1823" s="8">
        <v>0</v>
      </c>
      <c r="I1823" s="8">
        <v>0</v>
      </c>
      <c r="J1823" s="174"/>
      <c r="K1823" s="181"/>
      <c r="L1823" s="181"/>
      <c r="M1823" s="181"/>
      <c r="N1823" s="181"/>
      <c r="O1823" s="181"/>
      <c r="P1823" s="181"/>
      <c r="Q1823" s="181"/>
      <c r="R1823" s="181"/>
      <c r="S1823" s="1"/>
      <c r="T1823" s="1"/>
    </row>
    <row r="1824" spans="1:20" ht="57" hidden="1" customHeight="1">
      <c r="A1824" s="37" t="s">
        <v>833</v>
      </c>
      <c r="B1824" s="49">
        <v>795</v>
      </c>
      <c r="C1824" s="15" t="s">
        <v>167</v>
      </c>
      <c r="D1824" s="15" t="s">
        <v>167</v>
      </c>
      <c r="E1824" s="15" t="s">
        <v>832</v>
      </c>
      <c r="F1824" s="15"/>
      <c r="G1824" s="70">
        <f>G1825</f>
        <v>0</v>
      </c>
      <c r="H1824" s="70">
        <f t="shared" ref="H1824:I1824" si="532">H1825</f>
        <v>0</v>
      </c>
      <c r="I1824" s="70">
        <f t="shared" si="532"/>
        <v>0</v>
      </c>
      <c r="J1824" s="1"/>
    </row>
    <row r="1825" spans="1:20" ht="27" hidden="1" customHeight="1">
      <c r="A1825" s="82" t="s">
        <v>62</v>
      </c>
      <c r="B1825" s="49">
        <v>795</v>
      </c>
      <c r="C1825" s="15" t="s">
        <v>167</v>
      </c>
      <c r="D1825" s="15" t="s">
        <v>167</v>
      </c>
      <c r="E1825" s="15" t="s">
        <v>832</v>
      </c>
      <c r="F1825" s="15" t="s">
        <v>63</v>
      </c>
      <c r="G1825" s="70">
        <f>G1826</f>
        <v>0</v>
      </c>
      <c r="H1825" s="8">
        <f>H1826</f>
        <v>0</v>
      </c>
      <c r="I1825" s="8">
        <f>I1826</f>
        <v>0</v>
      </c>
      <c r="J1825" s="1"/>
    </row>
    <row r="1826" spans="1:20" ht="18.75" hidden="1" customHeight="1">
      <c r="A1826" s="82" t="s">
        <v>174</v>
      </c>
      <c r="B1826" s="49">
        <v>795</v>
      </c>
      <c r="C1826" s="15" t="s">
        <v>167</v>
      </c>
      <c r="D1826" s="15" t="s">
        <v>167</v>
      </c>
      <c r="E1826" s="15" t="s">
        <v>832</v>
      </c>
      <c r="F1826" s="15" t="s">
        <v>175</v>
      </c>
      <c r="G1826" s="70"/>
      <c r="H1826" s="70">
        <v>0</v>
      </c>
      <c r="I1826" s="70">
        <v>0</v>
      </c>
      <c r="J1826" s="1"/>
    </row>
    <row r="1827" spans="1:20" ht="34.5" customHeight="1">
      <c r="A1827" s="16" t="s">
        <v>852</v>
      </c>
      <c r="B1827" s="14">
        <v>793</v>
      </c>
      <c r="C1827" s="15" t="s">
        <v>167</v>
      </c>
      <c r="D1827" s="15" t="s">
        <v>27</v>
      </c>
      <c r="E1827" s="15" t="s">
        <v>853</v>
      </c>
      <c r="F1827" s="15"/>
      <c r="G1827" s="70">
        <f t="shared" ref="G1827:I1828" si="533">G1828</f>
        <v>1399689.88</v>
      </c>
      <c r="H1827" s="70">
        <f t="shared" si="533"/>
        <v>122000</v>
      </c>
      <c r="I1827" s="70">
        <f t="shared" si="533"/>
        <v>0</v>
      </c>
      <c r="J1827" s="1"/>
      <c r="P1827" s="1"/>
      <c r="Q1827" s="1"/>
      <c r="R1827" s="1"/>
      <c r="S1827" s="1"/>
      <c r="T1827" s="1"/>
    </row>
    <row r="1828" spans="1:20" ht="34.5" customHeight="1">
      <c r="A1828" s="16" t="s">
        <v>35</v>
      </c>
      <c r="B1828" s="14">
        <v>793</v>
      </c>
      <c r="C1828" s="15" t="s">
        <v>167</v>
      </c>
      <c r="D1828" s="15" t="s">
        <v>27</v>
      </c>
      <c r="E1828" s="15" t="s">
        <v>853</v>
      </c>
      <c r="F1828" s="15" t="s">
        <v>36</v>
      </c>
      <c r="G1828" s="70">
        <f t="shared" si="533"/>
        <v>1399689.88</v>
      </c>
      <c r="H1828" s="70">
        <f t="shared" si="533"/>
        <v>122000</v>
      </c>
      <c r="I1828" s="70">
        <f t="shared" si="533"/>
        <v>0</v>
      </c>
      <c r="J1828" s="1"/>
      <c r="P1828" s="1"/>
      <c r="Q1828" s="1"/>
      <c r="R1828" s="1"/>
      <c r="S1828" s="1"/>
      <c r="T1828" s="1"/>
    </row>
    <row r="1829" spans="1:20" ht="34.5" customHeight="1">
      <c r="A1829" s="16" t="s">
        <v>37</v>
      </c>
      <c r="B1829" s="14">
        <v>793</v>
      </c>
      <c r="C1829" s="15" t="s">
        <v>167</v>
      </c>
      <c r="D1829" s="15" t="s">
        <v>27</v>
      </c>
      <c r="E1829" s="15" t="s">
        <v>853</v>
      </c>
      <c r="F1829" s="15" t="s">
        <v>38</v>
      </c>
      <c r="G1829" s="70">
        <f>прил4!G2265</f>
        <v>1399689.88</v>
      </c>
      <c r="H1829" s="70">
        <f>прил4!H2267</f>
        <v>122000</v>
      </c>
      <c r="I1829" s="70">
        <f>прил4!I2267</f>
        <v>0</v>
      </c>
      <c r="J1829" s="1"/>
      <c r="P1829" s="1"/>
      <c r="Q1829" s="1"/>
      <c r="R1829" s="1"/>
      <c r="S1829" s="1"/>
      <c r="T1829" s="1"/>
    </row>
    <row r="1830" spans="1:20" s="18" customFormat="1" ht="39" hidden="1" customHeight="1">
      <c r="A1830" s="82" t="s">
        <v>1082</v>
      </c>
      <c r="B1830" s="83">
        <v>793</v>
      </c>
      <c r="C1830" s="84" t="s">
        <v>167</v>
      </c>
      <c r="D1830" s="84" t="s">
        <v>27</v>
      </c>
      <c r="E1830" s="84" t="s">
        <v>1083</v>
      </c>
      <c r="F1830" s="84"/>
      <c r="G1830" s="70">
        <f>G1847</f>
        <v>2658079.69</v>
      </c>
      <c r="H1830" s="70">
        <f>H1847</f>
        <v>0</v>
      </c>
      <c r="I1830" s="70">
        <f>I1847</f>
        <v>0</v>
      </c>
      <c r="J1830" s="173"/>
      <c r="K1830" s="195"/>
      <c r="L1830" s="195"/>
      <c r="M1830" s="195"/>
      <c r="N1830" s="195"/>
      <c r="O1830" s="195"/>
      <c r="P1830" s="195"/>
      <c r="Q1830" s="195"/>
      <c r="R1830" s="195"/>
    </row>
    <row r="1831" spans="1:20" ht="26.4">
      <c r="A1831" s="16" t="s">
        <v>1446</v>
      </c>
      <c r="B1831" s="49">
        <v>793</v>
      </c>
      <c r="C1831" s="15" t="s">
        <v>167</v>
      </c>
      <c r="D1831" s="15" t="s">
        <v>69</v>
      </c>
      <c r="E1831" s="15" t="s">
        <v>1445</v>
      </c>
      <c r="F1831" s="15"/>
      <c r="G1831" s="70">
        <f>G1832</f>
        <v>0</v>
      </c>
      <c r="H1831" s="70">
        <v>0</v>
      </c>
      <c r="I1831" s="70">
        <v>0</v>
      </c>
      <c r="J1831" s="172"/>
      <c r="K1831" s="69"/>
      <c r="L1831" s="69"/>
      <c r="M1831" s="69"/>
      <c r="N1831" s="69"/>
      <c r="O1831" s="69"/>
      <c r="P1831" s="69"/>
      <c r="Q1831" s="69"/>
      <c r="R1831" s="69"/>
      <c r="S1831" s="1"/>
      <c r="T1831" s="1"/>
    </row>
    <row r="1832" spans="1:20" ht="26.4">
      <c r="A1832" s="16" t="s">
        <v>35</v>
      </c>
      <c r="B1832" s="49">
        <v>793</v>
      </c>
      <c r="C1832" s="15" t="s">
        <v>167</v>
      </c>
      <c r="D1832" s="15" t="s">
        <v>69</v>
      </c>
      <c r="E1832" s="15" t="s">
        <v>1445</v>
      </c>
      <c r="F1832" s="15" t="s">
        <v>36</v>
      </c>
      <c r="G1832" s="70">
        <f t="shared" ref="G1832:I1832" si="534">G1833</f>
        <v>0</v>
      </c>
      <c r="H1832" s="70">
        <f t="shared" si="534"/>
        <v>0</v>
      </c>
      <c r="I1832" s="70">
        <f t="shared" si="534"/>
        <v>0</v>
      </c>
      <c r="J1832" s="172"/>
      <c r="K1832" s="69"/>
      <c r="L1832" s="69"/>
      <c r="M1832" s="69"/>
      <c r="N1832" s="69"/>
      <c r="O1832" s="69"/>
      <c r="P1832" s="69"/>
      <c r="Q1832" s="69"/>
      <c r="R1832" s="69"/>
      <c r="S1832" s="1"/>
      <c r="T1832" s="1"/>
    </row>
    <row r="1833" spans="1:20" ht="26.4">
      <c r="A1833" s="16" t="s">
        <v>37</v>
      </c>
      <c r="B1833" s="49">
        <v>793</v>
      </c>
      <c r="C1833" s="15" t="s">
        <v>167</v>
      </c>
      <c r="D1833" s="15" t="s">
        <v>69</v>
      </c>
      <c r="E1833" s="15" t="s">
        <v>1445</v>
      </c>
      <c r="F1833" s="15" t="s">
        <v>38</v>
      </c>
      <c r="G1833" s="70">
        <f>прил4!G2447</f>
        <v>0</v>
      </c>
      <c r="H1833" s="70">
        <v>0</v>
      </c>
      <c r="I1833" s="70">
        <v>0</v>
      </c>
      <c r="J1833" s="172"/>
      <c r="K1833" s="69"/>
      <c r="L1833" s="69"/>
      <c r="M1833" s="69"/>
      <c r="N1833" s="69"/>
      <c r="O1833" s="69"/>
      <c r="P1833" s="69"/>
      <c r="Q1833" s="69"/>
      <c r="R1833" s="69"/>
      <c r="S1833" s="1"/>
      <c r="T1833" s="1"/>
    </row>
    <row r="1834" spans="1:20" ht="26.4" hidden="1">
      <c r="A1834" s="16" t="s">
        <v>1255</v>
      </c>
      <c r="B1834" s="49">
        <v>793</v>
      </c>
      <c r="C1834" s="15" t="s">
        <v>167</v>
      </c>
      <c r="D1834" s="15" t="s">
        <v>27</v>
      </c>
      <c r="E1834" s="15" t="s">
        <v>1254</v>
      </c>
      <c r="F1834" s="15"/>
      <c r="G1834" s="70">
        <f>G1835</f>
        <v>0</v>
      </c>
      <c r="H1834" s="70">
        <f t="shared" ref="G1834:I1835" si="535">H1835</f>
        <v>0</v>
      </c>
      <c r="I1834" s="70">
        <f t="shared" si="535"/>
        <v>0</v>
      </c>
      <c r="J1834" s="172"/>
      <c r="K1834" s="69"/>
      <c r="L1834" s="69"/>
      <c r="M1834" s="69"/>
      <c r="N1834" s="69"/>
      <c r="O1834" s="69"/>
      <c r="P1834" s="69"/>
      <c r="Q1834" s="69"/>
      <c r="R1834" s="69"/>
      <c r="S1834" s="1"/>
      <c r="T1834" s="1"/>
    </row>
    <row r="1835" spans="1:20" ht="26.4" hidden="1">
      <c r="A1835" s="16" t="s">
        <v>94</v>
      </c>
      <c r="B1835" s="49">
        <v>793</v>
      </c>
      <c r="C1835" s="15" t="s">
        <v>167</v>
      </c>
      <c r="D1835" s="15" t="s">
        <v>27</v>
      </c>
      <c r="E1835" s="15" t="s">
        <v>1254</v>
      </c>
      <c r="F1835" s="15" t="s">
        <v>338</v>
      </c>
      <c r="G1835" s="70">
        <f t="shared" si="535"/>
        <v>0</v>
      </c>
      <c r="H1835" s="70">
        <f t="shared" si="535"/>
        <v>0</v>
      </c>
      <c r="I1835" s="70">
        <f t="shared" si="535"/>
        <v>0</v>
      </c>
      <c r="J1835" s="172"/>
      <c r="K1835" s="69"/>
      <c r="L1835" s="69"/>
      <c r="M1835" s="69"/>
      <c r="N1835" s="69"/>
      <c r="O1835" s="69"/>
      <c r="P1835" s="69"/>
      <c r="Q1835" s="69"/>
      <c r="R1835" s="69"/>
      <c r="S1835" s="1"/>
      <c r="T1835" s="1"/>
    </row>
    <row r="1836" spans="1:20" hidden="1">
      <c r="A1836" s="16" t="s">
        <v>339</v>
      </c>
      <c r="B1836" s="49">
        <v>793</v>
      </c>
      <c r="C1836" s="15" t="s">
        <v>167</v>
      </c>
      <c r="D1836" s="15" t="s">
        <v>27</v>
      </c>
      <c r="E1836" s="15" t="s">
        <v>1254</v>
      </c>
      <c r="F1836" s="15" t="s">
        <v>340</v>
      </c>
      <c r="G1836" s="70">
        <f>прил4!G2218</f>
        <v>0</v>
      </c>
      <c r="H1836" s="70">
        <v>0</v>
      </c>
      <c r="I1836" s="70">
        <v>0</v>
      </c>
      <c r="J1836" s="172"/>
      <c r="K1836" s="69"/>
      <c r="L1836" s="69"/>
      <c r="M1836" s="69"/>
      <c r="N1836" s="69"/>
      <c r="O1836" s="69"/>
      <c r="P1836" s="69"/>
      <c r="Q1836" s="69"/>
      <c r="R1836" s="69"/>
      <c r="S1836" s="1"/>
      <c r="T1836" s="1"/>
    </row>
    <row r="1837" spans="1:20" ht="41.25" customHeight="1">
      <c r="A1837" s="16" t="s">
        <v>1379</v>
      </c>
      <c r="B1837" s="49">
        <v>793</v>
      </c>
      <c r="C1837" s="15" t="s">
        <v>167</v>
      </c>
      <c r="D1837" s="15" t="s">
        <v>27</v>
      </c>
      <c r="E1837" s="15" t="s">
        <v>1378</v>
      </c>
      <c r="F1837" s="15"/>
      <c r="G1837" s="70">
        <f>G1838</f>
        <v>20000</v>
      </c>
      <c r="H1837" s="70">
        <f t="shared" ref="G1837:I1838" si="536">H1838</f>
        <v>0</v>
      </c>
      <c r="I1837" s="70">
        <f t="shared" si="536"/>
        <v>0</v>
      </c>
      <c r="J1837" s="172"/>
      <c r="K1837" s="69"/>
      <c r="L1837" s="69"/>
      <c r="M1837" s="69"/>
      <c r="N1837" s="69"/>
      <c r="O1837" s="69"/>
      <c r="P1837" s="69"/>
      <c r="Q1837" s="69"/>
      <c r="R1837" s="69"/>
      <c r="S1837" s="1"/>
      <c r="T1837" s="1"/>
    </row>
    <row r="1838" spans="1:20" ht="26.4">
      <c r="A1838" s="16" t="s">
        <v>35</v>
      </c>
      <c r="B1838" s="49">
        <v>793</v>
      </c>
      <c r="C1838" s="15" t="s">
        <v>167</v>
      </c>
      <c r="D1838" s="15" t="s">
        <v>27</v>
      </c>
      <c r="E1838" s="15" t="s">
        <v>1378</v>
      </c>
      <c r="F1838" s="15" t="s">
        <v>36</v>
      </c>
      <c r="G1838" s="70">
        <f t="shared" si="536"/>
        <v>20000</v>
      </c>
      <c r="H1838" s="70">
        <f t="shared" si="536"/>
        <v>0</v>
      </c>
      <c r="I1838" s="70">
        <f t="shared" si="536"/>
        <v>0</v>
      </c>
      <c r="J1838" s="172"/>
      <c r="K1838" s="69"/>
      <c r="L1838" s="69"/>
      <c r="M1838" s="69"/>
      <c r="N1838" s="69"/>
      <c r="O1838" s="69"/>
      <c r="P1838" s="69"/>
      <c r="Q1838" s="69"/>
      <c r="R1838" s="69"/>
      <c r="S1838" s="1"/>
      <c r="T1838" s="1"/>
    </row>
    <row r="1839" spans="1:20" ht="26.4">
      <c r="A1839" s="16" t="s">
        <v>37</v>
      </c>
      <c r="B1839" s="49">
        <v>793</v>
      </c>
      <c r="C1839" s="15" t="s">
        <v>167</v>
      </c>
      <c r="D1839" s="15" t="s">
        <v>27</v>
      </c>
      <c r="E1839" s="15" t="s">
        <v>1378</v>
      </c>
      <c r="F1839" s="15" t="s">
        <v>38</v>
      </c>
      <c r="G1839" s="70">
        <f>прил4!G2221</f>
        <v>20000</v>
      </c>
      <c r="H1839" s="70"/>
      <c r="I1839" s="70"/>
      <c r="J1839" s="172"/>
      <c r="K1839" s="69"/>
      <c r="L1839" s="69"/>
      <c r="M1839" s="69"/>
      <c r="N1839" s="69"/>
      <c r="O1839" s="69"/>
      <c r="P1839" s="69"/>
      <c r="Q1839" s="69"/>
      <c r="R1839" s="69"/>
      <c r="S1839" s="1"/>
      <c r="T1839" s="1"/>
    </row>
    <row r="1840" spans="1:20" ht="34.5" customHeight="1">
      <c r="A1840" s="16" t="s">
        <v>774</v>
      </c>
      <c r="B1840" s="14">
        <v>793</v>
      </c>
      <c r="C1840" s="15" t="s">
        <v>167</v>
      </c>
      <c r="D1840" s="15" t="s">
        <v>27</v>
      </c>
      <c r="E1840" s="15" t="s">
        <v>775</v>
      </c>
      <c r="F1840" s="15"/>
      <c r="G1840" s="70">
        <f t="shared" ref="G1840:I1841" si="537">G1841</f>
        <v>100000</v>
      </c>
      <c r="H1840" s="70">
        <f t="shared" si="537"/>
        <v>0</v>
      </c>
      <c r="I1840" s="70">
        <f t="shared" si="537"/>
        <v>0</v>
      </c>
      <c r="J1840" s="69"/>
      <c r="K1840" s="69"/>
      <c r="L1840" s="69"/>
      <c r="M1840" s="69"/>
      <c r="N1840" s="69"/>
      <c r="O1840" s="69"/>
      <c r="P1840" s="69"/>
      <c r="Q1840" s="69"/>
      <c r="R1840" s="69"/>
      <c r="S1840" s="1"/>
      <c r="T1840" s="1"/>
    </row>
    <row r="1841" spans="1:20" ht="34.5" customHeight="1">
      <c r="A1841" s="16" t="s">
        <v>94</v>
      </c>
      <c r="B1841" s="14">
        <v>793</v>
      </c>
      <c r="C1841" s="15" t="s">
        <v>167</v>
      </c>
      <c r="D1841" s="15" t="s">
        <v>27</v>
      </c>
      <c r="E1841" s="15" t="s">
        <v>775</v>
      </c>
      <c r="F1841" s="15" t="s">
        <v>338</v>
      </c>
      <c r="G1841" s="70">
        <f t="shared" si="537"/>
        <v>100000</v>
      </c>
      <c r="H1841" s="70">
        <f t="shared" si="537"/>
        <v>0</v>
      </c>
      <c r="I1841" s="70">
        <f t="shared" si="537"/>
        <v>0</v>
      </c>
      <c r="J1841" s="69"/>
      <c r="K1841" s="69"/>
      <c r="L1841" s="69"/>
      <c r="M1841" s="69"/>
      <c r="N1841" s="69"/>
      <c r="O1841" s="69"/>
      <c r="P1841" s="69"/>
      <c r="Q1841" s="69"/>
      <c r="R1841" s="69"/>
      <c r="S1841" s="1"/>
      <c r="T1841" s="1"/>
    </row>
    <row r="1842" spans="1:20" ht="34.5" customHeight="1">
      <c r="A1842" s="16" t="s">
        <v>339</v>
      </c>
      <c r="B1842" s="14">
        <v>793</v>
      </c>
      <c r="C1842" s="15" t="s">
        <v>167</v>
      </c>
      <c r="D1842" s="15" t="s">
        <v>27</v>
      </c>
      <c r="E1842" s="15" t="s">
        <v>775</v>
      </c>
      <c r="F1842" s="15" t="s">
        <v>340</v>
      </c>
      <c r="G1842" s="70">
        <f>прил4!G2283</f>
        <v>100000</v>
      </c>
      <c r="H1842" s="70">
        <v>0</v>
      </c>
      <c r="I1842" s="70">
        <v>0</v>
      </c>
      <c r="J1842" s="69"/>
      <c r="K1842" s="69"/>
      <c r="L1842" s="69"/>
      <c r="M1842" s="69"/>
      <c r="N1842" s="69"/>
      <c r="O1842" s="69"/>
      <c r="P1842" s="69"/>
      <c r="Q1842" s="69"/>
      <c r="R1842" s="69"/>
      <c r="S1842" s="1"/>
      <c r="T1842" s="1"/>
    </row>
    <row r="1843" spans="1:20" ht="51" customHeight="1">
      <c r="A1843" s="16" t="s">
        <v>1377</v>
      </c>
      <c r="B1843" s="14">
        <v>793</v>
      </c>
      <c r="C1843" s="15" t="s">
        <v>167</v>
      </c>
      <c r="D1843" s="15" t="s">
        <v>27</v>
      </c>
      <c r="E1843" s="15" t="s">
        <v>777</v>
      </c>
      <c r="F1843" s="15"/>
      <c r="G1843" s="70">
        <f t="shared" ref="G1843:I1844" si="538">G1844</f>
        <v>200000</v>
      </c>
      <c r="H1843" s="70">
        <f t="shared" si="538"/>
        <v>0</v>
      </c>
      <c r="I1843" s="70">
        <f t="shared" si="538"/>
        <v>0</v>
      </c>
      <c r="J1843" s="69"/>
      <c r="K1843" s="69"/>
      <c r="L1843" s="69"/>
      <c r="M1843" s="69"/>
      <c r="N1843" s="69"/>
      <c r="O1843" s="69"/>
      <c r="P1843" s="69"/>
      <c r="Q1843" s="69"/>
      <c r="R1843" s="69"/>
      <c r="S1843" s="1"/>
      <c r="T1843" s="1"/>
    </row>
    <row r="1844" spans="1:20" ht="34.5" customHeight="1">
      <c r="A1844" s="16" t="s">
        <v>94</v>
      </c>
      <c r="B1844" s="14">
        <v>793</v>
      </c>
      <c r="C1844" s="15" t="s">
        <v>167</v>
      </c>
      <c r="D1844" s="15" t="s">
        <v>27</v>
      </c>
      <c r="E1844" s="15" t="s">
        <v>777</v>
      </c>
      <c r="F1844" s="15" t="s">
        <v>338</v>
      </c>
      <c r="G1844" s="70">
        <f t="shared" si="538"/>
        <v>200000</v>
      </c>
      <c r="H1844" s="70">
        <f t="shared" si="538"/>
        <v>0</v>
      </c>
      <c r="I1844" s="70">
        <f t="shared" si="538"/>
        <v>0</v>
      </c>
      <c r="J1844" s="69"/>
      <c r="K1844" s="69"/>
      <c r="L1844" s="69"/>
      <c r="M1844" s="69"/>
      <c r="N1844" s="69"/>
      <c r="O1844" s="69"/>
      <c r="P1844" s="69"/>
      <c r="Q1844" s="69"/>
      <c r="R1844" s="69"/>
      <c r="S1844" s="1"/>
      <c r="T1844" s="1"/>
    </row>
    <row r="1845" spans="1:20" ht="34.5" customHeight="1">
      <c r="A1845" s="16" t="s">
        <v>339</v>
      </c>
      <c r="B1845" s="14">
        <v>793</v>
      </c>
      <c r="C1845" s="15" t="s">
        <v>167</v>
      </c>
      <c r="D1845" s="15" t="s">
        <v>27</v>
      </c>
      <c r="E1845" s="15" t="s">
        <v>777</v>
      </c>
      <c r="F1845" s="15" t="s">
        <v>340</v>
      </c>
      <c r="G1845" s="70">
        <f>прил4!G2286</f>
        <v>200000</v>
      </c>
      <c r="H1845" s="70">
        <v>0</v>
      </c>
      <c r="I1845" s="70">
        <v>0</v>
      </c>
      <c r="J1845" s="69"/>
      <c r="K1845" s="69"/>
      <c r="L1845" s="69"/>
      <c r="M1845" s="69"/>
      <c r="N1845" s="69"/>
      <c r="O1845" s="69"/>
      <c r="P1845" s="69"/>
      <c r="Q1845" s="69"/>
      <c r="R1845" s="69"/>
      <c r="S1845" s="1"/>
      <c r="T1845" s="1"/>
    </row>
    <row r="1846" spans="1:20" s="18" customFormat="1" ht="93" customHeight="1">
      <c r="A1846" s="130" t="s">
        <v>1513</v>
      </c>
      <c r="B1846" s="83">
        <v>793</v>
      </c>
      <c r="C1846" s="84" t="s">
        <v>167</v>
      </c>
      <c r="D1846" s="84" t="s">
        <v>27</v>
      </c>
      <c r="E1846" s="84" t="s">
        <v>1083</v>
      </c>
      <c r="F1846" s="84"/>
      <c r="G1846" s="70">
        <f>G1847</f>
        <v>2658079.69</v>
      </c>
      <c r="H1846" s="70">
        <f t="shared" ref="H1846:I1846" si="539">H1847</f>
        <v>0</v>
      </c>
      <c r="I1846" s="70">
        <f t="shared" si="539"/>
        <v>0</v>
      </c>
      <c r="J1846" s="173"/>
      <c r="K1846" s="195"/>
      <c r="L1846" s="195"/>
      <c r="M1846" s="195"/>
      <c r="N1846" s="195"/>
      <c r="O1846" s="195"/>
      <c r="P1846" s="195"/>
      <c r="Q1846" s="195"/>
      <c r="R1846" s="195"/>
    </row>
    <row r="1847" spans="1:20" ht="30.75" customHeight="1">
      <c r="A1847" s="82" t="s">
        <v>35</v>
      </c>
      <c r="B1847" s="83">
        <v>793</v>
      </c>
      <c r="C1847" s="84" t="s">
        <v>167</v>
      </c>
      <c r="D1847" s="84" t="s">
        <v>27</v>
      </c>
      <c r="E1847" s="84" t="s">
        <v>1083</v>
      </c>
      <c r="F1847" s="84" t="s">
        <v>36</v>
      </c>
      <c r="G1847" s="70">
        <f t="shared" ref="G1847:I1847" si="540">G1848</f>
        <v>2658079.69</v>
      </c>
      <c r="H1847" s="70">
        <f t="shared" si="540"/>
        <v>0</v>
      </c>
      <c r="I1847" s="70">
        <f t="shared" si="540"/>
        <v>0</v>
      </c>
      <c r="J1847" s="173"/>
      <c r="K1847" s="181"/>
      <c r="L1847" s="181"/>
      <c r="M1847" s="181"/>
      <c r="N1847" s="181"/>
      <c r="O1847" s="181"/>
      <c r="P1847" s="181"/>
      <c r="Q1847" s="181"/>
      <c r="R1847" s="181"/>
      <c r="S1847" s="1"/>
      <c r="T1847" s="1"/>
    </row>
    <row r="1848" spans="1:20" s="18" customFormat="1" ht="34.5" customHeight="1">
      <c r="A1848" s="82" t="s">
        <v>37</v>
      </c>
      <c r="B1848" s="83">
        <v>793</v>
      </c>
      <c r="C1848" s="84" t="s">
        <v>167</v>
      </c>
      <c r="D1848" s="84" t="s">
        <v>27</v>
      </c>
      <c r="E1848" s="84" t="s">
        <v>1083</v>
      </c>
      <c r="F1848" s="84" t="s">
        <v>38</v>
      </c>
      <c r="G1848" s="70">
        <f>прил4!G2224+прил4!G2450</f>
        <v>2658079.69</v>
      </c>
      <c r="H1848" s="70">
        <v>0</v>
      </c>
      <c r="I1848" s="70">
        <v>0</v>
      </c>
      <c r="J1848" s="173"/>
      <c r="K1848" s="195"/>
      <c r="L1848" s="195"/>
      <c r="M1848" s="195"/>
      <c r="N1848" s="195"/>
      <c r="O1848" s="195"/>
      <c r="P1848" s="195"/>
      <c r="Q1848" s="195"/>
      <c r="R1848" s="195"/>
    </row>
    <row r="1849" spans="1:20" s="18" customFormat="1" ht="39" hidden="1" customHeight="1">
      <c r="A1849" s="82" t="s">
        <v>1085</v>
      </c>
      <c r="B1849" s="83">
        <v>793</v>
      </c>
      <c r="C1849" s="84" t="s">
        <v>167</v>
      </c>
      <c r="D1849" s="84" t="s">
        <v>27</v>
      </c>
      <c r="E1849" s="84" t="s">
        <v>1084</v>
      </c>
      <c r="F1849" s="84"/>
      <c r="G1849" s="70">
        <f>G1851</f>
        <v>0</v>
      </c>
      <c r="H1849" s="70">
        <f>H1851</f>
        <v>0</v>
      </c>
      <c r="I1849" s="70">
        <f>I1851</f>
        <v>0</v>
      </c>
      <c r="J1849" s="173"/>
      <c r="K1849" s="195"/>
      <c r="L1849" s="195"/>
      <c r="M1849" s="195"/>
      <c r="N1849" s="195"/>
      <c r="O1849" s="195"/>
      <c r="P1849" s="195"/>
      <c r="Q1849" s="195"/>
      <c r="R1849" s="195"/>
    </row>
    <row r="1850" spans="1:20" s="18" customFormat="1" ht="39" hidden="1" customHeight="1">
      <c r="A1850" s="82" t="s">
        <v>1198</v>
      </c>
      <c r="B1850" s="83">
        <v>793</v>
      </c>
      <c r="C1850" s="84" t="s">
        <v>167</v>
      </c>
      <c r="D1850" s="84" t="s">
        <v>27</v>
      </c>
      <c r="E1850" s="84" t="s">
        <v>1084</v>
      </c>
      <c r="F1850" s="84"/>
      <c r="G1850" s="70">
        <f>G1851</f>
        <v>0</v>
      </c>
      <c r="H1850" s="70">
        <f t="shared" ref="H1850:I1850" si="541">H1851</f>
        <v>0</v>
      </c>
      <c r="I1850" s="70">
        <f t="shared" si="541"/>
        <v>0</v>
      </c>
      <c r="J1850" s="173"/>
      <c r="K1850" s="195"/>
      <c r="L1850" s="195"/>
      <c r="M1850" s="195"/>
      <c r="N1850" s="195"/>
      <c r="O1850" s="195"/>
      <c r="P1850" s="195"/>
      <c r="Q1850" s="195"/>
      <c r="R1850" s="195"/>
    </row>
    <row r="1851" spans="1:20" ht="30.75" hidden="1" customHeight="1">
      <c r="A1851" s="82" t="s">
        <v>35</v>
      </c>
      <c r="B1851" s="83">
        <v>793</v>
      </c>
      <c r="C1851" s="84" t="s">
        <v>167</v>
      </c>
      <c r="D1851" s="84" t="s">
        <v>27</v>
      </c>
      <c r="E1851" s="84" t="s">
        <v>1084</v>
      </c>
      <c r="F1851" s="84" t="s">
        <v>36</v>
      </c>
      <c r="G1851" s="70">
        <f t="shared" ref="G1851:I1851" si="542">G1852</f>
        <v>0</v>
      </c>
      <c r="H1851" s="70">
        <f t="shared" si="542"/>
        <v>0</v>
      </c>
      <c r="I1851" s="70">
        <f t="shared" si="542"/>
        <v>0</v>
      </c>
      <c r="J1851" s="173"/>
      <c r="K1851" s="181"/>
      <c r="L1851" s="181"/>
      <c r="M1851" s="181"/>
      <c r="N1851" s="181"/>
      <c r="O1851" s="181"/>
      <c r="P1851" s="181"/>
      <c r="Q1851" s="181"/>
      <c r="R1851" s="181"/>
      <c r="S1851" s="1"/>
      <c r="T1851" s="1"/>
    </row>
    <row r="1852" spans="1:20" s="18" customFormat="1" ht="34.5" hidden="1" customHeight="1">
      <c r="A1852" s="82" t="s">
        <v>37</v>
      </c>
      <c r="B1852" s="83">
        <v>793</v>
      </c>
      <c r="C1852" s="84" t="s">
        <v>167</v>
      </c>
      <c r="D1852" s="84" t="s">
        <v>27</v>
      </c>
      <c r="E1852" s="84" t="s">
        <v>1084</v>
      </c>
      <c r="F1852" s="84" t="s">
        <v>38</v>
      </c>
      <c r="G1852" s="70">
        <f>прил4!G2228</f>
        <v>0</v>
      </c>
      <c r="H1852" s="70">
        <v>0</v>
      </c>
      <c r="I1852" s="70">
        <v>0</v>
      </c>
      <c r="J1852" s="173"/>
      <c r="K1852" s="195"/>
      <c r="L1852" s="195"/>
      <c r="M1852" s="195"/>
      <c r="N1852" s="195"/>
      <c r="O1852" s="195"/>
      <c r="P1852" s="195"/>
      <c r="Q1852" s="195"/>
      <c r="R1852" s="195"/>
    </row>
    <row r="1853" spans="1:20" s="18" customFormat="1" ht="39" hidden="1" customHeight="1">
      <c r="A1853" s="82" t="s">
        <v>1088</v>
      </c>
      <c r="B1853" s="83">
        <v>793</v>
      </c>
      <c r="C1853" s="84" t="s">
        <v>167</v>
      </c>
      <c r="D1853" s="84" t="s">
        <v>27</v>
      </c>
      <c r="E1853" s="84" t="s">
        <v>1087</v>
      </c>
      <c r="F1853" s="84"/>
      <c r="G1853" s="70">
        <f>G1855</f>
        <v>0</v>
      </c>
      <c r="H1853" s="70">
        <f>H1855</f>
        <v>0</v>
      </c>
      <c r="I1853" s="70">
        <f>I1855</f>
        <v>0</v>
      </c>
      <c r="J1853" s="173"/>
      <c r="K1853" s="195"/>
      <c r="L1853" s="195"/>
      <c r="M1853" s="195"/>
      <c r="N1853" s="195"/>
      <c r="O1853" s="195"/>
      <c r="P1853" s="195"/>
      <c r="Q1853" s="195"/>
      <c r="R1853" s="195"/>
    </row>
    <row r="1854" spans="1:20" s="18" customFormat="1" ht="57" hidden="1" customHeight="1">
      <c r="A1854" s="82" t="s">
        <v>1165</v>
      </c>
      <c r="B1854" s="83">
        <v>793</v>
      </c>
      <c r="C1854" s="84" t="s">
        <v>167</v>
      </c>
      <c r="D1854" s="84" t="s">
        <v>27</v>
      </c>
      <c r="E1854" s="84" t="s">
        <v>1087</v>
      </c>
      <c r="F1854" s="84"/>
      <c r="G1854" s="70">
        <f>G1855+G1858</f>
        <v>0</v>
      </c>
      <c r="H1854" s="70">
        <f t="shared" ref="H1854:I1854" si="543">H1855</f>
        <v>0</v>
      </c>
      <c r="I1854" s="70">
        <f t="shared" si="543"/>
        <v>0</v>
      </c>
      <c r="J1854" s="173"/>
      <c r="K1854" s="195"/>
      <c r="L1854" s="195"/>
      <c r="M1854" s="195"/>
      <c r="N1854" s="195"/>
      <c r="O1854" s="195"/>
      <c r="P1854" s="195"/>
      <c r="Q1854" s="195"/>
      <c r="R1854" s="195"/>
    </row>
    <row r="1855" spans="1:20" ht="30.75" hidden="1" customHeight="1">
      <c r="A1855" s="82" t="s">
        <v>35</v>
      </c>
      <c r="B1855" s="83">
        <v>793</v>
      </c>
      <c r="C1855" s="84" t="s">
        <v>167</v>
      </c>
      <c r="D1855" s="84" t="s">
        <v>27</v>
      </c>
      <c r="E1855" s="84" t="s">
        <v>1087</v>
      </c>
      <c r="F1855" s="84" t="s">
        <v>36</v>
      </c>
      <c r="G1855" s="70">
        <f t="shared" ref="G1855:I1855" si="544">G1856</f>
        <v>0</v>
      </c>
      <c r="H1855" s="70">
        <f t="shared" si="544"/>
        <v>0</v>
      </c>
      <c r="I1855" s="70">
        <f t="shared" si="544"/>
        <v>0</v>
      </c>
      <c r="J1855" s="173"/>
      <c r="K1855" s="181"/>
      <c r="L1855" s="181"/>
      <c r="M1855" s="181"/>
      <c r="N1855" s="181"/>
      <c r="O1855" s="181"/>
      <c r="P1855" s="181"/>
      <c r="Q1855" s="181"/>
      <c r="R1855" s="181"/>
      <c r="S1855" s="1"/>
      <c r="T1855" s="1"/>
    </row>
    <row r="1856" spans="1:20" s="18" customFormat="1" ht="34.5" hidden="1" customHeight="1">
      <c r="A1856" s="82" t="s">
        <v>37</v>
      </c>
      <c r="B1856" s="83">
        <v>793</v>
      </c>
      <c r="C1856" s="84" t="s">
        <v>167</v>
      </c>
      <c r="D1856" s="84" t="s">
        <v>27</v>
      </c>
      <c r="E1856" s="84" t="s">
        <v>1087</v>
      </c>
      <c r="F1856" s="84" t="s">
        <v>38</v>
      </c>
      <c r="G1856" s="70">
        <f>прил4!G2231</f>
        <v>0</v>
      </c>
      <c r="H1856" s="70">
        <v>0</v>
      </c>
      <c r="I1856" s="70">
        <v>0</v>
      </c>
      <c r="J1856" s="173"/>
      <c r="K1856" s="195"/>
      <c r="L1856" s="195"/>
      <c r="M1856" s="195"/>
      <c r="N1856" s="195"/>
      <c r="O1856" s="195"/>
      <c r="P1856" s="195"/>
      <c r="Q1856" s="195"/>
      <c r="R1856" s="195"/>
    </row>
    <row r="1857" spans="1:20" s="18" customFormat="1" ht="39" hidden="1" customHeight="1">
      <c r="A1857" s="82" t="s">
        <v>1090</v>
      </c>
      <c r="B1857" s="83">
        <v>793</v>
      </c>
      <c r="C1857" s="84" t="s">
        <v>167</v>
      </c>
      <c r="D1857" s="84" t="s">
        <v>27</v>
      </c>
      <c r="E1857" s="84" t="s">
        <v>1089</v>
      </c>
      <c r="F1857" s="84"/>
      <c r="G1857" s="70">
        <f>G1861</f>
        <v>0</v>
      </c>
      <c r="H1857" s="70">
        <f>H1861</f>
        <v>0</v>
      </c>
      <c r="I1857" s="70">
        <f>I1861</f>
        <v>0</v>
      </c>
      <c r="J1857" s="173"/>
      <c r="K1857" s="195"/>
      <c r="L1857" s="195"/>
      <c r="M1857" s="195"/>
      <c r="N1857" s="195"/>
      <c r="O1857" s="195"/>
      <c r="P1857" s="195"/>
      <c r="Q1857" s="195"/>
      <c r="R1857" s="195"/>
    </row>
    <row r="1858" spans="1:20" ht="30.75" hidden="1" customHeight="1">
      <c r="A1858" s="16" t="s">
        <v>94</v>
      </c>
      <c r="B1858" s="49">
        <v>793</v>
      </c>
      <c r="C1858" s="15" t="s">
        <v>167</v>
      </c>
      <c r="D1858" s="15" t="s">
        <v>27</v>
      </c>
      <c r="E1858" s="15" t="s">
        <v>1087</v>
      </c>
      <c r="F1858" s="15" t="s">
        <v>338</v>
      </c>
      <c r="G1858" s="70">
        <f t="shared" ref="G1858:I1858" si="545">G1859</f>
        <v>0</v>
      </c>
      <c r="H1858" s="70">
        <f t="shared" si="545"/>
        <v>0</v>
      </c>
      <c r="I1858" s="70">
        <f t="shared" si="545"/>
        <v>0</v>
      </c>
      <c r="J1858" s="172"/>
      <c r="K1858" s="69"/>
      <c r="L1858" s="69"/>
      <c r="M1858" s="69"/>
      <c r="N1858" s="69"/>
      <c r="O1858" s="69"/>
      <c r="P1858" s="69"/>
      <c r="Q1858" s="69"/>
      <c r="R1858" s="69"/>
      <c r="S1858" s="1"/>
      <c r="T1858" s="1"/>
    </row>
    <row r="1859" spans="1:20" s="18" customFormat="1" ht="34.5" hidden="1" customHeight="1">
      <c r="A1859" s="16" t="s">
        <v>339</v>
      </c>
      <c r="B1859" s="49">
        <v>793</v>
      </c>
      <c r="C1859" s="15" t="s">
        <v>167</v>
      </c>
      <c r="D1859" s="15" t="s">
        <v>27</v>
      </c>
      <c r="E1859" s="15" t="s">
        <v>1087</v>
      </c>
      <c r="F1859" s="15" t="s">
        <v>340</v>
      </c>
      <c r="G1859" s="70">
        <f>прил4!G2234</f>
        <v>0</v>
      </c>
      <c r="H1859" s="70">
        <v>0</v>
      </c>
      <c r="I1859" s="70">
        <v>0</v>
      </c>
      <c r="J1859" s="172"/>
      <c r="K1859" s="180"/>
      <c r="L1859" s="180"/>
      <c r="M1859" s="180"/>
      <c r="N1859" s="180"/>
      <c r="O1859" s="180"/>
      <c r="P1859" s="180"/>
      <c r="Q1859" s="180"/>
      <c r="R1859" s="180"/>
    </row>
    <row r="1860" spans="1:20" s="18" customFormat="1" ht="39" hidden="1" customHeight="1">
      <c r="A1860" s="351" t="s">
        <v>1199</v>
      </c>
      <c r="B1860" s="83">
        <v>793</v>
      </c>
      <c r="C1860" s="84" t="s">
        <v>167</v>
      </c>
      <c r="D1860" s="84" t="s">
        <v>27</v>
      </c>
      <c r="E1860" s="84" t="s">
        <v>1089</v>
      </c>
      <c r="F1860" s="84"/>
      <c r="G1860" s="70">
        <f>G1861</f>
        <v>0</v>
      </c>
      <c r="H1860" s="70">
        <f t="shared" ref="H1860:I1860" si="546">H1861</f>
        <v>0</v>
      </c>
      <c r="I1860" s="70">
        <f t="shared" si="546"/>
        <v>0</v>
      </c>
      <c r="J1860" s="173"/>
      <c r="K1860" s="195"/>
      <c r="L1860" s="195"/>
      <c r="M1860" s="195"/>
      <c r="N1860" s="195"/>
      <c r="O1860" s="195"/>
      <c r="P1860" s="195"/>
      <c r="Q1860" s="195"/>
      <c r="R1860" s="195"/>
    </row>
    <row r="1861" spans="1:20" ht="30.75" hidden="1" customHeight="1">
      <c r="A1861" s="82" t="s">
        <v>35</v>
      </c>
      <c r="B1861" s="83">
        <v>793</v>
      </c>
      <c r="C1861" s="84" t="s">
        <v>167</v>
      </c>
      <c r="D1861" s="84" t="s">
        <v>27</v>
      </c>
      <c r="E1861" s="84" t="s">
        <v>1089</v>
      </c>
      <c r="F1861" s="84" t="s">
        <v>36</v>
      </c>
      <c r="G1861" s="70">
        <f t="shared" ref="G1861:I1861" si="547">G1862</f>
        <v>0</v>
      </c>
      <c r="H1861" s="70">
        <f t="shared" si="547"/>
        <v>0</v>
      </c>
      <c r="I1861" s="70">
        <f t="shared" si="547"/>
        <v>0</v>
      </c>
      <c r="J1861" s="173"/>
      <c r="K1861" s="181"/>
      <c r="L1861" s="181"/>
      <c r="M1861" s="181"/>
      <c r="N1861" s="181"/>
      <c r="O1861" s="181"/>
      <c r="P1861" s="181"/>
      <c r="Q1861" s="181"/>
      <c r="R1861" s="181"/>
      <c r="S1861" s="1"/>
      <c r="T1861" s="1"/>
    </row>
    <row r="1862" spans="1:20" s="18" customFormat="1" ht="34.5" hidden="1" customHeight="1">
      <c r="A1862" s="82" t="s">
        <v>37</v>
      </c>
      <c r="B1862" s="83">
        <v>793</v>
      </c>
      <c r="C1862" s="84" t="s">
        <v>167</v>
      </c>
      <c r="D1862" s="84" t="s">
        <v>27</v>
      </c>
      <c r="E1862" s="84" t="s">
        <v>1089</v>
      </c>
      <c r="F1862" s="84" t="s">
        <v>38</v>
      </c>
      <c r="G1862" s="70">
        <f>прил4!G2237</f>
        <v>0</v>
      </c>
      <c r="H1862" s="70">
        <f>прил4!H2237</f>
        <v>0</v>
      </c>
      <c r="I1862" s="70">
        <f>прил4!I2237</f>
        <v>0</v>
      </c>
      <c r="J1862" s="173"/>
      <c r="K1862" s="195"/>
      <c r="L1862" s="195"/>
      <c r="M1862" s="195"/>
      <c r="N1862" s="195"/>
      <c r="O1862" s="195"/>
      <c r="P1862" s="208">
        <f>G1862+G1856+G1852+G1848</f>
        <v>2658079.69</v>
      </c>
      <c r="Q1862" s="195"/>
      <c r="R1862" s="195"/>
    </row>
    <row r="1863" spans="1:20" s="18" customFormat="1" ht="67.5" customHeight="1">
      <c r="A1863" s="351" t="s">
        <v>1514</v>
      </c>
      <c r="B1863" s="83">
        <v>793</v>
      </c>
      <c r="C1863" s="84" t="s">
        <v>167</v>
      </c>
      <c r="D1863" s="84" t="s">
        <v>27</v>
      </c>
      <c r="E1863" s="84" t="s">
        <v>1400</v>
      </c>
      <c r="F1863" s="84"/>
      <c r="G1863" s="70">
        <f>G1864</f>
        <v>1910618.1</v>
      </c>
      <c r="H1863" s="70">
        <f t="shared" ref="H1863:I1863" si="548">H1864</f>
        <v>0</v>
      </c>
      <c r="I1863" s="70">
        <f t="shared" si="548"/>
        <v>0</v>
      </c>
      <c r="J1863" s="173"/>
      <c r="K1863" s="195"/>
      <c r="L1863" s="195"/>
      <c r="M1863" s="195"/>
      <c r="N1863" s="195"/>
      <c r="O1863" s="195"/>
      <c r="P1863" s="195"/>
      <c r="Q1863" s="195"/>
      <c r="R1863" s="195"/>
    </row>
    <row r="1864" spans="1:20" ht="30.75" customHeight="1">
      <c r="A1864" s="82" t="s">
        <v>35</v>
      </c>
      <c r="B1864" s="83">
        <v>793</v>
      </c>
      <c r="C1864" s="84" t="s">
        <v>167</v>
      </c>
      <c r="D1864" s="84" t="s">
        <v>27</v>
      </c>
      <c r="E1864" s="84" t="s">
        <v>1400</v>
      </c>
      <c r="F1864" s="84" t="s">
        <v>36</v>
      </c>
      <c r="G1864" s="70">
        <f t="shared" ref="G1864:I1864" si="549">G1865</f>
        <v>1910618.1</v>
      </c>
      <c r="H1864" s="70">
        <f t="shared" si="549"/>
        <v>0</v>
      </c>
      <c r="I1864" s="70">
        <f t="shared" si="549"/>
        <v>0</v>
      </c>
      <c r="J1864" s="173"/>
      <c r="K1864" s="181"/>
      <c r="L1864" s="181"/>
      <c r="M1864" s="181"/>
      <c r="N1864" s="181"/>
      <c r="O1864" s="181"/>
      <c r="P1864" s="181"/>
      <c r="Q1864" s="181"/>
      <c r="R1864" s="181"/>
      <c r="S1864" s="1"/>
      <c r="T1864" s="1"/>
    </row>
    <row r="1865" spans="1:20" s="18" customFormat="1" ht="34.5" customHeight="1">
      <c r="A1865" s="82" t="s">
        <v>37</v>
      </c>
      <c r="B1865" s="83">
        <v>793</v>
      </c>
      <c r="C1865" s="84" t="s">
        <v>167</v>
      </c>
      <c r="D1865" s="84" t="s">
        <v>27</v>
      </c>
      <c r="E1865" s="84" t="s">
        <v>1400</v>
      </c>
      <c r="F1865" s="84" t="s">
        <v>38</v>
      </c>
      <c r="G1865" s="70">
        <f>прил4!G2298</f>
        <v>1910618.1</v>
      </c>
      <c r="H1865" s="70">
        <f>прил4!H2298</f>
        <v>0</v>
      </c>
      <c r="I1865" s="70">
        <f>прил4!I2298</f>
        <v>0</v>
      </c>
      <c r="J1865" s="173"/>
      <c r="K1865" s="195"/>
      <c r="L1865" s="195"/>
      <c r="M1865" s="195"/>
      <c r="N1865" s="195"/>
      <c r="O1865" s="195"/>
      <c r="P1865" s="208">
        <f>G1865+G1859+G1855+G1851</f>
        <v>1910618.1</v>
      </c>
      <c r="Q1865" s="195"/>
      <c r="R1865" s="195"/>
    </row>
    <row r="1866" spans="1:20" s="18" customFormat="1" ht="65.25" customHeight="1">
      <c r="A1866" s="351" t="s">
        <v>1401</v>
      </c>
      <c r="B1866" s="83">
        <v>793</v>
      </c>
      <c r="C1866" s="84" t="s">
        <v>167</v>
      </c>
      <c r="D1866" s="84" t="s">
        <v>27</v>
      </c>
      <c r="E1866" s="84" t="s">
        <v>1404</v>
      </c>
      <c r="F1866" s="84"/>
      <c r="G1866" s="70">
        <f>G1867</f>
        <v>300000</v>
      </c>
      <c r="H1866" s="70">
        <f t="shared" ref="H1866:I1866" si="550">H1867</f>
        <v>0</v>
      </c>
      <c r="I1866" s="70">
        <f t="shared" si="550"/>
        <v>0</v>
      </c>
      <c r="J1866" s="173"/>
      <c r="K1866" s="195"/>
      <c r="L1866" s="195"/>
      <c r="M1866" s="195"/>
      <c r="N1866" s="195"/>
      <c r="O1866" s="195"/>
      <c r="P1866" s="195"/>
      <c r="Q1866" s="195"/>
      <c r="R1866" s="195"/>
    </row>
    <row r="1867" spans="1:20" ht="30.75" customHeight="1">
      <c r="A1867" s="82" t="s">
        <v>35</v>
      </c>
      <c r="B1867" s="83">
        <v>793</v>
      </c>
      <c r="C1867" s="84" t="s">
        <v>167</v>
      </c>
      <c r="D1867" s="84" t="s">
        <v>27</v>
      </c>
      <c r="E1867" s="84" t="s">
        <v>1404</v>
      </c>
      <c r="F1867" s="84" t="s">
        <v>36</v>
      </c>
      <c r="G1867" s="70">
        <f t="shared" ref="G1867:I1867" si="551">G1868</f>
        <v>300000</v>
      </c>
      <c r="H1867" s="70">
        <f t="shared" si="551"/>
        <v>0</v>
      </c>
      <c r="I1867" s="70">
        <f t="shared" si="551"/>
        <v>0</v>
      </c>
      <c r="J1867" s="173"/>
      <c r="K1867" s="181"/>
      <c r="L1867" s="181"/>
      <c r="M1867" s="181"/>
      <c r="N1867" s="181"/>
      <c r="O1867" s="181"/>
      <c r="P1867" s="181"/>
      <c r="Q1867" s="181"/>
      <c r="R1867" s="181"/>
      <c r="S1867" s="1"/>
      <c r="T1867" s="1"/>
    </row>
    <row r="1868" spans="1:20" s="18" customFormat="1" ht="34.5" customHeight="1">
      <c r="A1868" s="82" t="s">
        <v>37</v>
      </c>
      <c r="B1868" s="83">
        <v>793</v>
      </c>
      <c r="C1868" s="84" t="s">
        <v>167</v>
      </c>
      <c r="D1868" s="84" t="s">
        <v>27</v>
      </c>
      <c r="E1868" s="84" t="s">
        <v>1404</v>
      </c>
      <c r="F1868" s="84" t="s">
        <v>38</v>
      </c>
      <c r="G1868" s="70">
        <f>прил4!G2453+прил4!G2301</f>
        <v>300000</v>
      </c>
      <c r="H1868" s="70">
        <f>прил4!H2343</f>
        <v>0</v>
      </c>
      <c r="I1868" s="70">
        <f>прил4!I2343</f>
        <v>0</v>
      </c>
      <c r="J1868" s="173"/>
      <c r="K1868" s="195"/>
      <c r="L1868" s="195"/>
      <c r="M1868" s="195"/>
      <c r="N1868" s="195"/>
      <c r="O1868" s="195"/>
      <c r="P1868" s="208">
        <f>G1868+G1862+G1858+G1854</f>
        <v>300000</v>
      </c>
      <c r="Q1868" s="195"/>
      <c r="R1868" s="195"/>
    </row>
    <row r="1869" spans="1:20" ht="66" customHeight="1">
      <c r="A1869" s="16" t="s">
        <v>1515</v>
      </c>
      <c r="B1869" s="14">
        <v>793</v>
      </c>
      <c r="C1869" s="15" t="s">
        <v>167</v>
      </c>
      <c r="D1869" s="15" t="s">
        <v>27</v>
      </c>
      <c r="E1869" s="15" t="s">
        <v>1467</v>
      </c>
      <c r="F1869" s="15"/>
      <c r="G1869" s="70">
        <f t="shared" ref="G1869:I1873" si="552">G1870</f>
        <v>92180</v>
      </c>
      <c r="H1869" s="70">
        <f t="shared" si="552"/>
        <v>0</v>
      </c>
      <c r="I1869" s="70">
        <f t="shared" si="552"/>
        <v>0</v>
      </c>
      <c r="J1869" s="69"/>
      <c r="K1869" s="69"/>
      <c r="L1869" s="69"/>
      <c r="M1869" s="69"/>
      <c r="N1869" s="69"/>
      <c r="O1869" s="69"/>
      <c r="P1869" s="69"/>
      <c r="Q1869" s="69"/>
      <c r="R1869" s="69"/>
      <c r="S1869" s="1"/>
      <c r="T1869" s="1"/>
    </row>
    <row r="1870" spans="1:20" ht="34.5" customHeight="1">
      <c r="A1870" s="16" t="s">
        <v>35</v>
      </c>
      <c r="B1870" s="14">
        <v>793</v>
      </c>
      <c r="C1870" s="15" t="s">
        <v>167</v>
      </c>
      <c r="D1870" s="15" t="s">
        <v>27</v>
      </c>
      <c r="E1870" s="15" t="s">
        <v>1467</v>
      </c>
      <c r="F1870" s="15" t="s">
        <v>36</v>
      </c>
      <c r="G1870" s="70">
        <f t="shared" si="552"/>
        <v>92180</v>
      </c>
      <c r="H1870" s="70">
        <f t="shared" si="552"/>
        <v>0</v>
      </c>
      <c r="I1870" s="70">
        <f t="shared" si="552"/>
        <v>0</v>
      </c>
      <c r="J1870" s="69"/>
      <c r="K1870" s="69"/>
      <c r="L1870" s="69"/>
      <c r="M1870" s="69"/>
      <c r="N1870" s="69"/>
      <c r="O1870" s="69"/>
      <c r="P1870" s="69"/>
      <c r="Q1870" s="69"/>
      <c r="R1870" s="69"/>
      <c r="S1870" s="1"/>
      <c r="T1870" s="1"/>
    </row>
    <row r="1871" spans="1:20" ht="34.5" customHeight="1">
      <c r="A1871" s="16" t="s">
        <v>37</v>
      </c>
      <c r="B1871" s="14">
        <v>793</v>
      </c>
      <c r="C1871" s="15" t="s">
        <v>167</v>
      </c>
      <c r="D1871" s="15" t="s">
        <v>27</v>
      </c>
      <c r="E1871" s="15" t="s">
        <v>1467</v>
      </c>
      <c r="F1871" s="15" t="s">
        <v>38</v>
      </c>
      <c r="G1871" s="70">
        <f>прил4!G2304</f>
        <v>92180</v>
      </c>
      <c r="H1871" s="70">
        <v>0</v>
      </c>
      <c r="I1871" s="70">
        <v>0</v>
      </c>
      <c r="J1871" s="69"/>
      <c r="K1871" s="69"/>
      <c r="L1871" s="69"/>
      <c r="M1871" s="69"/>
      <c r="N1871" s="69"/>
      <c r="O1871" s="69"/>
      <c r="P1871" s="69"/>
      <c r="Q1871" s="69"/>
      <c r="R1871" s="69"/>
      <c r="S1871" s="1"/>
      <c r="T1871" s="1"/>
    </row>
    <row r="1872" spans="1:20" ht="56.25" customHeight="1">
      <c r="A1872" s="16" t="s">
        <v>1469</v>
      </c>
      <c r="B1872" s="14">
        <v>793</v>
      </c>
      <c r="C1872" s="15" t="s">
        <v>167</v>
      </c>
      <c r="D1872" s="15" t="s">
        <v>27</v>
      </c>
      <c r="E1872" s="15" t="s">
        <v>1468</v>
      </c>
      <c r="F1872" s="15"/>
      <c r="G1872" s="70">
        <f t="shared" si="552"/>
        <v>390650</v>
      </c>
      <c r="H1872" s="70">
        <f t="shared" si="552"/>
        <v>0</v>
      </c>
      <c r="I1872" s="70">
        <f t="shared" si="552"/>
        <v>0</v>
      </c>
      <c r="J1872" s="69"/>
      <c r="K1872" s="69"/>
      <c r="L1872" s="69"/>
      <c r="M1872" s="69"/>
      <c r="N1872" s="69"/>
      <c r="O1872" s="69"/>
      <c r="P1872" s="69"/>
      <c r="Q1872" s="69"/>
      <c r="R1872" s="69"/>
      <c r="S1872" s="1"/>
      <c r="T1872" s="1"/>
    </row>
    <row r="1873" spans="1:20" ht="34.5" customHeight="1">
      <c r="A1873" s="16" t="s">
        <v>35</v>
      </c>
      <c r="B1873" s="14">
        <v>793</v>
      </c>
      <c r="C1873" s="15" t="s">
        <v>167</v>
      </c>
      <c r="D1873" s="15" t="s">
        <v>27</v>
      </c>
      <c r="E1873" s="15" t="s">
        <v>1468</v>
      </c>
      <c r="F1873" s="15" t="s">
        <v>36</v>
      </c>
      <c r="G1873" s="70">
        <f t="shared" si="552"/>
        <v>390650</v>
      </c>
      <c r="H1873" s="70">
        <f t="shared" si="552"/>
        <v>0</v>
      </c>
      <c r="I1873" s="70">
        <f t="shared" si="552"/>
        <v>0</v>
      </c>
      <c r="J1873" s="69"/>
      <c r="K1873" s="69"/>
      <c r="L1873" s="69"/>
      <c r="M1873" s="69"/>
      <c r="N1873" s="69"/>
      <c r="O1873" s="69"/>
      <c r="P1873" s="69"/>
      <c r="Q1873" s="69"/>
      <c r="R1873" s="69"/>
      <c r="S1873" s="1"/>
      <c r="T1873" s="1"/>
    </row>
    <row r="1874" spans="1:20" ht="34.5" customHeight="1">
      <c r="A1874" s="16" t="s">
        <v>37</v>
      </c>
      <c r="B1874" s="14">
        <v>793</v>
      </c>
      <c r="C1874" s="15" t="s">
        <v>167</v>
      </c>
      <c r="D1874" s="15" t="s">
        <v>27</v>
      </c>
      <c r="E1874" s="15" t="s">
        <v>1468</v>
      </c>
      <c r="F1874" s="15" t="s">
        <v>38</v>
      </c>
      <c r="G1874" s="70">
        <f>прил4!G2307</f>
        <v>390650</v>
      </c>
      <c r="H1874" s="70">
        <v>0</v>
      </c>
      <c r="I1874" s="70">
        <v>0</v>
      </c>
      <c r="J1874" s="69"/>
      <c r="K1874" s="69"/>
      <c r="L1874" s="69"/>
      <c r="M1874" s="69"/>
      <c r="N1874" s="69"/>
      <c r="O1874" s="69"/>
      <c r="P1874" s="69"/>
      <c r="Q1874" s="69"/>
      <c r="R1874" s="69"/>
      <c r="S1874" s="1"/>
      <c r="T1874" s="1"/>
    </row>
    <row r="1875" spans="1:20" ht="45" customHeight="1">
      <c r="A1875" s="16" t="s">
        <v>1332</v>
      </c>
      <c r="B1875" s="14">
        <v>793</v>
      </c>
      <c r="C1875" s="15" t="s">
        <v>167</v>
      </c>
      <c r="D1875" s="15" t="s">
        <v>27</v>
      </c>
      <c r="E1875" s="15" t="s">
        <v>1331</v>
      </c>
      <c r="F1875" s="15"/>
      <c r="G1875" s="70">
        <f t="shared" ref="G1875:I1876" si="553">G1876</f>
        <v>2800000</v>
      </c>
      <c r="H1875" s="70">
        <f t="shared" si="553"/>
        <v>4200000</v>
      </c>
      <c r="I1875" s="70">
        <f t="shared" si="553"/>
        <v>0</v>
      </c>
      <c r="J1875" s="69"/>
      <c r="K1875" s="69"/>
      <c r="L1875" s="69"/>
      <c r="M1875" s="69"/>
      <c r="N1875" s="69"/>
      <c r="O1875" s="69"/>
      <c r="P1875" s="69"/>
      <c r="Q1875" s="69"/>
      <c r="R1875" s="69"/>
      <c r="S1875" s="1"/>
      <c r="T1875" s="1"/>
    </row>
    <row r="1876" spans="1:20" ht="34.5" customHeight="1">
      <c r="A1876" s="16" t="s">
        <v>94</v>
      </c>
      <c r="B1876" s="14">
        <v>793</v>
      </c>
      <c r="C1876" s="15" t="s">
        <v>167</v>
      </c>
      <c r="D1876" s="15" t="s">
        <v>27</v>
      </c>
      <c r="E1876" s="15" t="s">
        <v>1331</v>
      </c>
      <c r="F1876" s="15" t="s">
        <v>338</v>
      </c>
      <c r="G1876" s="70">
        <f t="shared" si="553"/>
        <v>2800000</v>
      </c>
      <c r="H1876" s="70">
        <f t="shared" si="553"/>
        <v>4200000</v>
      </c>
      <c r="I1876" s="70">
        <f t="shared" si="553"/>
        <v>0</v>
      </c>
      <c r="J1876" s="69"/>
      <c r="K1876" s="69"/>
      <c r="L1876" s="69"/>
      <c r="M1876" s="69"/>
      <c r="N1876" s="69"/>
      <c r="O1876" s="69"/>
      <c r="P1876" s="69"/>
      <c r="Q1876" s="69"/>
      <c r="R1876" s="69"/>
      <c r="S1876" s="1"/>
      <c r="T1876" s="1"/>
    </row>
    <row r="1877" spans="1:20" ht="34.5" customHeight="1">
      <c r="A1877" s="16" t="s">
        <v>339</v>
      </c>
      <c r="B1877" s="14">
        <v>793</v>
      </c>
      <c r="C1877" s="15" t="s">
        <v>167</v>
      </c>
      <c r="D1877" s="15" t="s">
        <v>27</v>
      </c>
      <c r="E1877" s="15" t="s">
        <v>1331</v>
      </c>
      <c r="F1877" s="15" t="s">
        <v>340</v>
      </c>
      <c r="G1877" s="70">
        <f>прил4!G2295</f>
        <v>2800000</v>
      </c>
      <c r="H1877" s="70">
        <v>4200000</v>
      </c>
      <c r="I1877" s="70">
        <v>0</v>
      </c>
      <c r="J1877" s="69"/>
      <c r="K1877" s="69"/>
      <c r="L1877" s="69"/>
      <c r="M1877" s="69"/>
      <c r="N1877" s="69"/>
      <c r="O1877" s="69"/>
      <c r="P1877" s="69"/>
      <c r="Q1877" s="69"/>
      <c r="R1877" s="69"/>
      <c r="S1877" s="1"/>
      <c r="T1877" s="1"/>
    </row>
    <row r="1878" spans="1:20" ht="45" customHeight="1">
      <c r="A1878" s="37" t="s">
        <v>1317</v>
      </c>
      <c r="B1878" s="49">
        <v>793</v>
      </c>
      <c r="C1878" s="15" t="s">
        <v>167</v>
      </c>
      <c r="D1878" s="15" t="s">
        <v>167</v>
      </c>
      <c r="E1878" s="15" t="s">
        <v>582</v>
      </c>
      <c r="F1878" s="15"/>
      <c r="G1878" s="70">
        <f>G1879</f>
        <v>0</v>
      </c>
      <c r="H1878" s="70">
        <f t="shared" ref="H1878:I1879" si="554">H1879</f>
        <v>0</v>
      </c>
      <c r="I1878" s="70">
        <f t="shared" si="554"/>
        <v>0</v>
      </c>
      <c r="J1878" s="332"/>
      <c r="K1878" s="69"/>
      <c r="L1878" s="69"/>
      <c r="M1878" s="69"/>
      <c r="N1878" s="69"/>
      <c r="O1878" s="69"/>
      <c r="P1878" s="69"/>
      <c r="Q1878" s="69"/>
      <c r="R1878" s="69"/>
      <c r="S1878" s="1"/>
      <c r="T1878" s="1"/>
    </row>
    <row r="1879" spans="1:20" ht="34.5" customHeight="1">
      <c r="A1879" s="16" t="s">
        <v>94</v>
      </c>
      <c r="B1879" s="49">
        <v>793</v>
      </c>
      <c r="C1879" s="15" t="s">
        <v>167</v>
      </c>
      <c r="D1879" s="15" t="s">
        <v>167</v>
      </c>
      <c r="E1879" s="15" t="s">
        <v>582</v>
      </c>
      <c r="F1879" s="15" t="s">
        <v>338</v>
      </c>
      <c r="G1879" s="70">
        <f>G1880</f>
        <v>0</v>
      </c>
      <c r="H1879" s="70">
        <f t="shared" si="554"/>
        <v>0</v>
      </c>
      <c r="I1879" s="70">
        <f t="shared" si="554"/>
        <v>0</v>
      </c>
      <c r="J1879" s="332"/>
      <c r="K1879" s="69"/>
      <c r="L1879" s="69"/>
      <c r="M1879" s="69"/>
      <c r="N1879" s="69"/>
      <c r="O1879" s="69"/>
      <c r="P1879" s="69"/>
      <c r="Q1879" s="69"/>
      <c r="R1879" s="69"/>
      <c r="S1879" s="1"/>
      <c r="T1879" s="1"/>
    </row>
    <row r="1880" spans="1:20" ht="31.5" customHeight="1">
      <c r="A1880" s="16" t="s">
        <v>339</v>
      </c>
      <c r="B1880" s="49">
        <v>793</v>
      </c>
      <c r="C1880" s="15" t="s">
        <v>167</v>
      </c>
      <c r="D1880" s="15" t="s">
        <v>167</v>
      </c>
      <c r="E1880" s="15" t="s">
        <v>582</v>
      </c>
      <c r="F1880" s="15" t="s">
        <v>340</v>
      </c>
      <c r="G1880" s="70">
        <f>прил4!G2574</f>
        <v>0</v>
      </c>
      <c r="H1880" s="70">
        <v>0</v>
      </c>
      <c r="I1880" s="70">
        <v>0</v>
      </c>
      <c r="J1880" s="332"/>
      <c r="K1880" s="69"/>
      <c r="L1880" s="69"/>
      <c r="M1880" s="69"/>
      <c r="N1880" s="69"/>
      <c r="O1880" s="69"/>
      <c r="P1880" s="69"/>
      <c r="Q1880" s="69"/>
      <c r="R1880" s="69"/>
      <c r="S1880" s="1"/>
      <c r="T1880" s="1"/>
    </row>
    <row r="1881" spans="1:20" ht="63" customHeight="1">
      <c r="A1881" s="37" t="s">
        <v>680</v>
      </c>
      <c r="B1881" s="49">
        <v>793</v>
      </c>
      <c r="C1881" s="15" t="s">
        <v>167</v>
      </c>
      <c r="D1881" s="15" t="s">
        <v>167</v>
      </c>
      <c r="E1881" s="15" t="s">
        <v>687</v>
      </c>
      <c r="F1881" s="15"/>
      <c r="G1881" s="70">
        <f>G1882</f>
        <v>1305962.3400000001</v>
      </c>
      <c r="H1881" s="70">
        <f t="shared" ref="H1881:I1882" si="555">H1882</f>
        <v>0</v>
      </c>
      <c r="I1881" s="70">
        <f t="shared" si="555"/>
        <v>0</v>
      </c>
      <c r="J1881" s="332"/>
      <c r="K1881" s="69"/>
      <c r="L1881" s="69"/>
      <c r="M1881" s="69"/>
      <c r="N1881" s="69"/>
      <c r="O1881" s="69"/>
      <c r="P1881" s="69"/>
      <c r="Q1881" s="69"/>
      <c r="R1881" s="69"/>
      <c r="S1881" s="1"/>
      <c r="T1881" s="1"/>
    </row>
    <row r="1882" spans="1:20" ht="34.5" customHeight="1">
      <c r="A1882" s="16" t="s">
        <v>94</v>
      </c>
      <c r="B1882" s="49">
        <v>793</v>
      </c>
      <c r="C1882" s="15" t="s">
        <v>167</v>
      </c>
      <c r="D1882" s="15" t="s">
        <v>167</v>
      </c>
      <c r="E1882" s="15" t="s">
        <v>687</v>
      </c>
      <c r="F1882" s="15" t="s">
        <v>338</v>
      </c>
      <c r="G1882" s="70">
        <f>G1883</f>
        <v>1305962.3400000001</v>
      </c>
      <c r="H1882" s="70">
        <f t="shared" si="555"/>
        <v>0</v>
      </c>
      <c r="I1882" s="70">
        <f t="shared" si="555"/>
        <v>0</v>
      </c>
      <c r="J1882" s="332"/>
      <c r="K1882" s="69"/>
      <c r="L1882" s="69"/>
      <c r="M1882" s="69"/>
      <c r="N1882" s="69"/>
      <c r="O1882" s="69"/>
      <c r="P1882" s="69"/>
      <c r="Q1882" s="69"/>
      <c r="R1882" s="69"/>
      <c r="S1882" s="1"/>
      <c r="T1882" s="1"/>
    </row>
    <row r="1883" spans="1:20" ht="31.5" customHeight="1">
      <c r="A1883" s="16" t="s">
        <v>339</v>
      </c>
      <c r="B1883" s="49">
        <v>793</v>
      </c>
      <c r="C1883" s="15" t="s">
        <v>167</v>
      </c>
      <c r="D1883" s="15" t="s">
        <v>167</v>
      </c>
      <c r="E1883" s="15" t="s">
        <v>687</v>
      </c>
      <c r="F1883" s="15" t="s">
        <v>340</v>
      </c>
      <c r="G1883" s="70">
        <f>прил4!G3362</f>
        <v>1305962.3400000001</v>
      </c>
      <c r="H1883" s="70">
        <f>прил4!H3362</f>
        <v>0</v>
      </c>
      <c r="I1883" s="70">
        <f>прил4!I3362</f>
        <v>0</v>
      </c>
      <c r="J1883" s="332"/>
      <c r="K1883" s="69"/>
      <c r="L1883" s="69"/>
      <c r="M1883" s="69"/>
      <c r="N1883" s="69"/>
      <c r="O1883" s="69"/>
      <c r="P1883" s="69"/>
      <c r="Q1883" s="69"/>
      <c r="R1883" s="69"/>
      <c r="S1883" s="1"/>
      <c r="T1883" s="1"/>
    </row>
    <row r="1884" spans="1:20" ht="66" customHeight="1">
      <c r="A1884" s="37" t="s">
        <v>786</v>
      </c>
      <c r="B1884" s="49">
        <v>793</v>
      </c>
      <c r="C1884" s="15" t="s">
        <v>167</v>
      </c>
      <c r="D1884" s="15" t="s">
        <v>167</v>
      </c>
      <c r="E1884" s="15" t="s">
        <v>686</v>
      </c>
      <c r="F1884" s="15"/>
      <c r="G1884" s="70">
        <f>G1885</f>
        <v>1345000</v>
      </c>
      <c r="H1884" s="70">
        <f t="shared" ref="H1884:I1885" si="556">H1885</f>
        <v>0</v>
      </c>
      <c r="I1884" s="70">
        <f t="shared" si="556"/>
        <v>0</v>
      </c>
      <c r="J1884" s="332"/>
      <c r="K1884" s="69"/>
      <c r="L1884" s="69"/>
      <c r="M1884" s="69"/>
      <c r="N1884" s="69"/>
      <c r="O1884" s="69"/>
      <c r="P1884" s="69"/>
      <c r="Q1884" s="69"/>
      <c r="R1884" s="69"/>
      <c r="S1884" s="1"/>
      <c r="T1884" s="1"/>
    </row>
    <row r="1885" spans="1:20" ht="27.75" customHeight="1">
      <c r="A1885" s="16" t="s">
        <v>94</v>
      </c>
      <c r="B1885" s="49">
        <v>793</v>
      </c>
      <c r="C1885" s="15" t="s">
        <v>167</v>
      </c>
      <c r="D1885" s="15" t="s">
        <v>167</v>
      </c>
      <c r="E1885" s="15" t="s">
        <v>686</v>
      </c>
      <c r="F1885" s="15" t="s">
        <v>338</v>
      </c>
      <c r="G1885" s="70">
        <f>G1886</f>
        <v>1345000</v>
      </c>
      <c r="H1885" s="70">
        <f t="shared" si="556"/>
        <v>0</v>
      </c>
      <c r="I1885" s="70">
        <f t="shared" si="556"/>
        <v>0</v>
      </c>
      <c r="J1885" s="332"/>
      <c r="K1885" s="69"/>
      <c r="L1885" s="69"/>
      <c r="M1885" s="69"/>
      <c r="N1885" s="69"/>
      <c r="O1885" s="69"/>
      <c r="P1885" s="69"/>
      <c r="Q1885" s="69"/>
      <c r="R1885" s="69"/>
      <c r="S1885" s="1"/>
      <c r="T1885" s="1"/>
    </row>
    <row r="1886" spans="1:20" ht="31.5" customHeight="1">
      <c r="A1886" s="16" t="s">
        <v>339</v>
      </c>
      <c r="B1886" s="49">
        <v>793</v>
      </c>
      <c r="C1886" s="15" t="s">
        <v>167</v>
      </c>
      <c r="D1886" s="15" t="s">
        <v>167</v>
      </c>
      <c r="E1886" s="15" t="s">
        <v>686</v>
      </c>
      <c r="F1886" s="15" t="s">
        <v>340</v>
      </c>
      <c r="G1886" s="70">
        <f>прил4!G2571</f>
        <v>1345000</v>
      </c>
      <c r="H1886" s="70">
        <f>прил4!H2571</f>
        <v>0</v>
      </c>
      <c r="I1886" s="70">
        <f>прил4!I2571</f>
        <v>0</v>
      </c>
      <c r="J1886" s="332"/>
      <c r="K1886" s="69"/>
      <c r="L1886" s="69"/>
      <c r="M1886" s="69"/>
      <c r="N1886" s="69"/>
      <c r="O1886" s="69"/>
      <c r="P1886" s="69"/>
      <c r="Q1886" s="69"/>
      <c r="R1886" s="69"/>
      <c r="S1886" s="1"/>
      <c r="T1886" s="1"/>
    </row>
    <row r="1887" spans="1:20" ht="39.6">
      <c r="A1887" s="16" t="s">
        <v>1493</v>
      </c>
      <c r="B1887" s="49">
        <v>793</v>
      </c>
      <c r="C1887" s="15" t="s">
        <v>167</v>
      </c>
      <c r="D1887" s="15" t="s">
        <v>27</v>
      </c>
      <c r="E1887" s="15" t="s">
        <v>1492</v>
      </c>
      <c r="F1887" s="15"/>
      <c r="G1887" s="70">
        <f>G1888</f>
        <v>977300000</v>
      </c>
      <c r="H1887" s="70">
        <f t="shared" ref="G1887:I1888" si="557">H1888</f>
        <v>0</v>
      </c>
      <c r="I1887" s="70">
        <f t="shared" si="557"/>
        <v>0</v>
      </c>
      <c r="J1887" s="172"/>
      <c r="K1887" s="69"/>
      <c r="L1887" s="69"/>
      <c r="M1887" s="69"/>
      <c r="N1887" s="69"/>
      <c r="O1887" s="69"/>
      <c r="P1887" s="69"/>
      <c r="Q1887" s="69"/>
      <c r="R1887" s="69"/>
      <c r="S1887" s="1"/>
      <c r="T1887" s="1"/>
    </row>
    <row r="1888" spans="1:20" ht="26.4">
      <c r="A1888" s="16" t="s">
        <v>94</v>
      </c>
      <c r="B1888" s="49">
        <v>793</v>
      </c>
      <c r="C1888" s="15" t="s">
        <v>167</v>
      </c>
      <c r="D1888" s="15" t="s">
        <v>27</v>
      </c>
      <c r="E1888" s="15" t="s">
        <v>1254</v>
      </c>
      <c r="F1888" s="15" t="s">
        <v>338</v>
      </c>
      <c r="G1888" s="70">
        <f t="shared" si="557"/>
        <v>977300000</v>
      </c>
      <c r="H1888" s="70">
        <f t="shared" si="557"/>
        <v>0</v>
      </c>
      <c r="I1888" s="70">
        <f t="shared" si="557"/>
        <v>0</v>
      </c>
      <c r="J1888" s="172"/>
      <c r="K1888" s="69"/>
      <c r="L1888" s="69"/>
      <c r="M1888" s="69"/>
      <c r="N1888" s="69"/>
      <c r="O1888" s="69"/>
      <c r="P1888" s="69"/>
      <c r="Q1888" s="69"/>
      <c r="R1888" s="69"/>
      <c r="S1888" s="1"/>
      <c r="T1888" s="1"/>
    </row>
    <row r="1889" spans="1:20">
      <c r="A1889" s="16" t="s">
        <v>339</v>
      </c>
      <c r="B1889" s="49">
        <v>793</v>
      </c>
      <c r="C1889" s="15" t="s">
        <v>167</v>
      </c>
      <c r="D1889" s="15" t="s">
        <v>27</v>
      </c>
      <c r="E1889" s="15" t="s">
        <v>1254</v>
      </c>
      <c r="F1889" s="15" t="s">
        <v>340</v>
      </c>
      <c r="G1889" s="70">
        <f>прил4!G2215</f>
        <v>977300000</v>
      </c>
      <c r="H1889" s="70">
        <v>0</v>
      </c>
      <c r="I1889" s="70">
        <v>0</v>
      </c>
      <c r="J1889" s="172"/>
      <c r="K1889" s="69"/>
      <c r="L1889" s="69"/>
      <c r="M1889" s="69"/>
      <c r="N1889" s="69"/>
      <c r="O1889" s="69"/>
      <c r="P1889" s="69"/>
      <c r="Q1889" s="69"/>
      <c r="R1889" s="69"/>
      <c r="S1889" s="1"/>
      <c r="T1889" s="1"/>
    </row>
    <row r="1890" spans="1:20" ht="34.5" customHeight="1">
      <c r="A1890" s="16" t="s">
        <v>1520</v>
      </c>
      <c r="B1890" s="14">
        <v>793</v>
      </c>
      <c r="C1890" s="15" t="s">
        <v>167</v>
      </c>
      <c r="D1890" s="15" t="s">
        <v>27</v>
      </c>
      <c r="E1890" s="15" t="s">
        <v>1519</v>
      </c>
      <c r="F1890" s="15"/>
      <c r="G1890" s="70">
        <f t="shared" ref="G1890:I1894" si="558">G1891</f>
        <v>25000</v>
      </c>
      <c r="H1890" s="70">
        <f t="shared" si="558"/>
        <v>0</v>
      </c>
      <c r="I1890" s="70">
        <f t="shared" si="558"/>
        <v>0</v>
      </c>
      <c r="J1890" s="69"/>
      <c r="K1890" s="69"/>
      <c r="L1890" s="69"/>
      <c r="M1890" s="69"/>
      <c r="N1890" s="69"/>
      <c r="O1890" s="69"/>
      <c r="P1890" s="69"/>
      <c r="Q1890" s="69"/>
      <c r="R1890" s="69"/>
      <c r="S1890" s="1"/>
      <c r="T1890" s="1"/>
    </row>
    <row r="1891" spans="1:20" ht="34.5" customHeight="1">
      <c r="A1891" s="16" t="s">
        <v>35</v>
      </c>
      <c r="B1891" s="14">
        <v>793</v>
      </c>
      <c r="C1891" s="15" t="s">
        <v>167</v>
      </c>
      <c r="D1891" s="15" t="s">
        <v>27</v>
      </c>
      <c r="E1891" s="15" t="s">
        <v>1519</v>
      </c>
      <c r="F1891" s="15" t="s">
        <v>36</v>
      </c>
      <c r="G1891" s="70">
        <f t="shared" si="558"/>
        <v>25000</v>
      </c>
      <c r="H1891" s="70">
        <f t="shared" si="558"/>
        <v>0</v>
      </c>
      <c r="I1891" s="70">
        <f t="shared" si="558"/>
        <v>0</v>
      </c>
      <c r="J1891" s="69"/>
      <c r="K1891" s="69"/>
      <c r="L1891" s="69"/>
      <c r="M1891" s="69"/>
      <c r="N1891" s="69"/>
      <c r="O1891" s="69"/>
      <c r="P1891" s="69"/>
      <c r="Q1891" s="69"/>
      <c r="R1891" s="69"/>
      <c r="S1891" s="1"/>
      <c r="T1891" s="1"/>
    </row>
    <row r="1892" spans="1:20" ht="34.5" customHeight="1">
      <c r="A1892" s="16" t="s">
        <v>37</v>
      </c>
      <c r="B1892" s="14">
        <v>793</v>
      </c>
      <c r="C1892" s="15" t="s">
        <v>167</v>
      </c>
      <c r="D1892" s="15" t="s">
        <v>27</v>
      </c>
      <c r="E1892" s="15" t="s">
        <v>1519</v>
      </c>
      <c r="F1892" s="15" t="s">
        <v>38</v>
      </c>
      <c r="G1892" s="70">
        <f>прил4!G2289</f>
        <v>25000</v>
      </c>
      <c r="H1892" s="70">
        <v>0</v>
      </c>
      <c r="I1892" s="70">
        <v>0</v>
      </c>
      <c r="J1892" s="69"/>
      <c r="K1892" s="69"/>
      <c r="L1892" s="69"/>
      <c r="M1892" s="69"/>
      <c r="N1892" s="69"/>
      <c r="O1892" s="69"/>
      <c r="P1892" s="69"/>
      <c r="Q1892" s="69"/>
      <c r="R1892" s="69"/>
      <c r="S1892" s="1"/>
      <c r="T1892" s="1"/>
    </row>
    <row r="1893" spans="1:20" ht="34.5" customHeight="1">
      <c r="A1893" s="16" t="s">
        <v>1522</v>
      </c>
      <c r="B1893" s="14">
        <v>793</v>
      </c>
      <c r="C1893" s="15" t="s">
        <v>167</v>
      </c>
      <c r="D1893" s="15" t="s">
        <v>27</v>
      </c>
      <c r="E1893" s="15" t="s">
        <v>1521</v>
      </c>
      <c r="F1893" s="15"/>
      <c r="G1893" s="70">
        <f t="shared" si="558"/>
        <v>129248.57</v>
      </c>
      <c r="H1893" s="70">
        <f t="shared" si="558"/>
        <v>0</v>
      </c>
      <c r="I1893" s="70">
        <f t="shared" si="558"/>
        <v>0</v>
      </c>
      <c r="J1893" s="69"/>
      <c r="K1893" s="69"/>
      <c r="L1893" s="69"/>
      <c r="M1893" s="69"/>
      <c r="N1893" s="69"/>
      <c r="O1893" s="69"/>
      <c r="P1893" s="69"/>
      <c r="Q1893" s="69"/>
      <c r="R1893" s="69"/>
      <c r="S1893" s="1"/>
      <c r="T1893" s="1"/>
    </row>
    <row r="1894" spans="1:20" ht="34.5" customHeight="1">
      <c r="A1894" s="16" t="s">
        <v>35</v>
      </c>
      <c r="B1894" s="14">
        <v>793</v>
      </c>
      <c r="C1894" s="15" t="s">
        <v>167</v>
      </c>
      <c r="D1894" s="15" t="s">
        <v>27</v>
      </c>
      <c r="E1894" s="15" t="s">
        <v>1521</v>
      </c>
      <c r="F1894" s="15" t="s">
        <v>36</v>
      </c>
      <c r="G1894" s="70">
        <f t="shared" si="558"/>
        <v>129248.57</v>
      </c>
      <c r="H1894" s="70">
        <f t="shared" si="558"/>
        <v>0</v>
      </c>
      <c r="I1894" s="70">
        <f t="shared" si="558"/>
        <v>0</v>
      </c>
      <c r="J1894" s="69"/>
      <c r="K1894" s="69"/>
      <c r="L1894" s="69"/>
      <c r="M1894" s="69"/>
      <c r="N1894" s="69"/>
      <c r="O1894" s="69"/>
      <c r="P1894" s="69"/>
      <c r="Q1894" s="69"/>
      <c r="R1894" s="69"/>
      <c r="S1894" s="1"/>
      <c r="T1894" s="1"/>
    </row>
    <row r="1895" spans="1:20" ht="34.5" customHeight="1">
      <c r="A1895" s="16" t="s">
        <v>37</v>
      </c>
      <c r="B1895" s="14">
        <v>793</v>
      </c>
      <c r="C1895" s="15" t="s">
        <v>167</v>
      </c>
      <c r="D1895" s="15" t="s">
        <v>27</v>
      </c>
      <c r="E1895" s="15" t="s">
        <v>1521</v>
      </c>
      <c r="F1895" s="15" t="s">
        <v>38</v>
      </c>
      <c r="G1895" s="70">
        <f>прил4!G2292</f>
        <v>129248.57</v>
      </c>
      <c r="H1895" s="70">
        <v>0</v>
      </c>
      <c r="I1895" s="70">
        <v>0</v>
      </c>
      <c r="J1895" s="69"/>
      <c r="K1895" s="69"/>
      <c r="L1895" s="69"/>
      <c r="M1895" s="69"/>
      <c r="N1895" s="69"/>
      <c r="O1895" s="69"/>
      <c r="P1895" s="69"/>
      <c r="Q1895" s="69"/>
      <c r="R1895" s="69"/>
      <c r="S1895" s="1"/>
      <c r="T1895" s="1"/>
    </row>
    <row r="1896" spans="1:20" s="233" customFormat="1" ht="31.5" customHeight="1">
      <c r="A1896" s="107" t="s">
        <v>1145</v>
      </c>
      <c r="B1896" s="36" t="s">
        <v>92</v>
      </c>
      <c r="C1896" s="36" t="s">
        <v>68</v>
      </c>
      <c r="D1896" s="36" t="s">
        <v>18</v>
      </c>
      <c r="E1896" s="36" t="s">
        <v>280</v>
      </c>
      <c r="F1896" s="75"/>
      <c r="G1896" s="71">
        <f>G1897+G1900+G1903+G1909+G1924+G1915+G1918+G1906+G1912+G1921</f>
        <v>17752734.84</v>
      </c>
      <c r="H1896" s="71">
        <f t="shared" ref="H1896:I1896" si="559">H1897+H1900+H1903+H1909+H1924+H1915+H1918+H1906+H1912</f>
        <v>28833514.579999998</v>
      </c>
      <c r="I1896" s="71">
        <f t="shared" si="559"/>
        <v>28833514.57</v>
      </c>
      <c r="J1896" s="230" t="s">
        <v>449</v>
      </c>
      <c r="P1896" s="171"/>
      <c r="Q1896" s="230"/>
      <c r="R1896" s="230"/>
      <c r="S1896" s="230"/>
      <c r="T1896" s="2">
        <f>прил4!G1360+прил4!G1458+прил4!G2727+прил4!N2760+прил4!N2786</f>
        <v>1411812.0299999998</v>
      </c>
    </row>
    <row r="1897" spans="1:20" s="43" customFormat="1" ht="52.8">
      <c r="A1897" s="16" t="s">
        <v>1386</v>
      </c>
      <c r="B1897" s="15" t="s">
        <v>92</v>
      </c>
      <c r="C1897" s="15" t="s">
        <v>68</v>
      </c>
      <c r="D1897" s="15" t="s">
        <v>18</v>
      </c>
      <c r="E1897" s="15" t="s">
        <v>284</v>
      </c>
      <c r="F1897" s="39"/>
      <c r="G1897" s="87">
        <f t="shared" ref="G1897:I1898" si="560">G1898</f>
        <v>1701805.23</v>
      </c>
      <c r="H1897" s="87">
        <f t="shared" si="560"/>
        <v>732355.32</v>
      </c>
      <c r="I1897" s="87">
        <f t="shared" si="560"/>
        <v>732355.32</v>
      </c>
      <c r="J1897" s="109" t="s">
        <v>463</v>
      </c>
      <c r="P1897" s="109"/>
      <c r="Q1897" s="109"/>
      <c r="R1897" s="109"/>
      <c r="S1897" s="109"/>
      <c r="T1897" s="109">
        <f>G1896-T1896</f>
        <v>16340922.810000001</v>
      </c>
    </row>
    <row r="1898" spans="1:20" s="43" customFormat="1">
      <c r="A1898" s="16" t="s">
        <v>144</v>
      </c>
      <c r="B1898" s="15" t="s">
        <v>92</v>
      </c>
      <c r="C1898" s="15" t="s">
        <v>68</v>
      </c>
      <c r="D1898" s="15" t="s">
        <v>18</v>
      </c>
      <c r="E1898" s="15" t="s">
        <v>284</v>
      </c>
      <c r="F1898" s="15" t="s">
        <v>145</v>
      </c>
      <c r="G1898" s="87">
        <f t="shared" si="560"/>
        <v>1701805.23</v>
      </c>
      <c r="H1898" s="87">
        <f t="shared" si="560"/>
        <v>732355.32</v>
      </c>
      <c r="I1898" s="87">
        <f t="shared" si="560"/>
        <v>732355.32</v>
      </c>
      <c r="J1898" s="109" t="s">
        <v>464</v>
      </c>
      <c r="P1898" s="109"/>
      <c r="Q1898" s="109"/>
      <c r="R1898" s="109"/>
      <c r="S1898" s="109"/>
      <c r="T1898" s="109"/>
    </row>
    <row r="1899" spans="1:20" s="43" customFormat="1">
      <c r="A1899" s="16" t="s">
        <v>344</v>
      </c>
      <c r="B1899" s="15" t="s">
        <v>92</v>
      </c>
      <c r="C1899" s="15" t="s">
        <v>68</v>
      </c>
      <c r="D1899" s="15" t="s">
        <v>18</v>
      </c>
      <c r="E1899" s="15" t="s">
        <v>284</v>
      </c>
      <c r="F1899" s="15" t="s">
        <v>345</v>
      </c>
      <c r="G1899" s="87">
        <f>прил4!G1363+прил4!G2730+прил4!G1461+прил4!G3368+прил4!G2888</f>
        <v>1701805.23</v>
      </c>
      <c r="H1899" s="87">
        <f>прил4!H1363+прил4!H2730+прил4!H1461+прил4!H3368</f>
        <v>732355.32</v>
      </c>
      <c r="I1899" s="87">
        <f>прил4!I1363+прил4!I2730+прил4!I1461+прил4!I3368</f>
        <v>732355.32</v>
      </c>
      <c r="J1899" s="109" t="s">
        <v>465</v>
      </c>
      <c r="P1899" s="109"/>
      <c r="Q1899" s="109"/>
      <c r="R1899" s="109"/>
      <c r="S1899" s="109"/>
      <c r="T1899" s="109"/>
    </row>
    <row r="1900" spans="1:20" s="28" customFormat="1" ht="54" hidden="1" customHeight="1">
      <c r="A1900" s="16" t="s">
        <v>346</v>
      </c>
      <c r="B1900" s="14">
        <v>793</v>
      </c>
      <c r="C1900" s="15" t="s">
        <v>68</v>
      </c>
      <c r="D1900" s="15" t="s">
        <v>69</v>
      </c>
      <c r="E1900" s="15" t="s">
        <v>362</v>
      </c>
      <c r="F1900" s="39"/>
      <c r="G1900" s="87">
        <f t="shared" ref="G1900:I1901" si="561">G1901</f>
        <v>0</v>
      </c>
      <c r="H1900" s="87">
        <f t="shared" si="561"/>
        <v>0</v>
      </c>
      <c r="I1900" s="87">
        <f t="shared" si="561"/>
        <v>0</v>
      </c>
      <c r="J1900" s="109" t="s">
        <v>466</v>
      </c>
      <c r="P1900" s="109"/>
      <c r="Q1900" s="109"/>
      <c r="R1900" s="109"/>
      <c r="S1900" s="109"/>
      <c r="T1900" s="109"/>
    </row>
    <row r="1901" spans="1:20" s="28" customFormat="1" ht="27" hidden="1" customHeight="1">
      <c r="A1901" s="16" t="s">
        <v>62</v>
      </c>
      <c r="B1901" s="14">
        <v>793</v>
      </c>
      <c r="C1901" s="15" t="s">
        <v>68</v>
      </c>
      <c r="D1901" s="15" t="s">
        <v>69</v>
      </c>
      <c r="E1901" s="15" t="s">
        <v>362</v>
      </c>
      <c r="F1901" s="15" t="s">
        <v>63</v>
      </c>
      <c r="G1901" s="87">
        <f t="shared" si="561"/>
        <v>0</v>
      </c>
      <c r="H1901" s="87">
        <f t="shared" si="561"/>
        <v>0</v>
      </c>
      <c r="I1901" s="87">
        <f t="shared" si="561"/>
        <v>0</v>
      </c>
      <c r="J1901" s="109">
        <v>10872600</v>
      </c>
      <c r="P1901" s="109"/>
      <c r="Q1901" s="109"/>
      <c r="R1901" s="109"/>
      <c r="S1901" s="109"/>
      <c r="T1901" s="109"/>
    </row>
    <row r="1902" spans="1:20" ht="39.6" hidden="1">
      <c r="A1902" s="16" t="s">
        <v>332</v>
      </c>
      <c r="B1902" s="14">
        <v>793</v>
      </c>
      <c r="C1902" s="15" t="s">
        <v>68</v>
      </c>
      <c r="D1902" s="15" t="s">
        <v>69</v>
      </c>
      <c r="E1902" s="15" t="s">
        <v>362</v>
      </c>
      <c r="F1902" s="15" t="s">
        <v>333</v>
      </c>
      <c r="G1902" s="87">
        <f>прил4!G2763</f>
        <v>0</v>
      </c>
      <c r="H1902" s="87">
        <f>прил4!H2763</f>
        <v>0</v>
      </c>
      <c r="I1902" s="87">
        <f>прил4!I2763</f>
        <v>0</v>
      </c>
      <c r="J1902" s="2">
        <v>200000</v>
      </c>
    </row>
    <row r="1903" spans="1:20" ht="25.5" customHeight="1">
      <c r="A1903" s="16" t="s">
        <v>634</v>
      </c>
      <c r="B1903" s="14">
        <v>793</v>
      </c>
      <c r="C1903" s="15" t="s">
        <v>68</v>
      </c>
      <c r="D1903" s="15" t="s">
        <v>69</v>
      </c>
      <c r="E1903" s="15" t="s">
        <v>653</v>
      </c>
      <c r="F1903" s="15"/>
      <c r="G1903" s="87">
        <f t="shared" ref="G1903:I1904" si="562">G1904</f>
        <v>286408.03000000003</v>
      </c>
      <c r="H1903" s="87">
        <f t="shared" si="562"/>
        <v>262025.76</v>
      </c>
      <c r="I1903" s="87">
        <f t="shared" si="562"/>
        <v>262025.76</v>
      </c>
      <c r="J1903" s="2">
        <f>J1896+J1897+J1898+J1899+J1900+J1901</f>
        <v>16407672</v>
      </c>
    </row>
    <row r="1904" spans="1:20" ht="25.5" customHeight="1">
      <c r="A1904" s="16" t="s">
        <v>348</v>
      </c>
      <c r="B1904" s="14">
        <v>793</v>
      </c>
      <c r="C1904" s="15" t="s">
        <v>68</v>
      </c>
      <c r="D1904" s="15" t="s">
        <v>69</v>
      </c>
      <c r="E1904" s="15" t="s">
        <v>653</v>
      </c>
      <c r="F1904" s="15" t="s">
        <v>145</v>
      </c>
      <c r="G1904" s="87">
        <f t="shared" si="562"/>
        <v>286408.03000000003</v>
      </c>
      <c r="H1904" s="87">
        <f t="shared" si="562"/>
        <v>262025.76</v>
      </c>
      <c r="I1904" s="87">
        <f t="shared" si="562"/>
        <v>262025.76</v>
      </c>
    </row>
    <row r="1905" spans="1:20" ht="25.5" customHeight="1">
      <c r="A1905" s="16" t="s">
        <v>643</v>
      </c>
      <c r="B1905" s="14">
        <v>793</v>
      </c>
      <c r="C1905" s="15" t="s">
        <v>68</v>
      </c>
      <c r="D1905" s="15" t="s">
        <v>69</v>
      </c>
      <c r="E1905" s="15" t="s">
        <v>653</v>
      </c>
      <c r="F1905" s="15" t="s">
        <v>642</v>
      </c>
      <c r="G1905" s="87">
        <f>прил4!G2766</f>
        <v>286408.03000000003</v>
      </c>
      <c r="H1905" s="87">
        <f>прил4!H2766</f>
        <v>262025.76</v>
      </c>
      <c r="I1905" s="87">
        <f>прил4!I2766</f>
        <v>262025.76</v>
      </c>
    </row>
    <row r="1906" spans="1:20" s="18" customFormat="1" ht="26.4">
      <c r="A1906" s="128" t="s">
        <v>1272</v>
      </c>
      <c r="B1906" s="14">
        <v>793</v>
      </c>
      <c r="C1906" s="15" t="s">
        <v>68</v>
      </c>
      <c r="D1906" s="15" t="s">
        <v>69</v>
      </c>
      <c r="E1906" s="15" t="s">
        <v>998</v>
      </c>
      <c r="F1906" s="15"/>
      <c r="G1906" s="70">
        <f t="shared" ref="G1906:I1907" si="563">G1907</f>
        <v>1439408.18</v>
      </c>
      <c r="H1906" s="70">
        <f t="shared" si="563"/>
        <v>1300000</v>
      </c>
      <c r="I1906" s="70">
        <f t="shared" si="563"/>
        <v>1300000</v>
      </c>
      <c r="J1906" s="173"/>
      <c r="K1906" s="195"/>
      <c r="L1906" s="195"/>
      <c r="M1906" s="195"/>
      <c r="N1906" s="195"/>
      <c r="O1906" s="195"/>
      <c r="P1906" s="195"/>
      <c r="Q1906" s="195"/>
      <c r="R1906" s="195"/>
    </row>
    <row r="1907" spans="1:20" s="18" customFormat="1" ht="36" customHeight="1">
      <c r="A1907" s="16" t="s">
        <v>348</v>
      </c>
      <c r="B1907" s="14">
        <v>793</v>
      </c>
      <c r="C1907" s="15" t="s">
        <v>68</v>
      </c>
      <c r="D1907" s="15" t="s">
        <v>69</v>
      </c>
      <c r="E1907" s="15" t="s">
        <v>998</v>
      </c>
      <c r="F1907" s="15" t="s">
        <v>145</v>
      </c>
      <c r="G1907" s="70">
        <f>G1908</f>
        <v>1439408.18</v>
      </c>
      <c r="H1907" s="70">
        <f t="shared" si="563"/>
        <v>1300000</v>
      </c>
      <c r="I1907" s="70">
        <f t="shared" si="563"/>
        <v>1300000</v>
      </c>
      <c r="J1907" s="173"/>
      <c r="K1907" s="195"/>
      <c r="L1907" s="195"/>
      <c r="M1907" s="195"/>
      <c r="N1907" s="195"/>
      <c r="O1907" s="195"/>
      <c r="P1907" s="195"/>
      <c r="Q1907" s="195"/>
      <c r="R1907" s="195"/>
    </row>
    <row r="1908" spans="1:20" s="18" customFormat="1" ht="29.25" customHeight="1">
      <c r="A1908" s="16" t="s">
        <v>146</v>
      </c>
      <c r="B1908" s="14">
        <v>793</v>
      </c>
      <c r="C1908" s="15" t="s">
        <v>68</v>
      </c>
      <c r="D1908" s="15" t="s">
        <v>69</v>
      </c>
      <c r="E1908" s="15" t="s">
        <v>998</v>
      </c>
      <c r="F1908" s="15" t="s">
        <v>147</v>
      </c>
      <c r="G1908" s="70">
        <f>прил4!G2769</f>
        <v>1439408.18</v>
      </c>
      <c r="H1908" s="70">
        <f>прил4!H2769</f>
        <v>1300000</v>
      </c>
      <c r="I1908" s="70">
        <f>прил4!I2769</f>
        <v>1300000</v>
      </c>
      <c r="J1908" s="173"/>
      <c r="K1908" s="195"/>
      <c r="L1908" s="195"/>
      <c r="M1908" s="195"/>
      <c r="N1908" s="195"/>
      <c r="O1908" s="195"/>
      <c r="P1908" s="195"/>
      <c r="Q1908" s="195"/>
      <c r="R1908" s="195"/>
    </row>
    <row r="1909" spans="1:20" ht="57" hidden="1" customHeight="1">
      <c r="A1909" s="104" t="s">
        <v>282</v>
      </c>
      <c r="B1909" s="14">
        <v>793</v>
      </c>
      <c r="C1909" s="15" t="s">
        <v>68</v>
      </c>
      <c r="D1909" s="15" t="s">
        <v>53</v>
      </c>
      <c r="E1909" s="15" t="s">
        <v>281</v>
      </c>
      <c r="F1909" s="15"/>
      <c r="G1909" s="87">
        <f>G1910</f>
        <v>0</v>
      </c>
      <c r="H1909" s="87">
        <f t="shared" ref="H1909:I1909" si="564">H1910</f>
        <v>0</v>
      </c>
      <c r="I1909" s="87">
        <f t="shared" si="564"/>
        <v>0</v>
      </c>
    </row>
    <row r="1910" spans="1:20" ht="26.4" hidden="1">
      <c r="A1910" s="16" t="s">
        <v>337</v>
      </c>
      <c r="B1910" s="14">
        <v>793</v>
      </c>
      <c r="C1910" s="15" t="s">
        <v>68</v>
      </c>
      <c r="D1910" s="15" t="s">
        <v>53</v>
      </c>
      <c r="E1910" s="15" t="s">
        <v>281</v>
      </c>
      <c r="F1910" s="15" t="s">
        <v>338</v>
      </c>
      <c r="G1910" s="87">
        <f>G1911</f>
        <v>0</v>
      </c>
      <c r="H1910" s="87">
        <f>H1911</f>
        <v>0</v>
      </c>
      <c r="I1910" s="87">
        <f>I1911</f>
        <v>0</v>
      </c>
      <c r="J1910" s="2">
        <v>78000</v>
      </c>
    </row>
    <row r="1911" spans="1:20" hidden="1">
      <c r="A1911" s="16" t="s">
        <v>339</v>
      </c>
      <c r="B1911" s="14">
        <v>793</v>
      </c>
      <c r="C1911" s="15" t="s">
        <v>68</v>
      </c>
      <c r="D1911" s="15" t="s">
        <v>53</v>
      </c>
      <c r="E1911" s="15" t="s">
        <v>281</v>
      </c>
      <c r="F1911" s="15" t="s">
        <v>340</v>
      </c>
      <c r="G1911" s="87">
        <f>прил4!G2789</f>
        <v>0</v>
      </c>
      <c r="H1911" s="87">
        <f>прил4!H2789</f>
        <v>0</v>
      </c>
      <c r="I1911" s="87">
        <f>прил4!I2789</f>
        <v>0</v>
      </c>
      <c r="J1911" s="2">
        <v>390000</v>
      </c>
    </row>
    <row r="1912" spans="1:20" ht="58.5" customHeight="1">
      <c r="A1912" s="326" t="s">
        <v>1263</v>
      </c>
      <c r="B1912" s="14">
        <v>793</v>
      </c>
      <c r="C1912" s="15" t="s">
        <v>68</v>
      </c>
      <c r="D1912" s="15" t="s">
        <v>53</v>
      </c>
      <c r="E1912" s="15" t="s">
        <v>1262</v>
      </c>
      <c r="F1912" s="15"/>
      <c r="G1912" s="70">
        <f>G1913</f>
        <v>0</v>
      </c>
      <c r="H1912" s="70">
        <f t="shared" ref="H1912:I1912" si="565">H1913</f>
        <v>8665575.3500000015</v>
      </c>
      <c r="I1912" s="70">
        <f t="shared" si="565"/>
        <v>8698508.8600000013</v>
      </c>
      <c r="J1912" s="172"/>
      <c r="K1912" s="69"/>
      <c r="L1912" s="69"/>
      <c r="M1912" s="69"/>
      <c r="N1912" s="69"/>
      <c r="O1912" s="69"/>
      <c r="P1912" s="69"/>
      <c r="Q1912" s="69"/>
      <c r="R1912" s="69"/>
      <c r="S1912" s="1"/>
      <c r="T1912" s="1"/>
    </row>
    <row r="1913" spans="1:20" ht="26.4">
      <c r="A1913" s="16" t="s">
        <v>337</v>
      </c>
      <c r="B1913" s="14">
        <v>793</v>
      </c>
      <c r="C1913" s="15" t="s">
        <v>68</v>
      </c>
      <c r="D1913" s="15" t="s">
        <v>53</v>
      </c>
      <c r="E1913" s="15" t="s">
        <v>1262</v>
      </c>
      <c r="F1913" s="15" t="s">
        <v>338</v>
      </c>
      <c r="G1913" s="70">
        <f>G1914</f>
        <v>0</v>
      </c>
      <c r="H1913" s="70">
        <f>H1914</f>
        <v>8665575.3500000015</v>
      </c>
      <c r="I1913" s="70">
        <f>I1914</f>
        <v>8698508.8600000013</v>
      </c>
      <c r="J1913" s="172"/>
      <c r="K1913" s="69"/>
      <c r="L1913" s="69"/>
      <c r="M1913" s="69"/>
      <c r="N1913" s="69"/>
      <c r="O1913" s="69"/>
      <c r="P1913" s="69"/>
      <c r="Q1913" s="69"/>
      <c r="R1913" s="69"/>
      <c r="S1913" s="1"/>
      <c r="T1913" s="1"/>
    </row>
    <row r="1914" spans="1:20">
      <c r="A1914" s="16" t="s">
        <v>339</v>
      </c>
      <c r="B1914" s="14">
        <v>793</v>
      </c>
      <c r="C1914" s="15" t="s">
        <v>68</v>
      </c>
      <c r="D1914" s="15" t="s">
        <v>53</v>
      </c>
      <c r="E1914" s="15" t="s">
        <v>1262</v>
      </c>
      <c r="F1914" s="15" t="s">
        <v>340</v>
      </c>
      <c r="G1914" s="70">
        <f>8514686.33-8514686.33</f>
        <v>0</v>
      </c>
      <c r="H1914" s="70">
        <f>8962827.72-297252.37</f>
        <v>8665575.3500000015</v>
      </c>
      <c r="I1914" s="70">
        <f>8962827.72-264318.86</f>
        <v>8698508.8600000013</v>
      </c>
      <c r="J1914" s="172"/>
      <c r="K1914" s="69"/>
      <c r="L1914" s="69"/>
      <c r="M1914" s="69"/>
      <c r="N1914" s="69"/>
      <c r="O1914" s="69"/>
      <c r="P1914" s="69"/>
      <c r="Q1914" s="69"/>
      <c r="R1914" s="69"/>
      <c r="S1914" s="1"/>
      <c r="T1914" s="1"/>
    </row>
    <row r="1915" spans="1:20" ht="52.8">
      <c r="A1915" s="104" t="s">
        <v>283</v>
      </c>
      <c r="B1915" s="14">
        <v>793</v>
      </c>
      <c r="C1915" s="15" t="s">
        <v>68</v>
      </c>
      <c r="D1915" s="15" t="s">
        <v>53</v>
      </c>
      <c r="E1915" s="15" t="s">
        <v>360</v>
      </c>
      <c r="F1915" s="15"/>
      <c r="G1915" s="87">
        <f t="shared" ref="G1915:I1916" si="566">G1916</f>
        <v>9544533.4000000004</v>
      </c>
      <c r="H1915" s="87">
        <f t="shared" si="566"/>
        <v>17697558.149999999</v>
      </c>
      <c r="I1915" s="87">
        <f t="shared" si="566"/>
        <v>17664624.629999999</v>
      </c>
      <c r="J1915" s="2">
        <v>189200</v>
      </c>
    </row>
    <row r="1916" spans="1:20" ht="26.4">
      <c r="A1916" s="16" t="s">
        <v>337</v>
      </c>
      <c r="B1916" s="14">
        <v>793</v>
      </c>
      <c r="C1916" s="15" t="s">
        <v>68</v>
      </c>
      <c r="D1916" s="15" t="s">
        <v>53</v>
      </c>
      <c r="E1916" s="15" t="s">
        <v>360</v>
      </c>
      <c r="F1916" s="15" t="s">
        <v>338</v>
      </c>
      <c r="G1916" s="87">
        <f t="shared" si="566"/>
        <v>9544533.4000000004</v>
      </c>
      <c r="H1916" s="87">
        <f t="shared" si="566"/>
        <v>17697558.149999999</v>
      </c>
      <c r="I1916" s="87">
        <f t="shared" si="566"/>
        <v>17664624.629999999</v>
      </c>
      <c r="J1916" s="2">
        <v>270072</v>
      </c>
    </row>
    <row r="1917" spans="1:20">
      <c r="A1917" s="16" t="s">
        <v>339</v>
      </c>
      <c r="B1917" s="14">
        <v>793</v>
      </c>
      <c r="C1917" s="15" t="s">
        <v>68</v>
      </c>
      <c r="D1917" s="15" t="s">
        <v>53</v>
      </c>
      <c r="E1917" s="15" t="s">
        <v>360</v>
      </c>
      <c r="F1917" s="15" t="s">
        <v>340</v>
      </c>
      <c r="G1917" s="87">
        <f>прил4!G2795</f>
        <v>9544533.4000000004</v>
      </c>
      <c r="H1917" s="87">
        <f>прил4!H2795</f>
        <v>17697558.149999999</v>
      </c>
      <c r="I1917" s="87">
        <f>прил4!I2795</f>
        <v>17664624.629999999</v>
      </c>
      <c r="J1917" s="2">
        <v>4607800</v>
      </c>
    </row>
    <row r="1918" spans="1:20" ht="75.75" hidden="1" customHeight="1">
      <c r="A1918" s="139" t="s">
        <v>991</v>
      </c>
      <c r="B1918" s="14">
        <v>793</v>
      </c>
      <c r="C1918" s="15" t="s">
        <v>68</v>
      </c>
      <c r="D1918" s="15" t="s">
        <v>53</v>
      </c>
      <c r="E1918" s="15" t="s">
        <v>983</v>
      </c>
      <c r="F1918" s="15"/>
      <c r="G1918" s="70">
        <f t="shared" ref="G1918:I1919" si="567">G1919</f>
        <v>0</v>
      </c>
      <c r="H1918" s="70">
        <f t="shared" si="567"/>
        <v>0</v>
      </c>
      <c r="I1918" s="70">
        <f t="shared" si="567"/>
        <v>0</v>
      </c>
      <c r="J1918" s="173"/>
      <c r="K1918" s="181"/>
      <c r="L1918" s="181"/>
      <c r="M1918" s="181"/>
      <c r="N1918" s="181"/>
      <c r="O1918" s="181"/>
      <c r="P1918" s="181"/>
      <c r="Q1918" s="181"/>
      <c r="R1918" s="181"/>
      <c r="S1918" s="1"/>
      <c r="T1918" s="1"/>
    </row>
    <row r="1919" spans="1:20" ht="26.4" hidden="1">
      <c r="A1919" s="16" t="s">
        <v>337</v>
      </c>
      <c r="B1919" s="14">
        <v>793</v>
      </c>
      <c r="C1919" s="15" t="s">
        <v>68</v>
      </c>
      <c r="D1919" s="15" t="s">
        <v>53</v>
      </c>
      <c r="E1919" s="15" t="s">
        <v>983</v>
      </c>
      <c r="F1919" s="15" t="s">
        <v>338</v>
      </c>
      <c r="G1919" s="70">
        <f t="shared" si="567"/>
        <v>0</v>
      </c>
      <c r="H1919" s="70">
        <f t="shared" si="567"/>
        <v>0</v>
      </c>
      <c r="I1919" s="70">
        <f t="shared" si="567"/>
        <v>0</v>
      </c>
      <c r="J1919" s="173"/>
      <c r="K1919" s="181"/>
      <c r="L1919" s="181"/>
      <c r="M1919" s="181"/>
      <c r="N1919" s="181"/>
      <c r="O1919" s="181"/>
      <c r="P1919" s="181"/>
      <c r="Q1919" s="181"/>
      <c r="R1919" s="181"/>
      <c r="S1919" s="1"/>
      <c r="T1919" s="1"/>
    </row>
    <row r="1920" spans="1:20" hidden="1">
      <c r="A1920" s="16" t="s">
        <v>339</v>
      </c>
      <c r="B1920" s="14">
        <v>793</v>
      </c>
      <c r="C1920" s="15" t="s">
        <v>68</v>
      </c>
      <c r="D1920" s="15" t="s">
        <v>53</v>
      </c>
      <c r="E1920" s="15" t="s">
        <v>983</v>
      </c>
      <c r="F1920" s="15" t="s">
        <v>340</v>
      </c>
      <c r="G1920" s="70">
        <f>прил4!G2798</f>
        <v>0</v>
      </c>
      <c r="H1920" s="70">
        <f>прил4!H2798</f>
        <v>0</v>
      </c>
      <c r="I1920" s="70">
        <f>прил4!I2798</f>
        <v>0</v>
      </c>
      <c r="J1920" s="173"/>
      <c r="K1920" s="181"/>
      <c r="L1920" s="181"/>
      <c r="M1920" s="181"/>
      <c r="N1920" s="181"/>
      <c r="O1920" s="181"/>
      <c r="P1920" s="181"/>
      <c r="Q1920" s="181"/>
      <c r="R1920" s="181"/>
      <c r="S1920" s="1"/>
      <c r="T1920" s="1"/>
    </row>
    <row r="1921" spans="1:20" ht="55.5" customHeight="1">
      <c r="A1921" s="326" t="s">
        <v>1287</v>
      </c>
      <c r="B1921" s="14">
        <v>793</v>
      </c>
      <c r="C1921" s="15" t="s">
        <v>68</v>
      </c>
      <c r="D1921" s="15" t="s">
        <v>53</v>
      </c>
      <c r="E1921" s="15" t="s">
        <v>983</v>
      </c>
      <c r="F1921" s="15"/>
      <c r="G1921" s="70">
        <f t="shared" ref="G1921:I1922" si="568">G1922</f>
        <v>4632580</v>
      </c>
      <c r="H1921" s="70">
        <f t="shared" si="568"/>
        <v>0</v>
      </c>
      <c r="I1921" s="70">
        <f t="shared" si="568"/>
        <v>0</v>
      </c>
      <c r="J1921" s="172"/>
      <c r="K1921" s="69"/>
      <c r="L1921" s="69"/>
      <c r="M1921" s="69"/>
      <c r="N1921" s="69"/>
      <c r="O1921" s="69"/>
      <c r="P1921" s="69"/>
      <c r="Q1921" s="69"/>
      <c r="R1921" s="69"/>
      <c r="S1921" s="1"/>
      <c r="T1921" s="1"/>
    </row>
    <row r="1922" spans="1:20" ht="25.5" customHeight="1">
      <c r="A1922" s="128" t="s">
        <v>343</v>
      </c>
      <c r="B1922" s="14">
        <v>793</v>
      </c>
      <c r="C1922" s="15" t="s">
        <v>68</v>
      </c>
      <c r="D1922" s="15" t="s">
        <v>53</v>
      </c>
      <c r="E1922" s="15" t="s">
        <v>983</v>
      </c>
      <c r="F1922" s="15" t="s">
        <v>145</v>
      </c>
      <c r="G1922" s="70">
        <f t="shared" si="568"/>
        <v>4632580</v>
      </c>
      <c r="H1922" s="70">
        <f t="shared" si="568"/>
        <v>0</v>
      </c>
      <c r="I1922" s="70">
        <f t="shared" si="568"/>
        <v>0</v>
      </c>
      <c r="J1922" s="172"/>
      <c r="K1922" s="69"/>
      <c r="L1922" s="69"/>
      <c r="M1922" s="69"/>
      <c r="N1922" s="69"/>
      <c r="O1922" s="69"/>
      <c r="P1922" s="69"/>
      <c r="Q1922" s="69"/>
      <c r="R1922" s="69"/>
      <c r="S1922" s="1"/>
      <c r="T1922" s="1"/>
    </row>
    <row r="1923" spans="1:20" ht="26.4">
      <c r="A1923" s="16" t="s">
        <v>146</v>
      </c>
      <c r="B1923" s="14">
        <v>793</v>
      </c>
      <c r="C1923" s="15" t="s">
        <v>68</v>
      </c>
      <c r="D1923" s="15" t="s">
        <v>53</v>
      </c>
      <c r="E1923" s="15" t="s">
        <v>983</v>
      </c>
      <c r="F1923" s="15" t="s">
        <v>147</v>
      </c>
      <c r="G1923" s="70">
        <f>прил4!G2801</f>
        <v>4632580</v>
      </c>
      <c r="H1923" s="70">
        <v>0</v>
      </c>
      <c r="I1923" s="70">
        <v>0</v>
      </c>
      <c r="J1923" s="172"/>
      <c r="K1923" s="69"/>
      <c r="L1923" s="69"/>
      <c r="M1923" s="69"/>
      <c r="N1923" s="69"/>
      <c r="O1923" s="69"/>
      <c r="P1923" s="69"/>
      <c r="Q1923" s="69"/>
      <c r="R1923" s="69"/>
      <c r="S1923" s="1"/>
      <c r="T1923" s="1"/>
    </row>
    <row r="1924" spans="1:20" s="18" customFormat="1" ht="26.4">
      <c r="A1924" s="16" t="s">
        <v>349</v>
      </c>
      <c r="B1924" s="14">
        <v>793</v>
      </c>
      <c r="C1924" s="15" t="s">
        <v>68</v>
      </c>
      <c r="D1924" s="15" t="s">
        <v>53</v>
      </c>
      <c r="E1924" s="15" t="s">
        <v>285</v>
      </c>
      <c r="F1924" s="15"/>
      <c r="G1924" s="87">
        <f t="shared" ref="G1924:I1925" si="569">G1925</f>
        <v>148000</v>
      </c>
      <c r="H1924" s="87">
        <f t="shared" si="569"/>
        <v>176000</v>
      </c>
      <c r="I1924" s="87">
        <f t="shared" si="569"/>
        <v>176000</v>
      </c>
      <c r="J1924" s="17">
        <v>10872600</v>
      </c>
      <c r="P1924" s="17"/>
      <c r="Q1924" s="17"/>
      <c r="R1924" s="17"/>
      <c r="S1924" s="17"/>
      <c r="T1924" s="17"/>
    </row>
    <row r="1925" spans="1:20" s="18" customFormat="1" ht="26.4">
      <c r="A1925" s="16" t="s">
        <v>347</v>
      </c>
      <c r="B1925" s="14">
        <v>793</v>
      </c>
      <c r="C1925" s="15" t="s">
        <v>68</v>
      </c>
      <c r="D1925" s="15" t="s">
        <v>53</v>
      </c>
      <c r="E1925" s="15" t="s">
        <v>285</v>
      </c>
      <c r="F1925" s="15" t="s">
        <v>145</v>
      </c>
      <c r="G1925" s="87">
        <f t="shared" si="569"/>
        <v>148000</v>
      </c>
      <c r="H1925" s="87">
        <f t="shared" si="569"/>
        <v>176000</v>
      </c>
      <c r="I1925" s="87">
        <f t="shared" si="569"/>
        <v>176000</v>
      </c>
      <c r="J1925" s="17">
        <v>200000</v>
      </c>
      <c r="P1925" s="17"/>
      <c r="Q1925" s="17"/>
      <c r="R1925" s="17"/>
      <c r="S1925" s="17"/>
      <c r="T1925" s="17"/>
    </row>
    <row r="1926" spans="1:20" s="18" customFormat="1">
      <c r="A1926" s="16" t="s">
        <v>344</v>
      </c>
      <c r="B1926" s="14">
        <v>793</v>
      </c>
      <c r="C1926" s="15" t="s">
        <v>68</v>
      </c>
      <c r="D1926" s="15" t="s">
        <v>53</v>
      </c>
      <c r="E1926" s="15" t="s">
        <v>285</v>
      </c>
      <c r="F1926" s="15" t="s">
        <v>345</v>
      </c>
      <c r="G1926" s="87">
        <f>прил4!G2804</f>
        <v>148000</v>
      </c>
      <c r="H1926" s="87">
        <f>прил4!H2804</f>
        <v>176000</v>
      </c>
      <c r="I1926" s="87">
        <f>прил4!I2804</f>
        <v>176000</v>
      </c>
      <c r="J1926" s="17">
        <f>SUM(J1910:J1925)</f>
        <v>16607672</v>
      </c>
      <c r="P1926" s="17"/>
      <c r="Q1926" s="17"/>
      <c r="R1926" s="17"/>
      <c r="S1926" s="17"/>
      <c r="T1926" s="17"/>
    </row>
    <row r="1927" spans="1:20" s="22" customFormat="1" ht="47.25" hidden="1" customHeight="1">
      <c r="A1927" s="34" t="s">
        <v>442</v>
      </c>
      <c r="B1927" s="35">
        <v>793</v>
      </c>
      <c r="C1927" s="36" t="s">
        <v>53</v>
      </c>
      <c r="D1927" s="36" t="s">
        <v>120</v>
      </c>
      <c r="E1927" s="36" t="s">
        <v>441</v>
      </c>
      <c r="F1927" s="36"/>
      <c r="G1927" s="71">
        <f>G1934+G1937</f>
        <v>0</v>
      </c>
      <c r="H1927" s="71">
        <f t="shared" ref="H1927:I1927" si="570">H1934</f>
        <v>0</v>
      </c>
      <c r="I1927" s="71">
        <f t="shared" si="570"/>
        <v>0</v>
      </c>
      <c r="J1927" s="21">
        <v>343551</v>
      </c>
      <c r="P1927" s="21"/>
      <c r="Q1927" s="21"/>
      <c r="R1927" s="21"/>
      <c r="S1927" s="21"/>
      <c r="T1927" s="21"/>
    </row>
    <row r="1928" spans="1:20" ht="91.5" hidden="1" customHeight="1">
      <c r="A1928" s="16" t="s">
        <v>584</v>
      </c>
      <c r="B1928" s="15" t="s">
        <v>92</v>
      </c>
      <c r="C1928" s="15" t="s">
        <v>25</v>
      </c>
      <c r="D1928" s="15" t="s">
        <v>69</v>
      </c>
      <c r="E1928" s="15" t="s">
        <v>583</v>
      </c>
      <c r="F1928" s="15"/>
      <c r="G1928" s="70">
        <f>G1929</f>
        <v>0</v>
      </c>
      <c r="H1928" s="70">
        <f t="shared" ref="H1928:I1929" si="571">H1929</f>
        <v>0</v>
      </c>
      <c r="I1928" s="70">
        <f t="shared" si="571"/>
        <v>0</v>
      </c>
      <c r="J1928" s="1"/>
    </row>
    <row r="1929" spans="1:20" ht="31.5" hidden="1" customHeight="1">
      <c r="A1929" s="16" t="s">
        <v>29</v>
      </c>
      <c r="B1929" s="15" t="s">
        <v>92</v>
      </c>
      <c r="C1929" s="15" t="s">
        <v>25</v>
      </c>
      <c r="D1929" s="15" t="s">
        <v>69</v>
      </c>
      <c r="E1929" s="15" t="s">
        <v>583</v>
      </c>
      <c r="F1929" s="15" t="s">
        <v>30</v>
      </c>
      <c r="G1929" s="70">
        <f>G1930</f>
        <v>0</v>
      </c>
      <c r="H1929" s="70">
        <f t="shared" si="571"/>
        <v>0</v>
      </c>
      <c r="I1929" s="70">
        <f t="shared" si="571"/>
        <v>0</v>
      </c>
      <c r="J1929" s="1"/>
    </row>
    <row r="1930" spans="1:20" ht="17.25" hidden="1" customHeight="1">
      <c r="A1930" s="16" t="s">
        <v>31</v>
      </c>
      <c r="B1930" s="15" t="s">
        <v>92</v>
      </c>
      <c r="C1930" s="15" t="s">
        <v>25</v>
      </c>
      <c r="D1930" s="15" t="s">
        <v>69</v>
      </c>
      <c r="E1930" s="15" t="s">
        <v>583</v>
      </c>
      <c r="F1930" s="15" t="s">
        <v>32</v>
      </c>
      <c r="G1930" s="70">
        <f>прил4!G1206</f>
        <v>0</v>
      </c>
      <c r="H1930" s="103"/>
      <c r="I1930" s="103"/>
      <c r="J1930" s="1"/>
    </row>
    <row r="1931" spans="1:20" s="18" customFormat="1" ht="52.5" hidden="1" customHeight="1">
      <c r="A1931" s="16" t="s">
        <v>708</v>
      </c>
      <c r="B1931" s="15" t="s">
        <v>92</v>
      </c>
      <c r="C1931" s="15" t="s">
        <v>25</v>
      </c>
      <c r="D1931" s="15" t="s">
        <v>27</v>
      </c>
      <c r="E1931" s="15" t="s">
        <v>709</v>
      </c>
      <c r="F1931" s="15"/>
      <c r="G1931" s="70">
        <f>G1932</f>
        <v>0</v>
      </c>
      <c r="H1931" s="70">
        <f t="shared" ref="H1931:I1932" si="572">H1932</f>
        <v>0</v>
      </c>
      <c r="I1931" s="70">
        <f t="shared" si="572"/>
        <v>0</v>
      </c>
      <c r="P1931" s="17"/>
      <c r="Q1931" s="17"/>
      <c r="R1931" s="17"/>
      <c r="S1931" s="17"/>
      <c r="T1931" s="17"/>
    </row>
    <row r="1932" spans="1:20" s="18" customFormat="1" ht="26.4" hidden="1">
      <c r="A1932" s="16" t="s">
        <v>94</v>
      </c>
      <c r="B1932" s="15" t="s">
        <v>92</v>
      </c>
      <c r="C1932" s="15" t="s">
        <v>25</v>
      </c>
      <c r="D1932" s="15" t="s">
        <v>27</v>
      </c>
      <c r="E1932" s="15" t="s">
        <v>709</v>
      </c>
      <c r="F1932" s="15" t="s">
        <v>338</v>
      </c>
      <c r="G1932" s="70">
        <f>G1933</f>
        <v>0</v>
      </c>
      <c r="H1932" s="70">
        <f t="shared" si="572"/>
        <v>0</v>
      </c>
      <c r="I1932" s="70">
        <f t="shared" si="572"/>
        <v>0</v>
      </c>
      <c r="P1932" s="17"/>
      <c r="Q1932" s="17"/>
      <c r="R1932" s="17"/>
      <c r="S1932" s="17"/>
      <c r="T1932" s="17"/>
    </row>
    <row r="1933" spans="1:20" s="18" customFormat="1" ht="105" hidden="1" customHeight="1">
      <c r="A1933" s="50" t="s">
        <v>407</v>
      </c>
      <c r="B1933" s="15" t="s">
        <v>92</v>
      </c>
      <c r="C1933" s="15" t="s">
        <v>25</v>
      </c>
      <c r="D1933" s="15" t="s">
        <v>27</v>
      </c>
      <c r="E1933" s="15" t="s">
        <v>709</v>
      </c>
      <c r="F1933" s="15" t="s">
        <v>406</v>
      </c>
      <c r="G1933" s="70">
        <f>прил4!G1060</f>
        <v>0</v>
      </c>
      <c r="H1933" s="70">
        <v>0</v>
      </c>
      <c r="I1933" s="70">
        <v>0</v>
      </c>
      <c r="P1933" s="17"/>
      <c r="Q1933" s="17"/>
      <c r="R1933" s="17"/>
      <c r="S1933" s="17"/>
      <c r="T1933" s="17"/>
    </row>
    <row r="1934" spans="1:20" ht="33.75" hidden="1" customHeight="1">
      <c r="A1934" s="16" t="s">
        <v>440</v>
      </c>
      <c r="B1934" s="14">
        <v>793</v>
      </c>
      <c r="C1934" s="15" t="s">
        <v>53</v>
      </c>
      <c r="D1934" s="15" t="s">
        <v>120</v>
      </c>
      <c r="E1934" s="15" t="s">
        <v>438</v>
      </c>
      <c r="F1934" s="15"/>
      <c r="G1934" s="70">
        <f>G1935</f>
        <v>0</v>
      </c>
      <c r="H1934" s="70">
        <f t="shared" ref="H1934:I1934" si="573">H1935</f>
        <v>0</v>
      </c>
      <c r="I1934" s="70">
        <f t="shared" si="573"/>
        <v>0</v>
      </c>
      <c r="J1934" s="2">
        <v>63000</v>
      </c>
    </row>
    <row r="1935" spans="1:20" ht="41.25" hidden="1" customHeight="1">
      <c r="A1935" s="16" t="s">
        <v>439</v>
      </c>
      <c r="B1935" s="14">
        <v>793</v>
      </c>
      <c r="C1935" s="15" t="s">
        <v>53</v>
      </c>
      <c r="D1935" s="15" t="s">
        <v>120</v>
      </c>
      <c r="E1935" s="15" t="s">
        <v>438</v>
      </c>
      <c r="F1935" s="15" t="s">
        <v>36</v>
      </c>
      <c r="G1935" s="70">
        <f>G1936</f>
        <v>0</v>
      </c>
      <c r="H1935" s="70">
        <f t="shared" ref="H1935:I1935" si="574">H1936</f>
        <v>0</v>
      </c>
      <c r="I1935" s="70">
        <f t="shared" si="574"/>
        <v>0</v>
      </c>
      <c r="J1935" s="2">
        <f>SUM(J1927:J1934)</f>
        <v>406551</v>
      </c>
    </row>
    <row r="1936" spans="1:20" ht="30.75" hidden="1" customHeight="1">
      <c r="A1936" s="16" t="s">
        <v>37</v>
      </c>
      <c r="B1936" s="14">
        <v>793</v>
      </c>
      <c r="C1936" s="15" t="s">
        <v>53</v>
      </c>
      <c r="D1936" s="15" t="s">
        <v>120</v>
      </c>
      <c r="E1936" s="15" t="s">
        <v>438</v>
      </c>
      <c r="F1936" s="15" t="s">
        <v>38</v>
      </c>
      <c r="G1936" s="70">
        <f>прил4!G1998</f>
        <v>0</v>
      </c>
      <c r="H1936" s="70">
        <f>прил4!H1998+прил4!H1346</f>
        <v>0</v>
      </c>
      <c r="I1936" s="70">
        <f>прил4!I1998+прил4!I1346</f>
        <v>0</v>
      </c>
    </row>
    <row r="1937" spans="1:23" ht="30.75" hidden="1" customHeight="1">
      <c r="A1937" s="16" t="s">
        <v>29</v>
      </c>
      <c r="B1937" s="14">
        <v>774</v>
      </c>
      <c r="C1937" s="15" t="s">
        <v>25</v>
      </c>
      <c r="D1937" s="15" t="s">
        <v>69</v>
      </c>
      <c r="E1937" s="15" t="s">
        <v>975</v>
      </c>
      <c r="F1937" s="15" t="s">
        <v>30</v>
      </c>
      <c r="G1937" s="70">
        <f>G1938</f>
        <v>0</v>
      </c>
      <c r="H1937" s="70"/>
      <c r="I1937" s="70"/>
      <c r="J1937" s="1"/>
    </row>
    <row r="1938" spans="1:23" ht="30.75" hidden="1" customHeight="1">
      <c r="A1938" s="16" t="s">
        <v>31</v>
      </c>
      <c r="B1938" s="14">
        <v>774</v>
      </c>
      <c r="C1938" s="15" t="s">
        <v>25</v>
      </c>
      <c r="D1938" s="15" t="s">
        <v>69</v>
      </c>
      <c r="E1938" s="15" t="s">
        <v>975</v>
      </c>
      <c r="F1938" s="15" t="s">
        <v>32</v>
      </c>
      <c r="G1938" s="70">
        <f>прил4!G1251</f>
        <v>0</v>
      </c>
      <c r="H1938" s="70"/>
      <c r="I1938" s="70"/>
      <c r="J1938" s="1"/>
    </row>
    <row r="1939" spans="1:23" s="22" customFormat="1" ht="41.25" customHeight="1">
      <c r="A1939" s="107" t="s">
        <v>1100</v>
      </c>
      <c r="B1939" s="264">
        <v>793</v>
      </c>
      <c r="C1939" s="152" t="s">
        <v>167</v>
      </c>
      <c r="D1939" s="152" t="s">
        <v>69</v>
      </c>
      <c r="E1939" s="152" t="s">
        <v>648</v>
      </c>
      <c r="F1939" s="152"/>
      <c r="G1939" s="153">
        <f>G1943+G1949+G1967+G1972+G1975+G1978+G1981+G1950</f>
        <v>28221629.740000002</v>
      </c>
      <c r="H1939" s="153">
        <f t="shared" ref="H1939:I1939" si="575">H1943+H1949+H1967+H1972+H1975+H1978+H1981+H1950</f>
        <v>19144987</v>
      </c>
      <c r="I1939" s="153">
        <f t="shared" si="575"/>
        <v>19144987</v>
      </c>
      <c r="J1939" s="153">
        <f t="shared" ref="J1939:O1939" si="576">+J1953+J1965+J1970+J1973+J1940+J1944+J1950</f>
        <v>0</v>
      </c>
      <c r="K1939" s="153">
        <f t="shared" si="576"/>
        <v>0</v>
      </c>
      <c r="L1939" s="153">
        <f t="shared" si="576"/>
        <v>0</v>
      </c>
      <c r="M1939" s="153">
        <f t="shared" si="576"/>
        <v>0</v>
      </c>
      <c r="N1939" s="153">
        <f t="shared" si="576"/>
        <v>0</v>
      </c>
      <c r="O1939" s="153">
        <f t="shared" si="576"/>
        <v>0</v>
      </c>
      <c r="P1939" s="202"/>
      <c r="Q1939" s="202"/>
      <c r="R1939" s="202"/>
      <c r="T1939" s="21">
        <f>прил4!G2454+прил4!G3349</f>
        <v>28221629.740000002</v>
      </c>
      <c r="U1939" s="21"/>
      <c r="V1939" s="21"/>
      <c r="W1939" s="21"/>
    </row>
    <row r="1940" spans="1:23" s="18" customFormat="1" ht="39" hidden="1" customHeight="1">
      <c r="A1940" s="82" t="s">
        <v>1086</v>
      </c>
      <c r="B1940" s="83">
        <v>793</v>
      </c>
      <c r="C1940" s="84" t="s">
        <v>167</v>
      </c>
      <c r="D1940" s="84" t="s">
        <v>69</v>
      </c>
      <c r="E1940" s="84" t="s">
        <v>1099</v>
      </c>
      <c r="F1940" s="84"/>
      <c r="G1940" s="87">
        <f>G1942</f>
        <v>6500000</v>
      </c>
      <c r="H1940" s="87">
        <f>H1942</f>
        <v>0</v>
      </c>
      <c r="I1940" s="87">
        <f>I1942</f>
        <v>0</v>
      </c>
      <c r="J1940" s="173"/>
      <c r="K1940" s="195"/>
      <c r="L1940" s="195"/>
      <c r="M1940" s="195"/>
      <c r="N1940" s="195"/>
      <c r="O1940" s="195"/>
      <c r="P1940" s="195"/>
      <c r="Q1940" s="195"/>
      <c r="R1940" s="195"/>
    </row>
    <row r="1941" spans="1:23" s="18" customFormat="1" ht="96.75" customHeight="1">
      <c r="A1941" s="82" t="s">
        <v>1455</v>
      </c>
      <c r="B1941" s="83">
        <v>793</v>
      </c>
      <c r="C1941" s="84" t="s">
        <v>167</v>
      </c>
      <c r="D1941" s="84" t="s">
        <v>69</v>
      </c>
      <c r="E1941" s="84" t="s">
        <v>1099</v>
      </c>
      <c r="F1941" s="84"/>
      <c r="G1941" s="87">
        <f>G1942</f>
        <v>6500000</v>
      </c>
      <c r="H1941" s="87">
        <f t="shared" ref="H1941:I1941" si="577">H1942</f>
        <v>0</v>
      </c>
      <c r="I1941" s="87">
        <f t="shared" si="577"/>
        <v>0</v>
      </c>
      <c r="J1941" s="173"/>
      <c r="K1941" s="195"/>
      <c r="L1941" s="195"/>
      <c r="M1941" s="195"/>
      <c r="N1941" s="195"/>
      <c r="O1941" s="195"/>
      <c r="P1941" s="208">
        <f>H1952+H1967+H1972+H1975</f>
        <v>19144987</v>
      </c>
      <c r="Q1941" s="195"/>
      <c r="R1941" s="195"/>
      <c r="T1941" s="17">
        <f>G1943+G1949+G1952+G1967+G1972+G1975</f>
        <v>27827397.510000002</v>
      </c>
    </row>
    <row r="1942" spans="1:23" ht="30.75" customHeight="1">
      <c r="A1942" s="82" t="s">
        <v>35</v>
      </c>
      <c r="B1942" s="83">
        <v>793</v>
      </c>
      <c r="C1942" s="84" t="s">
        <v>167</v>
      </c>
      <c r="D1942" s="84" t="s">
        <v>69</v>
      </c>
      <c r="E1942" s="84" t="s">
        <v>1099</v>
      </c>
      <c r="F1942" s="84" t="s">
        <v>36</v>
      </c>
      <c r="G1942" s="87">
        <f t="shared" ref="G1942:I1942" si="578">G1943</f>
        <v>6500000</v>
      </c>
      <c r="H1942" s="87">
        <f t="shared" si="578"/>
        <v>0</v>
      </c>
      <c r="I1942" s="87">
        <f t="shared" si="578"/>
        <v>0</v>
      </c>
      <c r="J1942" s="173"/>
      <c r="K1942" s="181"/>
      <c r="L1942" s="181"/>
      <c r="M1942" s="181"/>
      <c r="N1942" s="181"/>
      <c r="O1942" s="181"/>
      <c r="P1942" s="181"/>
      <c r="Q1942" s="181"/>
      <c r="R1942" s="181"/>
      <c r="S1942" s="1"/>
      <c r="T1942" s="1"/>
    </row>
    <row r="1943" spans="1:23" s="18" customFormat="1" ht="34.5" customHeight="1">
      <c r="A1943" s="82" t="s">
        <v>37</v>
      </c>
      <c r="B1943" s="83">
        <v>793</v>
      </c>
      <c r="C1943" s="84" t="s">
        <v>167</v>
      </c>
      <c r="D1943" s="84" t="s">
        <v>69</v>
      </c>
      <c r="E1943" s="84" t="s">
        <v>1099</v>
      </c>
      <c r="F1943" s="84" t="s">
        <v>38</v>
      </c>
      <c r="G1943" s="70">
        <f>прил4!G2458</f>
        <v>6500000</v>
      </c>
      <c r="H1943" s="87">
        <v>0</v>
      </c>
      <c r="I1943" s="87">
        <v>0</v>
      </c>
      <c r="J1943" s="173"/>
      <c r="K1943" s="195"/>
      <c r="L1943" s="195"/>
      <c r="M1943" s="195"/>
      <c r="N1943" s="195"/>
      <c r="O1943" s="195"/>
      <c r="P1943" s="195"/>
      <c r="Q1943" s="195"/>
      <c r="R1943" s="195"/>
    </row>
    <row r="1944" spans="1:23" s="18" customFormat="1" ht="39" hidden="1" customHeight="1">
      <c r="A1944" s="82" t="s">
        <v>1102</v>
      </c>
      <c r="B1944" s="83">
        <v>793</v>
      </c>
      <c r="C1944" s="84" t="s">
        <v>167</v>
      </c>
      <c r="D1944" s="84" t="s">
        <v>69</v>
      </c>
      <c r="E1944" s="84" t="s">
        <v>1101</v>
      </c>
      <c r="F1944" s="84"/>
      <c r="G1944" s="70">
        <f>G1946</f>
        <v>0</v>
      </c>
      <c r="H1944" s="87">
        <f>H1946</f>
        <v>0</v>
      </c>
      <c r="I1944" s="87">
        <f>I1946</f>
        <v>0</v>
      </c>
      <c r="J1944" s="173"/>
      <c r="K1944" s="195"/>
      <c r="L1944" s="195"/>
      <c r="M1944" s="195"/>
      <c r="N1944" s="195"/>
      <c r="O1944" s="195"/>
      <c r="P1944" s="195"/>
      <c r="Q1944" s="195"/>
      <c r="R1944" s="195"/>
    </row>
    <row r="1945" spans="1:23" s="18" customFormat="1" ht="39" customHeight="1">
      <c r="A1945" s="82" t="s">
        <v>1516</v>
      </c>
      <c r="B1945" s="83">
        <v>793</v>
      </c>
      <c r="C1945" s="84" t="s">
        <v>167</v>
      </c>
      <c r="D1945" s="84" t="s">
        <v>69</v>
      </c>
      <c r="E1945" s="84" t="s">
        <v>1101</v>
      </c>
      <c r="F1945" s="84"/>
      <c r="G1945" s="70">
        <f>G1946+G1948</f>
        <v>2487695</v>
      </c>
      <c r="H1945" s="87">
        <f t="shared" ref="H1945:I1945" si="579">H1946</f>
        <v>0</v>
      </c>
      <c r="I1945" s="87">
        <f t="shared" si="579"/>
        <v>0</v>
      </c>
      <c r="J1945" s="173"/>
      <c r="K1945" s="195"/>
      <c r="L1945" s="195"/>
      <c r="M1945" s="195"/>
      <c r="N1945" s="195"/>
      <c r="O1945" s="195"/>
      <c r="P1945" s="195"/>
      <c r="Q1945" s="195"/>
      <c r="R1945" s="195"/>
    </row>
    <row r="1946" spans="1:23" ht="30.75" hidden="1" customHeight="1">
      <c r="A1946" s="82" t="s">
        <v>35</v>
      </c>
      <c r="B1946" s="83">
        <v>793</v>
      </c>
      <c r="C1946" s="84" t="s">
        <v>167</v>
      </c>
      <c r="D1946" s="84" t="s">
        <v>69</v>
      </c>
      <c r="E1946" s="84" t="s">
        <v>1101</v>
      </c>
      <c r="F1946" s="84" t="s">
        <v>36</v>
      </c>
      <c r="G1946" s="70">
        <f t="shared" ref="G1946:I1946" si="580">G1947</f>
        <v>0</v>
      </c>
      <c r="H1946" s="87">
        <f t="shared" si="580"/>
        <v>0</v>
      </c>
      <c r="I1946" s="87">
        <f t="shared" si="580"/>
        <v>0</v>
      </c>
      <c r="J1946" s="173"/>
      <c r="K1946" s="181"/>
      <c r="L1946" s="181"/>
      <c r="M1946" s="181"/>
      <c r="N1946" s="181"/>
      <c r="O1946" s="181"/>
      <c r="P1946" s="181"/>
      <c r="Q1946" s="181"/>
      <c r="R1946" s="181"/>
      <c r="S1946" s="1"/>
      <c r="T1946" s="1"/>
    </row>
    <row r="1947" spans="1:23" s="18" customFormat="1" ht="34.5" hidden="1" customHeight="1">
      <c r="A1947" s="82" t="s">
        <v>37</v>
      </c>
      <c r="B1947" s="83">
        <v>793</v>
      </c>
      <c r="C1947" s="84" t="s">
        <v>167</v>
      </c>
      <c r="D1947" s="84" t="s">
        <v>69</v>
      </c>
      <c r="E1947" s="84" t="s">
        <v>1101</v>
      </c>
      <c r="F1947" s="84" t="s">
        <v>38</v>
      </c>
      <c r="G1947" s="70">
        <f>прил4!G2462</f>
        <v>0</v>
      </c>
      <c r="H1947" s="87">
        <v>0</v>
      </c>
      <c r="I1947" s="87">
        <v>0</v>
      </c>
      <c r="J1947" s="173"/>
      <c r="K1947" s="195"/>
      <c r="L1947" s="195"/>
      <c r="M1947" s="195"/>
      <c r="N1947" s="195"/>
      <c r="O1947" s="195"/>
      <c r="P1947" s="195"/>
      <c r="Q1947" s="195"/>
      <c r="R1947" s="195"/>
    </row>
    <row r="1948" spans="1:23" ht="30.75" customHeight="1">
      <c r="A1948" s="16" t="s">
        <v>94</v>
      </c>
      <c r="B1948" s="49">
        <v>793</v>
      </c>
      <c r="C1948" s="15" t="s">
        <v>167</v>
      </c>
      <c r="D1948" s="15" t="s">
        <v>69</v>
      </c>
      <c r="E1948" s="15" t="s">
        <v>1101</v>
      </c>
      <c r="F1948" s="15" t="s">
        <v>338</v>
      </c>
      <c r="G1948" s="70">
        <f t="shared" ref="G1948:I1948" si="581">G1949</f>
        <v>2487695</v>
      </c>
      <c r="H1948" s="70">
        <f t="shared" si="581"/>
        <v>0</v>
      </c>
      <c r="I1948" s="70">
        <f t="shared" si="581"/>
        <v>0</v>
      </c>
      <c r="J1948" s="172"/>
      <c r="K1948" s="69"/>
      <c r="L1948" s="69"/>
      <c r="M1948" s="69"/>
      <c r="N1948" s="69"/>
      <c r="O1948" s="69"/>
      <c r="P1948" s="69"/>
      <c r="Q1948" s="69"/>
      <c r="R1948" s="69"/>
      <c r="S1948" s="1"/>
      <c r="T1948" s="1"/>
    </row>
    <row r="1949" spans="1:23" s="18" customFormat="1" ht="34.5" customHeight="1">
      <c r="A1949" s="16" t="s">
        <v>339</v>
      </c>
      <c r="B1949" s="49">
        <v>793</v>
      </c>
      <c r="C1949" s="15" t="s">
        <v>167</v>
      </c>
      <c r="D1949" s="15" t="s">
        <v>69</v>
      </c>
      <c r="E1949" s="15" t="s">
        <v>1101</v>
      </c>
      <c r="F1949" s="15" t="s">
        <v>340</v>
      </c>
      <c r="G1949" s="70">
        <f>прил4!G2470</f>
        <v>2487695</v>
      </c>
      <c r="H1949" s="70">
        <v>0</v>
      </c>
      <c r="I1949" s="70">
        <v>0</v>
      </c>
      <c r="J1949" s="172"/>
      <c r="K1949" s="180"/>
      <c r="L1949" s="180"/>
      <c r="M1949" s="180"/>
      <c r="N1949" s="180"/>
      <c r="O1949" s="180"/>
      <c r="P1949" s="180"/>
      <c r="Q1949" s="180"/>
      <c r="R1949" s="180"/>
    </row>
    <row r="1950" spans="1:23" s="18" customFormat="1" ht="39" customHeight="1">
      <c r="A1950" s="82" t="s">
        <v>368</v>
      </c>
      <c r="B1950" s="14">
        <v>800</v>
      </c>
      <c r="C1950" s="84" t="s">
        <v>167</v>
      </c>
      <c r="D1950" s="84" t="s">
        <v>69</v>
      </c>
      <c r="E1950" s="84" t="s">
        <v>1111</v>
      </c>
      <c r="F1950" s="84"/>
      <c r="G1950" s="87">
        <f>G1951+G1965</f>
        <v>17260434.740000002</v>
      </c>
      <c r="H1950" s="87">
        <f t="shared" ref="H1950:I1950" si="582">H1951</f>
        <v>17774987</v>
      </c>
      <c r="I1950" s="87">
        <f t="shared" si="582"/>
        <v>17774987</v>
      </c>
      <c r="J1950" s="173"/>
      <c r="K1950" s="195"/>
      <c r="L1950" s="195"/>
      <c r="M1950" s="195"/>
      <c r="N1950" s="195"/>
      <c r="O1950" s="195"/>
      <c r="P1950" s="195"/>
      <c r="Q1950" s="195"/>
      <c r="R1950" s="195"/>
    </row>
    <row r="1951" spans="1:23" ht="30.75" customHeight="1">
      <c r="A1951" s="82" t="s">
        <v>35</v>
      </c>
      <c r="B1951" s="14">
        <v>800</v>
      </c>
      <c r="C1951" s="84" t="s">
        <v>167</v>
      </c>
      <c r="D1951" s="84" t="s">
        <v>69</v>
      </c>
      <c r="E1951" s="84" t="s">
        <v>1111</v>
      </c>
      <c r="F1951" s="84" t="s">
        <v>36</v>
      </c>
      <c r="G1951" s="87">
        <f t="shared" ref="G1951:I1951" si="583">G1952</f>
        <v>17256202.510000002</v>
      </c>
      <c r="H1951" s="87">
        <f t="shared" si="583"/>
        <v>17774987</v>
      </c>
      <c r="I1951" s="87">
        <f t="shared" si="583"/>
        <v>17774987</v>
      </c>
      <c r="J1951" s="173"/>
      <c r="K1951" s="181"/>
      <c r="L1951" s="181"/>
      <c r="M1951" s="181"/>
      <c r="N1951" s="181"/>
      <c r="O1951" s="181"/>
      <c r="P1951" s="181"/>
      <c r="Q1951" s="181"/>
      <c r="R1951" s="181"/>
      <c r="S1951" s="1"/>
      <c r="T1951" s="1"/>
    </row>
    <row r="1952" spans="1:23" s="18" customFormat="1" ht="34.5" customHeight="1">
      <c r="A1952" s="82" t="s">
        <v>37</v>
      </c>
      <c r="B1952" s="14">
        <v>800</v>
      </c>
      <c r="C1952" s="84" t="s">
        <v>167</v>
      </c>
      <c r="D1952" s="84" t="s">
        <v>69</v>
      </c>
      <c r="E1952" s="84" t="s">
        <v>1111</v>
      </c>
      <c r="F1952" s="84" t="s">
        <v>38</v>
      </c>
      <c r="G1952" s="70">
        <f>прил4!G3355+прил4!G2482</f>
        <v>17256202.510000002</v>
      </c>
      <c r="H1952" s="70">
        <f>прил4!H3355+прил4!H2482</f>
        <v>17774987</v>
      </c>
      <c r="I1952" s="70">
        <f>прил4!I3355+прил4!I2482</f>
        <v>17774987</v>
      </c>
      <c r="J1952" s="173"/>
      <c r="K1952" s="195"/>
      <c r="L1952" s="195"/>
      <c r="M1952" s="195"/>
      <c r="N1952" s="195"/>
      <c r="O1952" s="195"/>
      <c r="P1952" s="195"/>
      <c r="Q1952" s="195"/>
      <c r="R1952" s="195"/>
      <c r="V1952" s="17">
        <f>G1952-10568908.55</f>
        <v>6687293.9600000009</v>
      </c>
    </row>
    <row r="1953" spans="1:20" s="46" customFormat="1" ht="17.25" hidden="1" customHeight="1">
      <c r="A1953" s="16" t="s">
        <v>368</v>
      </c>
      <c r="B1953" s="49">
        <v>793</v>
      </c>
      <c r="C1953" s="15" t="s">
        <v>167</v>
      </c>
      <c r="D1953" s="15" t="s">
        <v>69</v>
      </c>
      <c r="E1953" s="15" t="s">
        <v>1111</v>
      </c>
      <c r="F1953" s="15"/>
      <c r="G1953" s="70">
        <f t="shared" ref="G1953:I1953" si="584">G1954</f>
        <v>0</v>
      </c>
      <c r="H1953" s="70">
        <f t="shared" si="584"/>
        <v>0</v>
      </c>
      <c r="I1953" s="70">
        <f t="shared" si="584"/>
        <v>0</v>
      </c>
      <c r="J1953" s="172"/>
      <c r="K1953" s="58"/>
      <c r="L1953" s="58"/>
      <c r="M1953" s="58"/>
      <c r="N1953" s="58"/>
      <c r="O1953" s="58"/>
      <c r="P1953" s="58"/>
      <c r="Q1953" s="58"/>
      <c r="R1953" s="58"/>
    </row>
    <row r="1954" spans="1:20" s="46" customFormat="1" ht="17.25" hidden="1" customHeight="1">
      <c r="A1954" s="16" t="s">
        <v>316</v>
      </c>
      <c r="B1954" s="49">
        <v>793</v>
      </c>
      <c r="C1954" s="15" t="s">
        <v>167</v>
      </c>
      <c r="D1954" s="15" t="s">
        <v>69</v>
      </c>
      <c r="E1954" s="15" t="s">
        <v>1111</v>
      </c>
      <c r="F1954" s="15" t="s">
        <v>36</v>
      </c>
      <c r="G1954" s="70">
        <f>G1964</f>
        <v>0</v>
      </c>
      <c r="H1954" s="70">
        <f t="shared" ref="H1954:I1954" si="585">H1964</f>
        <v>0</v>
      </c>
      <c r="I1954" s="70">
        <f t="shared" si="585"/>
        <v>0</v>
      </c>
      <c r="J1954" s="172"/>
      <c r="K1954" s="58"/>
      <c r="L1954" s="58"/>
      <c r="M1954" s="58"/>
      <c r="N1954" s="58"/>
      <c r="O1954" s="58"/>
      <c r="P1954" s="58"/>
      <c r="Q1954" s="58"/>
      <c r="R1954" s="58"/>
    </row>
    <row r="1955" spans="1:20" s="28" customFormat="1" ht="24.75" hidden="1" customHeight="1">
      <c r="A1955" s="37" t="s">
        <v>163</v>
      </c>
      <c r="B1955" s="49">
        <v>793</v>
      </c>
      <c r="C1955" s="15" t="s">
        <v>167</v>
      </c>
      <c r="D1955" s="15" t="s">
        <v>69</v>
      </c>
      <c r="E1955" s="15" t="s">
        <v>228</v>
      </c>
      <c r="F1955" s="39"/>
      <c r="G1955" s="70">
        <f t="shared" ref="G1955:I1955" si="586">G1956</f>
        <v>0</v>
      </c>
      <c r="H1955" s="70">
        <f t="shared" si="586"/>
        <v>0</v>
      </c>
      <c r="I1955" s="70">
        <f t="shared" si="586"/>
        <v>0</v>
      </c>
      <c r="J1955" s="172"/>
      <c r="K1955" s="313"/>
      <c r="L1955" s="313"/>
      <c r="M1955" s="313"/>
      <c r="N1955" s="313"/>
      <c r="O1955" s="313"/>
      <c r="P1955" s="313"/>
      <c r="Q1955" s="313"/>
      <c r="R1955" s="313"/>
    </row>
    <row r="1956" spans="1:20" ht="26.4" hidden="1">
      <c r="A1956" s="37" t="s">
        <v>163</v>
      </c>
      <c r="B1956" s="49">
        <v>793</v>
      </c>
      <c r="C1956" s="15" t="s">
        <v>167</v>
      </c>
      <c r="D1956" s="15" t="s">
        <v>69</v>
      </c>
      <c r="E1956" s="15" t="s">
        <v>270</v>
      </c>
      <c r="F1956" s="15"/>
      <c r="G1956" s="70">
        <f>G1957+G1959</f>
        <v>0</v>
      </c>
      <c r="H1956" s="70">
        <f>H1957+H1959</f>
        <v>0</v>
      </c>
      <c r="I1956" s="70">
        <f>I1957+I1959</f>
        <v>0</v>
      </c>
      <c r="J1956" s="172"/>
      <c r="K1956" s="69"/>
      <c r="L1956" s="69"/>
      <c r="M1956" s="69"/>
      <c r="N1956" s="69"/>
      <c r="O1956" s="69"/>
      <c r="P1956" s="69"/>
      <c r="Q1956" s="69"/>
      <c r="R1956" s="69"/>
      <c r="S1956" s="1"/>
      <c r="T1956" s="1"/>
    </row>
    <row r="1957" spans="1:20" hidden="1">
      <c r="A1957" s="16"/>
      <c r="B1957" s="49">
        <v>793</v>
      </c>
      <c r="C1957" s="15" t="s">
        <v>167</v>
      </c>
      <c r="D1957" s="15" t="s">
        <v>69</v>
      </c>
      <c r="E1957" s="15" t="s">
        <v>270</v>
      </c>
      <c r="F1957" s="15"/>
      <c r="G1957" s="70"/>
      <c r="H1957" s="70"/>
      <c r="I1957" s="70"/>
      <c r="J1957" s="172"/>
      <c r="K1957" s="69"/>
      <c r="L1957" s="69"/>
      <c r="M1957" s="69"/>
      <c r="N1957" s="69"/>
      <c r="O1957" s="69"/>
      <c r="P1957" s="69"/>
      <c r="Q1957" s="69"/>
      <c r="R1957" s="69"/>
      <c r="S1957" s="1"/>
      <c r="T1957" s="1"/>
    </row>
    <row r="1958" spans="1:20" ht="30.75" hidden="1" customHeight="1">
      <c r="A1958" s="16"/>
      <c r="B1958" s="49">
        <v>793</v>
      </c>
      <c r="C1958" s="15" t="s">
        <v>167</v>
      </c>
      <c r="D1958" s="15" t="s">
        <v>69</v>
      </c>
      <c r="E1958" s="15" t="s">
        <v>270</v>
      </c>
      <c r="F1958" s="15"/>
      <c r="G1958" s="70"/>
      <c r="H1958" s="70"/>
      <c r="I1958" s="70"/>
      <c r="J1958" s="172"/>
      <c r="K1958" s="69"/>
      <c r="L1958" s="69"/>
      <c r="M1958" s="69"/>
      <c r="N1958" s="69"/>
      <c r="O1958" s="69"/>
      <c r="P1958" s="69"/>
      <c r="Q1958" s="69"/>
      <c r="R1958" s="69"/>
      <c r="S1958" s="1"/>
      <c r="T1958" s="1"/>
    </row>
    <row r="1959" spans="1:20" ht="18" hidden="1" customHeight="1">
      <c r="A1959" s="16" t="s">
        <v>152</v>
      </c>
      <c r="B1959" s="49">
        <v>793</v>
      </c>
      <c r="C1959" s="15" t="s">
        <v>167</v>
      </c>
      <c r="D1959" s="15" t="s">
        <v>69</v>
      </c>
      <c r="E1959" s="15" t="s">
        <v>270</v>
      </c>
      <c r="F1959" s="15" t="s">
        <v>153</v>
      </c>
      <c r="G1959" s="70">
        <f>G1960</f>
        <v>0</v>
      </c>
      <c r="H1959" s="70">
        <f>H1960</f>
        <v>0</v>
      </c>
      <c r="I1959" s="70">
        <f>I1960</f>
        <v>0</v>
      </c>
      <c r="J1959" s="172"/>
      <c r="K1959" s="69"/>
      <c r="L1959" s="69"/>
      <c r="M1959" s="69"/>
      <c r="N1959" s="69"/>
      <c r="O1959" s="69"/>
      <c r="P1959" s="69"/>
      <c r="Q1959" s="69"/>
      <c r="R1959" s="69"/>
      <c r="S1959" s="1"/>
      <c r="T1959" s="1"/>
    </row>
    <row r="1960" spans="1:20" ht="18" hidden="1" customHeight="1">
      <c r="A1960" s="16" t="s">
        <v>172</v>
      </c>
      <c r="B1960" s="49">
        <v>793</v>
      </c>
      <c r="C1960" s="15" t="s">
        <v>167</v>
      </c>
      <c r="D1960" s="15" t="s">
        <v>69</v>
      </c>
      <c r="E1960" s="15" t="s">
        <v>270</v>
      </c>
      <c r="F1960" s="15" t="s">
        <v>173</v>
      </c>
      <c r="G1960" s="70"/>
      <c r="H1960" s="70"/>
      <c r="I1960" s="70"/>
      <c r="J1960" s="172"/>
      <c r="K1960" s="69"/>
      <c r="L1960" s="69"/>
      <c r="M1960" s="69"/>
      <c r="N1960" s="69"/>
      <c r="O1960" s="69"/>
      <c r="P1960" s="69"/>
      <c r="Q1960" s="69"/>
      <c r="R1960" s="69"/>
      <c r="S1960" s="1"/>
      <c r="T1960" s="1"/>
    </row>
    <row r="1961" spans="1:20" ht="52.8" hidden="1">
      <c r="A1961" s="16" t="s">
        <v>467</v>
      </c>
      <c r="B1961" s="49">
        <v>793</v>
      </c>
      <c r="C1961" s="15" t="s">
        <v>167</v>
      </c>
      <c r="D1961" s="15" t="s">
        <v>69</v>
      </c>
      <c r="E1961" s="15" t="s">
        <v>289</v>
      </c>
      <c r="F1961" s="15"/>
      <c r="G1961" s="70"/>
      <c r="H1961" s="70">
        <f t="shared" ref="H1961:I1961" si="587">H1962+H1965+H1970+H1973</f>
        <v>170000</v>
      </c>
      <c r="I1961" s="70">
        <f t="shared" si="587"/>
        <v>170000</v>
      </c>
      <c r="J1961" s="172"/>
      <c r="K1961" s="69"/>
      <c r="L1961" s="69"/>
      <c r="M1961" s="69"/>
      <c r="N1961" s="69"/>
      <c r="O1961" s="69"/>
      <c r="P1961" s="69"/>
      <c r="Q1961" s="69"/>
      <c r="R1961" s="69"/>
      <c r="S1961" s="1"/>
      <c r="T1961" s="1"/>
    </row>
    <row r="1962" spans="1:20" s="46" customFormat="1" ht="17.25" hidden="1" customHeight="1">
      <c r="A1962" s="16" t="s">
        <v>368</v>
      </c>
      <c r="B1962" s="49">
        <v>793</v>
      </c>
      <c r="C1962" s="15" t="s">
        <v>167</v>
      </c>
      <c r="D1962" s="15" t="s">
        <v>69</v>
      </c>
      <c r="E1962" s="15" t="s">
        <v>367</v>
      </c>
      <c r="F1962" s="15"/>
      <c r="G1962" s="70">
        <f t="shared" ref="G1962:I1963" si="588">G1963</f>
        <v>0</v>
      </c>
      <c r="H1962" s="70">
        <f t="shared" si="588"/>
        <v>0</v>
      </c>
      <c r="I1962" s="70">
        <f t="shared" si="588"/>
        <v>0</v>
      </c>
      <c r="J1962" s="172"/>
      <c r="K1962" s="58"/>
      <c r="L1962" s="58"/>
      <c r="M1962" s="58"/>
      <c r="N1962" s="58"/>
      <c r="O1962" s="58"/>
      <c r="P1962" s="58"/>
      <c r="Q1962" s="58"/>
      <c r="R1962" s="58"/>
    </row>
    <row r="1963" spans="1:20" s="46" customFormat="1" ht="17.25" hidden="1" customHeight="1">
      <c r="A1963" s="16" t="s">
        <v>316</v>
      </c>
      <c r="B1963" s="49">
        <v>793</v>
      </c>
      <c r="C1963" s="15" t="s">
        <v>167</v>
      </c>
      <c r="D1963" s="15" t="s">
        <v>69</v>
      </c>
      <c r="E1963" s="15" t="s">
        <v>367</v>
      </c>
      <c r="F1963" s="15" t="s">
        <v>36</v>
      </c>
      <c r="G1963" s="70"/>
      <c r="H1963" s="70">
        <f t="shared" si="588"/>
        <v>0</v>
      </c>
      <c r="I1963" s="70">
        <f t="shared" si="588"/>
        <v>0</v>
      </c>
      <c r="J1963" s="172"/>
      <c r="K1963" s="58"/>
      <c r="L1963" s="58"/>
      <c r="M1963" s="58"/>
      <c r="N1963" s="58"/>
      <c r="O1963" s="58"/>
      <c r="P1963" s="58"/>
      <c r="Q1963" s="58"/>
      <c r="R1963" s="58"/>
    </row>
    <row r="1964" spans="1:20" s="46" customFormat="1" ht="32.25" hidden="1" customHeight="1">
      <c r="A1964" s="16" t="s">
        <v>37</v>
      </c>
      <c r="B1964" s="49">
        <v>793</v>
      </c>
      <c r="C1964" s="15" t="s">
        <v>167</v>
      </c>
      <c r="D1964" s="15" t="s">
        <v>69</v>
      </c>
      <c r="E1964" s="15" t="s">
        <v>1111</v>
      </c>
      <c r="F1964" s="15" t="s">
        <v>38</v>
      </c>
      <c r="G1964" s="70"/>
      <c r="H1964" s="70"/>
      <c r="I1964" s="70"/>
      <c r="J1964" s="172"/>
      <c r="K1964" s="58"/>
      <c r="L1964" s="58"/>
      <c r="M1964" s="58"/>
      <c r="N1964" s="58"/>
      <c r="O1964" s="58"/>
      <c r="P1964" s="58"/>
      <c r="Q1964" s="58"/>
      <c r="R1964" s="58"/>
    </row>
    <row r="1965" spans="1:20" ht="30.75" customHeight="1">
      <c r="A1965" s="16" t="s">
        <v>62</v>
      </c>
      <c r="B1965" s="14">
        <v>800</v>
      </c>
      <c r="C1965" s="84" t="s">
        <v>167</v>
      </c>
      <c r="D1965" s="84" t="s">
        <v>69</v>
      </c>
      <c r="E1965" s="84" t="s">
        <v>1111</v>
      </c>
      <c r="F1965" s="84" t="s">
        <v>63</v>
      </c>
      <c r="G1965" s="87">
        <f t="shared" ref="G1965:I1965" si="589">G1966</f>
        <v>4232.2299999999996</v>
      </c>
      <c r="H1965" s="87">
        <f t="shared" si="589"/>
        <v>0</v>
      </c>
      <c r="I1965" s="87">
        <f t="shared" si="589"/>
        <v>0</v>
      </c>
      <c r="J1965" s="173"/>
      <c r="K1965" s="181"/>
      <c r="L1965" s="181"/>
      <c r="M1965" s="181"/>
      <c r="N1965" s="181"/>
      <c r="O1965" s="181"/>
      <c r="P1965" s="181"/>
      <c r="Q1965" s="181"/>
      <c r="R1965" s="181"/>
      <c r="S1965" s="1"/>
      <c r="T1965" s="1"/>
    </row>
    <row r="1966" spans="1:20" s="18" customFormat="1" ht="34.5" customHeight="1">
      <c r="A1966" s="16" t="s">
        <v>140</v>
      </c>
      <c r="B1966" s="14">
        <v>800</v>
      </c>
      <c r="C1966" s="84" t="s">
        <v>167</v>
      </c>
      <c r="D1966" s="84" t="s">
        <v>69</v>
      </c>
      <c r="E1966" s="84" t="s">
        <v>1111</v>
      </c>
      <c r="F1966" s="84" t="s">
        <v>66</v>
      </c>
      <c r="G1966" s="70">
        <f>прил4!G3357</f>
        <v>4232.2299999999996</v>
      </c>
      <c r="H1966" s="70">
        <v>0</v>
      </c>
      <c r="I1966" s="70">
        <v>0</v>
      </c>
      <c r="J1966" s="173"/>
      <c r="K1966" s="195"/>
      <c r="L1966" s="195"/>
      <c r="M1966" s="195"/>
      <c r="N1966" s="195"/>
      <c r="O1966" s="195"/>
      <c r="P1966" s="195"/>
      <c r="Q1966" s="195"/>
      <c r="R1966" s="195"/>
    </row>
    <row r="1967" spans="1:20" ht="30.75" customHeight="1">
      <c r="A1967" s="16" t="s">
        <v>37</v>
      </c>
      <c r="B1967" s="49">
        <v>793</v>
      </c>
      <c r="C1967" s="15" t="s">
        <v>167</v>
      </c>
      <c r="D1967" s="15" t="s">
        <v>69</v>
      </c>
      <c r="E1967" s="15" t="s">
        <v>1156</v>
      </c>
      <c r="F1967" s="15" t="s">
        <v>38</v>
      </c>
      <c r="G1967" s="70">
        <f>прил4!G2485+прил4!G3352</f>
        <v>1550000</v>
      </c>
      <c r="H1967" s="70">
        <v>1200000</v>
      </c>
      <c r="I1967" s="70">
        <v>1200000</v>
      </c>
      <c r="J1967" s="172"/>
      <c r="K1967" s="69"/>
      <c r="L1967" s="69"/>
      <c r="M1967" s="69"/>
      <c r="N1967" s="69"/>
      <c r="O1967" s="69"/>
      <c r="P1967" s="69"/>
      <c r="Q1967" s="69"/>
      <c r="R1967" s="69"/>
      <c r="S1967" s="1"/>
      <c r="T1967" s="1"/>
    </row>
    <row r="1968" spans="1:20" ht="18" hidden="1" customHeight="1">
      <c r="A1968" s="16" t="s">
        <v>152</v>
      </c>
      <c r="B1968" s="49">
        <v>793</v>
      </c>
      <c r="C1968" s="15" t="s">
        <v>167</v>
      </c>
      <c r="D1968" s="15" t="s">
        <v>69</v>
      </c>
      <c r="E1968" s="15" t="s">
        <v>97</v>
      </c>
      <c r="F1968" s="15" t="s">
        <v>153</v>
      </c>
      <c r="G1968" s="70">
        <f>G1969</f>
        <v>0</v>
      </c>
      <c r="H1968" s="70">
        <f>H1969</f>
        <v>0</v>
      </c>
      <c r="I1968" s="70">
        <f>I1969</f>
        <v>0</v>
      </c>
      <c r="J1968" s="172"/>
      <c r="K1968" s="69"/>
      <c r="L1968" s="69"/>
      <c r="M1968" s="69"/>
      <c r="N1968" s="69"/>
      <c r="O1968" s="69"/>
      <c r="P1968" s="69"/>
      <c r="Q1968" s="69"/>
      <c r="R1968" s="69"/>
      <c r="S1968" s="1"/>
      <c r="T1968" s="1"/>
    </row>
    <row r="1969" spans="1:20" ht="18" hidden="1" customHeight="1">
      <c r="A1969" s="16" t="s">
        <v>172</v>
      </c>
      <c r="B1969" s="49">
        <v>793</v>
      </c>
      <c r="C1969" s="15" t="s">
        <v>167</v>
      </c>
      <c r="D1969" s="15" t="s">
        <v>69</v>
      </c>
      <c r="E1969" s="15" t="s">
        <v>97</v>
      </c>
      <c r="F1969" s="15" t="s">
        <v>173</v>
      </c>
      <c r="G1969" s="70"/>
      <c r="H1969" s="70"/>
      <c r="I1969" s="70"/>
      <c r="J1969" s="172"/>
      <c r="K1969" s="69"/>
      <c r="L1969" s="69"/>
      <c r="M1969" s="69"/>
      <c r="N1969" s="69"/>
      <c r="O1969" s="69"/>
      <c r="P1969" s="69"/>
      <c r="Q1969" s="69"/>
      <c r="R1969" s="69"/>
      <c r="S1969" s="1"/>
      <c r="T1969" s="1"/>
    </row>
    <row r="1970" spans="1:20" ht="26.25" customHeight="1">
      <c r="A1970" s="16" t="s">
        <v>76</v>
      </c>
      <c r="B1970" s="49">
        <v>793</v>
      </c>
      <c r="C1970" s="15" t="s">
        <v>167</v>
      </c>
      <c r="D1970" s="15" t="s">
        <v>69</v>
      </c>
      <c r="E1970" s="15" t="s">
        <v>1157</v>
      </c>
      <c r="F1970" s="15"/>
      <c r="G1970" s="70">
        <f t="shared" ref="G1970:I1971" si="590">G1971</f>
        <v>33500</v>
      </c>
      <c r="H1970" s="70">
        <f t="shared" si="590"/>
        <v>70000</v>
      </c>
      <c r="I1970" s="70">
        <f t="shared" si="590"/>
        <v>70000</v>
      </c>
      <c r="J1970" s="172"/>
      <c r="K1970" s="69"/>
      <c r="L1970" s="69"/>
      <c r="M1970" s="69"/>
      <c r="N1970" s="69"/>
      <c r="O1970" s="69"/>
      <c r="P1970" s="69"/>
      <c r="Q1970" s="69"/>
      <c r="R1970" s="69"/>
      <c r="S1970" s="1"/>
      <c r="T1970" s="1"/>
    </row>
    <row r="1971" spans="1:20" ht="26.25" customHeight="1">
      <c r="A1971" s="16" t="s">
        <v>35</v>
      </c>
      <c r="B1971" s="49">
        <v>793</v>
      </c>
      <c r="C1971" s="15" t="s">
        <v>167</v>
      </c>
      <c r="D1971" s="15" t="s">
        <v>69</v>
      </c>
      <c r="E1971" s="15" t="s">
        <v>1157</v>
      </c>
      <c r="F1971" s="15" t="s">
        <v>36</v>
      </c>
      <c r="G1971" s="70">
        <f t="shared" si="590"/>
        <v>33500</v>
      </c>
      <c r="H1971" s="70">
        <f t="shared" si="590"/>
        <v>70000</v>
      </c>
      <c r="I1971" s="70">
        <f t="shared" si="590"/>
        <v>70000</v>
      </c>
      <c r="J1971" s="172"/>
      <c r="K1971" s="69"/>
      <c r="L1971" s="69"/>
      <c r="M1971" s="69"/>
      <c r="N1971" s="69"/>
      <c r="O1971" s="69"/>
      <c r="P1971" s="69"/>
      <c r="Q1971" s="69"/>
      <c r="R1971" s="69"/>
      <c r="S1971" s="1"/>
      <c r="T1971" s="1"/>
    </row>
    <row r="1972" spans="1:20" ht="26.4">
      <c r="A1972" s="16" t="s">
        <v>37</v>
      </c>
      <c r="B1972" s="49">
        <v>793</v>
      </c>
      <c r="C1972" s="15" t="s">
        <v>167</v>
      </c>
      <c r="D1972" s="15" t="s">
        <v>69</v>
      </c>
      <c r="E1972" s="15" t="s">
        <v>1157</v>
      </c>
      <c r="F1972" s="15" t="s">
        <v>38</v>
      </c>
      <c r="G1972" s="70">
        <f>прил4!G2490</f>
        <v>33500</v>
      </c>
      <c r="H1972" s="70">
        <f>прил4!H2490</f>
        <v>70000</v>
      </c>
      <c r="I1972" s="70">
        <f>прил4!I2490</f>
        <v>70000</v>
      </c>
      <c r="J1972" s="172"/>
      <c r="K1972" s="69"/>
      <c r="L1972" s="69"/>
      <c r="M1972" s="69"/>
      <c r="N1972" s="69"/>
      <c r="O1972" s="69"/>
      <c r="P1972" s="69"/>
      <c r="Q1972" s="69"/>
      <c r="R1972" s="69"/>
      <c r="S1972" s="1"/>
      <c r="T1972" s="1"/>
    </row>
    <row r="1973" spans="1:20" ht="30.75" customHeight="1">
      <c r="A1973" s="16" t="s">
        <v>669</v>
      </c>
      <c r="B1973" s="49">
        <v>793</v>
      </c>
      <c r="C1973" s="15" t="s">
        <v>167</v>
      </c>
      <c r="D1973" s="15" t="s">
        <v>69</v>
      </c>
      <c r="E1973" s="15" t="s">
        <v>1158</v>
      </c>
      <c r="F1973" s="15"/>
      <c r="G1973" s="70">
        <f t="shared" ref="G1973:I1977" si="591">G1974</f>
        <v>0</v>
      </c>
      <c r="H1973" s="70">
        <f t="shared" si="591"/>
        <v>100000</v>
      </c>
      <c r="I1973" s="70">
        <f t="shared" si="591"/>
        <v>100000</v>
      </c>
      <c r="J1973" s="172"/>
      <c r="K1973" s="69"/>
      <c r="L1973" s="69"/>
      <c r="M1973" s="69"/>
      <c r="N1973" s="69"/>
      <c r="O1973" s="69"/>
      <c r="P1973" s="69"/>
      <c r="Q1973" s="69"/>
      <c r="R1973" s="69"/>
      <c r="S1973" s="1"/>
      <c r="T1973" s="1"/>
    </row>
    <row r="1974" spans="1:20" ht="30.75" customHeight="1">
      <c r="A1974" s="16" t="s">
        <v>35</v>
      </c>
      <c r="B1974" s="49">
        <v>793</v>
      </c>
      <c r="C1974" s="15" t="s">
        <v>167</v>
      </c>
      <c r="D1974" s="15" t="s">
        <v>69</v>
      </c>
      <c r="E1974" s="15" t="s">
        <v>1158</v>
      </c>
      <c r="F1974" s="15" t="s">
        <v>36</v>
      </c>
      <c r="G1974" s="70">
        <f t="shared" si="591"/>
        <v>0</v>
      </c>
      <c r="H1974" s="70">
        <f t="shared" si="591"/>
        <v>100000</v>
      </c>
      <c r="I1974" s="70">
        <f t="shared" si="591"/>
        <v>100000</v>
      </c>
      <c r="J1974" s="172"/>
      <c r="K1974" s="69"/>
      <c r="L1974" s="69"/>
      <c r="M1974" s="69"/>
      <c r="N1974" s="69"/>
      <c r="O1974" s="69"/>
      <c r="P1974" s="69"/>
      <c r="Q1974" s="69"/>
      <c r="R1974" s="69"/>
      <c r="S1974" s="1"/>
      <c r="T1974" s="1"/>
    </row>
    <row r="1975" spans="1:20" ht="30.75" customHeight="1">
      <c r="A1975" s="16" t="s">
        <v>37</v>
      </c>
      <c r="B1975" s="49">
        <v>793</v>
      </c>
      <c r="C1975" s="15" t="s">
        <v>167</v>
      </c>
      <c r="D1975" s="15" t="s">
        <v>69</v>
      </c>
      <c r="E1975" s="15" t="s">
        <v>1158</v>
      </c>
      <c r="F1975" s="15" t="s">
        <v>38</v>
      </c>
      <c r="G1975" s="70">
        <f>прил4!G2493</f>
        <v>0</v>
      </c>
      <c r="H1975" s="70">
        <f>прил4!H2493</f>
        <v>100000</v>
      </c>
      <c r="I1975" s="70">
        <f>прил4!I2493</f>
        <v>100000</v>
      </c>
      <c r="J1975" s="172"/>
      <c r="K1975" s="69"/>
      <c r="L1975" s="69"/>
      <c r="M1975" s="69"/>
      <c r="N1975" s="69"/>
      <c r="O1975" s="69"/>
      <c r="P1975" s="69"/>
      <c r="Q1975" s="69"/>
      <c r="R1975" s="69"/>
      <c r="S1975" s="1"/>
      <c r="T1975" s="1"/>
    </row>
    <row r="1976" spans="1:20" ht="50.25" customHeight="1">
      <c r="A1976" s="16" t="s">
        <v>1438</v>
      </c>
      <c r="B1976" s="49">
        <v>793</v>
      </c>
      <c r="C1976" s="15" t="s">
        <v>167</v>
      </c>
      <c r="D1976" s="15" t="s">
        <v>69</v>
      </c>
      <c r="E1976" s="15" t="s">
        <v>1397</v>
      </c>
      <c r="F1976" s="15"/>
      <c r="G1976" s="70">
        <f t="shared" si="591"/>
        <v>390000</v>
      </c>
      <c r="H1976" s="70">
        <f t="shared" si="591"/>
        <v>0</v>
      </c>
      <c r="I1976" s="70">
        <f t="shared" si="591"/>
        <v>0</v>
      </c>
      <c r="J1976" s="172"/>
      <c r="K1976" s="69"/>
      <c r="L1976" s="69"/>
      <c r="M1976" s="69"/>
      <c r="N1976" s="69"/>
      <c r="O1976" s="69"/>
      <c r="P1976" s="69"/>
      <c r="Q1976" s="69"/>
      <c r="R1976" s="69"/>
      <c r="S1976" s="1"/>
      <c r="T1976" s="1"/>
    </row>
    <row r="1977" spans="1:20" ht="24.75" customHeight="1">
      <c r="A1977" s="16" t="s">
        <v>316</v>
      </c>
      <c r="B1977" s="49">
        <v>793</v>
      </c>
      <c r="C1977" s="15" t="s">
        <v>167</v>
      </c>
      <c r="D1977" s="15" t="s">
        <v>69</v>
      </c>
      <c r="E1977" s="15" t="s">
        <v>1397</v>
      </c>
      <c r="F1977" s="15" t="s">
        <v>36</v>
      </c>
      <c r="G1977" s="70">
        <f t="shared" si="591"/>
        <v>390000</v>
      </c>
      <c r="H1977" s="70">
        <f t="shared" si="591"/>
        <v>0</v>
      </c>
      <c r="I1977" s="70">
        <f t="shared" si="591"/>
        <v>0</v>
      </c>
      <c r="J1977" s="172"/>
      <c r="K1977" s="69"/>
      <c r="L1977" s="69"/>
      <c r="M1977" s="69"/>
      <c r="N1977" s="69"/>
      <c r="O1977" s="69"/>
      <c r="P1977" s="69"/>
      <c r="Q1977" s="69"/>
      <c r="R1977" s="69"/>
      <c r="S1977" s="1"/>
      <c r="T1977" s="1"/>
    </row>
    <row r="1978" spans="1:20" ht="30.75" customHeight="1">
      <c r="A1978" s="16" t="s">
        <v>37</v>
      </c>
      <c r="B1978" s="49">
        <v>793</v>
      </c>
      <c r="C1978" s="15" t="s">
        <v>167</v>
      </c>
      <c r="D1978" s="15" t="s">
        <v>69</v>
      </c>
      <c r="E1978" s="15" t="s">
        <v>1397</v>
      </c>
      <c r="F1978" s="15" t="s">
        <v>38</v>
      </c>
      <c r="G1978" s="70">
        <f>прил4!G2496</f>
        <v>390000</v>
      </c>
      <c r="H1978" s="70">
        <f>прил4!H2496</f>
        <v>0</v>
      </c>
      <c r="I1978" s="70">
        <f>прил4!I2496</f>
        <v>0</v>
      </c>
      <c r="J1978" s="172"/>
      <c r="K1978" s="69"/>
      <c r="L1978" s="69"/>
      <c r="M1978" s="69"/>
      <c r="N1978" s="69"/>
      <c r="O1978" s="69"/>
      <c r="P1978" s="69"/>
      <c r="Q1978" s="69"/>
      <c r="R1978" s="69"/>
      <c r="S1978" s="1"/>
      <c r="T1978" s="1"/>
    </row>
    <row r="1979" spans="1:20" ht="75" hidden="1" customHeight="1">
      <c r="A1979" s="16"/>
      <c r="B1979" s="49"/>
      <c r="C1979" s="15"/>
      <c r="D1979" s="15"/>
      <c r="E1979" s="15"/>
      <c r="F1979" s="15"/>
      <c r="G1979" s="70"/>
      <c r="H1979" s="70"/>
      <c r="I1979" s="70"/>
      <c r="J1979" s="172"/>
      <c r="K1979" s="69"/>
      <c r="L1979" s="69"/>
      <c r="M1979" s="69"/>
      <c r="N1979" s="69"/>
      <c r="O1979" s="69"/>
      <c r="P1979" s="69"/>
      <c r="Q1979" s="69"/>
      <c r="R1979" s="69"/>
      <c r="S1979" s="1"/>
      <c r="T1979" s="1"/>
    </row>
    <row r="1980" spans="1:20" ht="26.25" hidden="1" customHeight="1">
      <c r="A1980" s="16"/>
      <c r="B1980" s="49"/>
      <c r="C1980" s="15"/>
      <c r="D1980" s="15"/>
      <c r="E1980" s="15"/>
      <c r="F1980" s="15"/>
      <c r="G1980" s="70"/>
      <c r="H1980" s="70"/>
      <c r="I1980" s="70"/>
      <c r="J1980" s="172"/>
      <c r="K1980" s="69"/>
      <c r="L1980" s="69"/>
      <c r="M1980" s="69"/>
      <c r="N1980" s="69"/>
      <c r="O1980" s="69"/>
      <c r="P1980" s="69"/>
      <c r="Q1980" s="69"/>
      <c r="R1980" s="69"/>
      <c r="S1980" s="1"/>
      <c r="T1980" s="1"/>
    </row>
    <row r="1981" spans="1:20" hidden="1">
      <c r="A1981" s="16"/>
      <c r="B1981" s="49"/>
      <c r="C1981" s="15"/>
      <c r="D1981" s="15"/>
      <c r="E1981" s="15"/>
      <c r="F1981" s="15"/>
      <c r="G1981" s="70"/>
      <c r="H1981" s="70"/>
      <c r="I1981" s="70"/>
      <c r="J1981" s="172"/>
      <c r="K1981" s="69"/>
      <c r="L1981" s="69"/>
      <c r="M1981" s="69"/>
      <c r="N1981" s="69"/>
      <c r="O1981" s="69"/>
      <c r="P1981" s="69"/>
      <c r="Q1981" s="69"/>
      <c r="R1981" s="69"/>
      <c r="S1981" s="1"/>
      <c r="T1981" s="1"/>
    </row>
    <row r="1982" spans="1:20" s="22" customFormat="1" ht="36" customHeight="1">
      <c r="A1982" s="107" t="s">
        <v>1146</v>
      </c>
      <c r="B1982" s="35">
        <v>793</v>
      </c>
      <c r="C1982" s="36" t="s">
        <v>53</v>
      </c>
      <c r="D1982" s="36" t="s">
        <v>87</v>
      </c>
      <c r="E1982" s="35" t="s">
        <v>801</v>
      </c>
      <c r="F1982" s="35"/>
      <c r="G1982" s="71">
        <f>G1983</f>
        <v>0</v>
      </c>
      <c r="H1982" s="71">
        <f>H1983</f>
        <v>500000</v>
      </c>
      <c r="I1982" s="71">
        <f>I1983</f>
        <v>500000</v>
      </c>
      <c r="P1982" s="21"/>
      <c r="Q1982" s="21"/>
      <c r="R1982" s="21"/>
      <c r="S1982" s="21"/>
      <c r="T1982" s="21"/>
    </row>
    <row r="1983" spans="1:20" ht="39" customHeight="1">
      <c r="A1983" s="16" t="s">
        <v>803</v>
      </c>
      <c r="B1983" s="14">
        <v>793</v>
      </c>
      <c r="C1983" s="15" t="s">
        <v>53</v>
      </c>
      <c r="D1983" s="15" t="s">
        <v>87</v>
      </c>
      <c r="E1983" s="14" t="s">
        <v>802</v>
      </c>
      <c r="F1983" s="14"/>
      <c r="G1983" s="70">
        <f>G1984</f>
        <v>0</v>
      </c>
      <c r="H1983" s="70">
        <f t="shared" ref="H1983:I1983" si="592">H1984</f>
        <v>500000</v>
      </c>
      <c r="I1983" s="70">
        <f t="shared" si="592"/>
        <v>500000</v>
      </c>
      <c r="J1983" s="1"/>
    </row>
    <row r="1984" spans="1:20" ht="17.25" customHeight="1">
      <c r="A1984" s="16" t="s">
        <v>316</v>
      </c>
      <c r="B1984" s="14">
        <v>793</v>
      </c>
      <c r="C1984" s="15" t="s">
        <v>53</v>
      </c>
      <c r="D1984" s="15" t="s">
        <v>87</v>
      </c>
      <c r="E1984" s="14" t="s">
        <v>802</v>
      </c>
      <c r="F1984" s="14">
        <v>200</v>
      </c>
      <c r="G1984" s="70">
        <f>G1985</f>
        <v>0</v>
      </c>
      <c r="H1984" s="70">
        <f>H1985</f>
        <v>500000</v>
      </c>
      <c r="I1984" s="70">
        <f>I1985</f>
        <v>500000</v>
      </c>
      <c r="J1984" s="1"/>
    </row>
    <row r="1985" spans="1:22" ht="27.75" customHeight="1">
      <c r="A1985" s="16" t="s">
        <v>37</v>
      </c>
      <c r="B1985" s="14">
        <v>793</v>
      </c>
      <c r="C1985" s="15" t="s">
        <v>53</v>
      </c>
      <c r="D1985" s="15" t="s">
        <v>87</v>
      </c>
      <c r="E1985" s="14" t="s">
        <v>802</v>
      </c>
      <c r="F1985" s="14">
        <v>240</v>
      </c>
      <c r="G1985" s="70">
        <f>прил4!G2080</f>
        <v>0</v>
      </c>
      <c r="H1985" s="70">
        <f>прил4!H2080</f>
        <v>500000</v>
      </c>
      <c r="I1985" s="70">
        <f>прил4!I2080</f>
        <v>500000</v>
      </c>
      <c r="J1985" s="1"/>
    </row>
    <row r="1986" spans="1:22" s="74" customFormat="1" ht="42" customHeight="1">
      <c r="A1986" s="78" t="s">
        <v>114</v>
      </c>
      <c r="B1986" s="73"/>
      <c r="C1986" s="73"/>
      <c r="D1986" s="73"/>
      <c r="E1986" s="73"/>
      <c r="F1986" s="73"/>
      <c r="G1986" s="234">
        <f>G2014+G2049+G2106+G2124+G2137+G2146+G2191+G2203+G2295+G2303+G2309+G2172</f>
        <v>163624265.63000003</v>
      </c>
      <c r="H1986" s="234">
        <f>H2014+H2049+H2106+H2124+H2137+H2146+H2191+H2203+H2295+H2303+H2309</f>
        <v>142481962.99000001</v>
      </c>
      <c r="I1986" s="234">
        <f>I2014+I2049+I2106+I2124+I2137+I2146+I2191+I2203+I2295+I2303+I2309</f>
        <v>144153826.18000001</v>
      </c>
      <c r="J1986" s="112"/>
      <c r="P1986" s="112"/>
      <c r="Q1986" s="112"/>
      <c r="R1986" s="112"/>
      <c r="S1986" s="112"/>
      <c r="T1986" s="112"/>
      <c r="V1986" s="112"/>
    </row>
    <row r="1987" spans="1:22" hidden="1">
      <c r="A1987" s="34"/>
      <c r="B1987" s="35"/>
      <c r="C1987" s="36"/>
      <c r="D1987" s="36"/>
      <c r="E1987" s="36"/>
      <c r="F1987" s="36"/>
      <c r="G1987" s="12"/>
      <c r="H1987" s="12"/>
      <c r="I1987" s="12"/>
      <c r="J1987" s="1"/>
      <c r="L1987" s="2"/>
    </row>
    <row r="1988" spans="1:22" ht="40.5" hidden="1" customHeight="1">
      <c r="A1988" s="16"/>
      <c r="B1988" s="15"/>
      <c r="C1988" s="15"/>
      <c r="D1988" s="15"/>
      <c r="E1988" s="15"/>
      <c r="F1988" s="15"/>
      <c r="G1988" s="8"/>
      <c r="H1988" s="70"/>
      <c r="I1988" s="70"/>
      <c r="J1988" s="1"/>
    </row>
    <row r="1989" spans="1:22" ht="30" hidden="1" customHeight="1">
      <c r="A1989" s="16"/>
      <c r="B1989" s="15"/>
      <c r="C1989" s="15"/>
      <c r="D1989" s="15"/>
      <c r="E1989" s="15"/>
      <c r="F1989" s="15"/>
      <c r="G1989" s="8"/>
      <c r="H1989" s="70"/>
      <c r="I1989" s="70"/>
      <c r="J1989" s="1"/>
    </row>
    <row r="1990" spans="1:22" ht="91.5" hidden="1" customHeight="1">
      <c r="A1990" s="50"/>
      <c r="B1990" s="15"/>
      <c r="C1990" s="15"/>
      <c r="D1990" s="15"/>
      <c r="E1990" s="15"/>
      <c r="F1990" s="15"/>
      <c r="G1990" s="8"/>
      <c r="H1990" s="70"/>
      <c r="I1990" s="70"/>
      <c r="J1990" s="1"/>
    </row>
    <row r="1991" spans="1:22" ht="43.5" hidden="1" customHeight="1">
      <c r="A1991" s="50"/>
      <c r="B1991" s="15"/>
      <c r="C1991" s="15"/>
      <c r="D1991" s="15"/>
      <c r="E1991" s="15"/>
      <c r="F1991" s="15"/>
      <c r="G1991" s="8"/>
      <c r="H1991" s="70"/>
      <c r="I1991" s="70"/>
      <c r="J1991" s="1"/>
    </row>
    <row r="1992" spans="1:22" ht="39.75" hidden="1" customHeight="1">
      <c r="A1992" s="16"/>
      <c r="B1992" s="15"/>
      <c r="C1992" s="15"/>
      <c r="D1992" s="15"/>
      <c r="E1992" s="15"/>
      <c r="F1992" s="15"/>
      <c r="G1992" s="8"/>
      <c r="H1992" s="70"/>
      <c r="I1992" s="70"/>
      <c r="J1992" s="1"/>
    </row>
    <row r="1993" spans="1:22" ht="86.25" hidden="1" customHeight="1">
      <c r="A1993" s="50"/>
      <c r="B1993" s="15"/>
      <c r="C1993" s="15"/>
      <c r="D1993" s="15"/>
      <c r="E1993" s="15"/>
      <c r="F1993" s="15"/>
      <c r="G1993" s="8"/>
      <c r="H1993" s="70"/>
      <c r="I1993" s="70"/>
      <c r="J1993" s="1"/>
    </row>
    <row r="1994" spans="1:22" ht="48" hidden="1" customHeight="1">
      <c r="A1994" s="80"/>
      <c r="B1994" s="14"/>
      <c r="C1994" s="15"/>
      <c r="D1994" s="15"/>
      <c r="E1994" s="15"/>
      <c r="F1994" s="14"/>
      <c r="G1994" s="70"/>
      <c r="H1994" s="70"/>
      <c r="I1994" s="70"/>
      <c r="J1994" s="1"/>
    </row>
    <row r="1995" spans="1:22" hidden="1">
      <c r="A1995" s="16"/>
      <c r="B1995" s="14"/>
      <c r="C1995" s="15"/>
      <c r="D1995" s="15"/>
      <c r="E1995" s="15"/>
      <c r="F1995" s="15"/>
      <c r="G1995" s="25"/>
      <c r="H1995" s="25"/>
      <c r="I1995" s="25"/>
      <c r="J1995" s="1"/>
    </row>
    <row r="1996" spans="1:22" hidden="1">
      <c r="A1996" s="16"/>
      <c r="B1996" s="14"/>
      <c r="C1996" s="15"/>
      <c r="D1996" s="15"/>
      <c r="E1996" s="15"/>
      <c r="F1996" s="15"/>
      <c r="G1996" s="25"/>
      <c r="H1996" s="25"/>
      <c r="I1996" s="25"/>
      <c r="J1996" s="1"/>
    </row>
    <row r="1997" spans="1:22" ht="42.75" hidden="1" customHeight="1">
      <c r="A1997" s="80"/>
      <c r="B1997" s="14"/>
      <c r="C1997" s="15"/>
      <c r="D1997" s="15"/>
      <c r="E1997" s="15"/>
      <c r="F1997" s="14"/>
      <c r="G1997" s="70"/>
      <c r="H1997" s="70"/>
      <c r="I1997" s="70"/>
      <c r="J1997" s="1"/>
    </row>
    <row r="1998" spans="1:22" hidden="1">
      <c r="A1998" s="16"/>
      <c r="B1998" s="14"/>
      <c r="C1998" s="15"/>
      <c r="D1998" s="15"/>
      <c r="E1998" s="15"/>
      <c r="F1998" s="15"/>
      <c r="G1998" s="25"/>
      <c r="H1998" s="25"/>
      <c r="I1998" s="25"/>
      <c r="J1998" s="1"/>
    </row>
    <row r="1999" spans="1:22" hidden="1">
      <c r="A1999" s="16"/>
      <c r="B1999" s="14"/>
      <c r="C1999" s="15"/>
      <c r="D1999" s="15"/>
      <c r="E1999" s="15"/>
      <c r="F1999" s="15"/>
      <c r="G1999" s="25"/>
      <c r="H1999" s="25"/>
      <c r="I1999" s="25"/>
      <c r="J1999" s="1"/>
    </row>
    <row r="2000" spans="1:22" s="238" customFormat="1" ht="30.75" hidden="1" customHeight="1">
      <c r="A2000" s="225" t="s">
        <v>267</v>
      </c>
      <c r="B2000" s="235">
        <v>793</v>
      </c>
      <c r="C2000" s="236" t="s">
        <v>167</v>
      </c>
      <c r="D2000" s="236" t="s">
        <v>69</v>
      </c>
      <c r="E2000" s="36" t="s">
        <v>543</v>
      </c>
      <c r="F2000" s="36"/>
      <c r="G2000" s="71">
        <f>G2001</f>
        <v>1000000</v>
      </c>
      <c r="H2000" s="237">
        <v>0</v>
      </c>
      <c r="I2000" s="237">
        <v>0</v>
      </c>
      <c r="P2000" s="239"/>
      <c r="Q2000" s="239"/>
      <c r="R2000" s="239"/>
      <c r="S2000" s="239"/>
      <c r="T2000" s="239"/>
    </row>
    <row r="2001" spans="1:22" ht="30.75" hidden="1" customHeight="1">
      <c r="A2001" s="16" t="s">
        <v>267</v>
      </c>
      <c r="B2001" s="14">
        <v>793</v>
      </c>
      <c r="C2001" s="15" t="s">
        <v>167</v>
      </c>
      <c r="D2001" s="15" t="s">
        <v>69</v>
      </c>
      <c r="E2001" s="15" t="s">
        <v>544</v>
      </c>
      <c r="F2001" s="15"/>
      <c r="G2001" s="70">
        <f>G2004+G2006+G2002+G2012+G2009+G2011</f>
        <v>1000000</v>
      </c>
      <c r="H2001" s="70">
        <v>0</v>
      </c>
      <c r="I2001" s="70">
        <v>0</v>
      </c>
      <c r="J2001" s="1"/>
    </row>
    <row r="2002" spans="1:22" ht="30.75" hidden="1" customHeight="1">
      <c r="A2002" s="16" t="s">
        <v>35</v>
      </c>
      <c r="B2002" s="49">
        <v>795</v>
      </c>
      <c r="C2002" s="15" t="s">
        <v>167</v>
      </c>
      <c r="D2002" s="15" t="s">
        <v>27</v>
      </c>
      <c r="E2002" s="15" t="s">
        <v>544</v>
      </c>
      <c r="F2002" s="15" t="s">
        <v>36</v>
      </c>
      <c r="G2002" s="70">
        <f>G2003</f>
        <v>0</v>
      </c>
      <c r="H2002" s="70">
        <v>0</v>
      </c>
      <c r="I2002" s="70">
        <v>0</v>
      </c>
      <c r="J2002" s="1"/>
    </row>
    <row r="2003" spans="1:22" ht="30.75" hidden="1" customHeight="1">
      <c r="A2003" s="16" t="s">
        <v>37</v>
      </c>
      <c r="B2003" s="49">
        <v>795</v>
      </c>
      <c r="C2003" s="15" t="s">
        <v>167</v>
      </c>
      <c r="D2003" s="15" t="s">
        <v>27</v>
      </c>
      <c r="E2003" s="15" t="s">
        <v>544</v>
      </c>
      <c r="F2003" s="15" t="s">
        <v>38</v>
      </c>
      <c r="G2003" s="70">
        <f>прил4!G3080</f>
        <v>0</v>
      </c>
      <c r="H2003" s="70">
        <v>0</v>
      </c>
      <c r="I2003" s="70">
        <v>0</v>
      </c>
      <c r="J2003" s="1"/>
    </row>
    <row r="2004" spans="1:22" ht="23.25" hidden="1" customHeight="1">
      <c r="A2004" s="16" t="s">
        <v>144</v>
      </c>
      <c r="B2004" s="14">
        <v>793</v>
      </c>
      <c r="C2004" s="15" t="s">
        <v>69</v>
      </c>
      <c r="D2004" s="15" t="s">
        <v>120</v>
      </c>
      <c r="E2004" s="15" t="s">
        <v>544</v>
      </c>
      <c r="F2004" s="15" t="s">
        <v>145</v>
      </c>
      <c r="G2004" s="70">
        <f>G2005</f>
        <v>0</v>
      </c>
      <c r="H2004" s="70">
        <v>0</v>
      </c>
      <c r="I2004" s="70">
        <v>0</v>
      </c>
      <c r="J2004" s="1"/>
    </row>
    <row r="2005" spans="1:22" ht="30.75" hidden="1" customHeight="1">
      <c r="A2005" s="16" t="s">
        <v>146</v>
      </c>
      <c r="B2005" s="14">
        <v>793</v>
      </c>
      <c r="C2005" s="15" t="s">
        <v>69</v>
      </c>
      <c r="D2005" s="15" t="s">
        <v>120</v>
      </c>
      <c r="E2005" s="15" t="s">
        <v>544</v>
      </c>
      <c r="F2005" s="15" t="s">
        <v>147</v>
      </c>
      <c r="G2005" s="70">
        <f>прил4!G1804</f>
        <v>0</v>
      </c>
      <c r="H2005" s="70">
        <v>0</v>
      </c>
      <c r="I2005" s="70">
        <v>0</v>
      </c>
      <c r="J2005" s="1"/>
    </row>
    <row r="2006" spans="1:22" ht="21.75" hidden="1" customHeight="1">
      <c r="A2006" s="16" t="s">
        <v>152</v>
      </c>
      <c r="B2006" s="14">
        <v>793</v>
      </c>
      <c r="C2006" s="15" t="s">
        <v>167</v>
      </c>
      <c r="D2006" s="15" t="s">
        <v>69</v>
      </c>
      <c r="E2006" s="15" t="s">
        <v>544</v>
      </c>
      <c r="F2006" s="15" t="s">
        <v>153</v>
      </c>
      <c r="G2006" s="70">
        <f>G2007</f>
        <v>0</v>
      </c>
      <c r="H2006" s="70">
        <v>0</v>
      </c>
      <c r="I2006" s="70">
        <v>0</v>
      </c>
      <c r="J2006" s="1"/>
    </row>
    <row r="2007" spans="1:22" ht="22.5" hidden="1" customHeight="1">
      <c r="A2007" s="16" t="s">
        <v>172</v>
      </c>
      <c r="B2007" s="14">
        <v>793</v>
      </c>
      <c r="C2007" s="15" t="s">
        <v>167</v>
      </c>
      <c r="D2007" s="15" t="s">
        <v>69</v>
      </c>
      <c r="E2007" s="15" t="s">
        <v>544</v>
      </c>
      <c r="F2007" s="15" t="s">
        <v>173</v>
      </c>
      <c r="G2007" s="70"/>
      <c r="H2007" s="70">
        <v>0</v>
      </c>
      <c r="I2007" s="70">
        <v>0</v>
      </c>
      <c r="J2007" s="1"/>
    </row>
    <row r="2008" spans="1:22" ht="26.4" hidden="1">
      <c r="A2008" s="16" t="s">
        <v>35</v>
      </c>
      <c r="B2008" s="49">
        <v>795</v>
      </c>
      <c r="C2008" s="15" t="s">
        <v>167</v>
      </c>
      <c r="D2008" s="15" t="s">
        <v>27</v>
      </c>
      <c r="E2008" s="15" t="s">
        <v>544</v>
      </c>
      <c r="F2008" s="15" t="s">
        <v>36</v>
      </c>
      <c r="G2008" s="8">
        <f t="shared" ref="G2008:I2008" si="593">G2009</f>
        <v>0</v>
      </c>
      <c r="H2008" s="8">
        <f t="shared" si="593"/>
        <v>0</v>
      </c>
      <c r="I2008" s="8">
        <f t="shared" si="593"/>
        <v>0</v>
      </c>
      <c r="J2008" s="1"/>
    </row>
    <row r="2009" spans="1:22" ht="26.4" hidden="1">
      <c r="A2009" s="16" t="s">
        <v>37</v>
      </c>
      <c r="B2009" s="49">
        <v>795</v>
      </c>
      <c r="C2009" s="15" t="s">
        <v>167</v>
      </c>
      <c r="D2009" s="15" t="s">
        <v>27</v>
      </c>
      <c r="E2009" s="15" t="s">
        <v>544</v>
      </c>
      <c r="F2009" s="15" t="s">
        <v>38</v>
      </c>
      <c r="G2009" s="8">
        <f>прил4!G3090</f>
        <v>0</v>
      </c>
      <c r="H2009" s="8">
        <v>0</v>
      </c>
      <c r="I2009" s="8">
        <v>0</v>
      </c>
      <c r="J2009" s="1"/>
    </row>
    <row r="2010" spans="1:22" ht="26.4" hidden="1">
      <c r="A2010" s="16" t="s">
        <v>94</v>
      </c>
      <c r="B2010" s="49">
        <v>795</v>
      </c>
      <c r="C2010" s="15" t="s">
        <v>167</v>
      </c>
      <c r="D2010" s="15" t="s">
        <v>27</v>
      </c>
      <c r="E2010" s="15" t="s">
        <v>544</v>
      </c>
      <c r="F2010" s="15" t="s">
        <v>338</v>
      </c>
      <c r="G2010" s="8">
        <f t="shared" ref="G2010:I2010" si="594">G2011</f>
        <v>0</v>
      </c>
      <c r="H2010" s="8">
        <f t="shared" si="594"/>
        <v>0</v>
      </c>
      <c r="I2010" s="8">
        <f t="shared" si="594"/>
        <v>0</v>
      </c>
      <c r="J2010" s="1"/>
    </row>
    <row r="2011" spans="1:22" hidden="1">
      <c r="A2011" s="16" t="s">
        <v>339</v>
      </c>
      <c r="B2011" s="49">
        <v>795</v>
      </c>
      <c r="C2011" s="15" t="s">
        <v>167</v>
      </c>
      <c r="D2011" s="15" t="s">
        <v>27</v>
      </c>
      <c r="E2011" s="15" t="s">
        <v>544</v>
      </c>
      <c r="F2011" s="15" t="s">
        <v>340</v>
      </c>
      <c r="G2011" s="8">
        <f>прил4!G2277</f>
        <v>0</v>
      </c>
      <c r="H2011" s="8"/>
      <c r="I2011" s="8"/>
      <c r="J2011" s="1"/>
    </row>
    <row r="2012" spans="1:22" ht="26.4" hidden="1">
      <c r="A2012" s="16" t="s">
        <v>29</v>
      </c>
      <c r="B2012" s="14">
        <v>757</v>
      </c>
      <c r="C2012" s="15" t="s">
        <v>43</v>
      </c>
      <c r="D2012" s="15" t="s">
        <v>18</v>
      </c>
      <c r="E2012" s="15" t="s">
        <v>544</v>
      </c>
      <c r="F2012" s="15" t="s">
        <v>30</v>
      </c>
      <c r="G2012" s="8">
        <f t="shared" ref="G2012:I2012" si="595">G2013</f>
        <v>1000000</v>
      </c>
      <c r="H2012" s="8">
        <f t="shared" si="595"/>
        <v>0</v>
      </c>
      <c r="I2012" s="8">
        <f t="shared" si="595"/>
        <v>0</v>
      </c>
      <c r="J2012" s="1"/>
    </row>
    <row r="2013" spans="1:22" hidden="1">
      <c r="A2013" s="16" t="s">
        <v>31</v>
      </c>
      <c r="B2013" s="14">
        <v>757</v>
      </c>
      <c r="C2013" s="15" t="s">
        <v>43</v>
      </c>
      <c r="D2013" s="15" t="s">
        <v>18</v>
      </c>
      <c r="E2013" s="15" t="s">
        <v>544</v>
      </c>
      <c r="F2013" s="15" t="s">
        <v>32</v>
      </c>
      <c r="G2013" s="8">
        <f>прил4!G309+прил4!G435+прил4!G1088+прил4!G144+прил4!G1220+прил4!G1117</f>
        <v>1000000</v>
      </c>
      <c r="H2013" s="8">
        <v>0</v>
      </c>
      <c r="I2013" s="8">
        <v>0</v>
      </c>
      <c r="J2013" s="1"/>
    </row>
    <row r="2014" spans="1:22" s="22" customFormat="1" ht="33" customHeight="1">
      <c r="A2014" s="34" t="s">
        <v>267</v>
      </c>
      <c r="B2014" s="19">
        <v>793</v>
      </c>
      <c r="C2014" s="36" t="s">
        <v>167</v>
      </c>
      <c r="D2014" s="36" t="s">
        <v>167</v>
      </c>
      <c r="E2014" s="36" t="s">
        <v>543</v>
      </c>
      <c r="F2014" s="36"/>
      <c r="G2014" s="71">
        <f>G2044</f>
        <v>5679212.6799999997</v>
      </c>
      <c r="H2014" s="71">
        <f t="shared" ref="H2014:I2014" si="596">H2041+H2015+H2038+H2035+H2044</f>
        <v>0</v>
      </c>
      <c r="I2014" s="71">
        <f t="shared" si="596"/>
        <v>0</v>
      </c>
      <c r="J2014" s="323"/>
      <c r="K2014" s="61"/>
      <c r="L2014" s="61"/>
      <c r="M2014" s="61"/>
      <c r="N2014" s="61"/>
      <c r="O2014" s="61"/>
      <c r="P2014" s="61"/>
      <c r="Q2014" s="61"/>
      <c r="R2014" s="61"/>
      <c r="V2014" s="21"/>
    </row>
    <row r="2015" spans="1:22" ht="67.5" hidden="1" customHeight="1">
      <c r="A2015" s="37" t="s">
        <v>680</v>
      </c>
      <c r="B2015" s="49">
        <v>793</v>
      </c>
      <c r="C2015" s="15" t="s">
        <v>167</v>
      </c>
      <c r="D2015" s="15" t="s">
        <v>167</v>
      </c>
      <c r="E2015" s="15" t="s">
        <v>687</v>
      </c>
      <c r="F2015" s="15"/>
      <c r="G2015" s="70">
        <f>G2016</f>
        <v>0</v>
      </c>
      <c r="H2015" s="8">
        <v>0</v>
      </c>
      <c r="I2015" s="8">
        <v>0</v>
      </c>
      <c r="J2015" s="332"/>
      <c r="K2015" s="69"/>
      <c r="L2015" s="69"/>
      <c r="M2015" s="69"/>
      <c r="N2015" s="69"/>
      <c r="O2015" s="69"/>
      <c r="P2015" s="69"/>
      <c r="Q2015" s="69"/>
      <c r="R2015" s="69"/>
      <c r="S2015" s="1"/>
      <c r="T2015" s="1"/>
    </row>
    <row r="2016" spans="1:22" ht="21" hidden="1" customHeight="1">
      <c r="A2016" s="16" t="s">
        <v>152</v>
      </c>
      <c r="B2016" s="49">
        <v>793</v>
      </c>
      <c r="C2016" s="15" t="s">
        <v>167</v>
      </c>
      <c r="D2016" s="15" t="s">
        <v>167</v>
      </c>
      <c r="E2016" s="15" t="s">
        <v>687</v>
      </c>
      <c r="F2016" s="15" t="s">
        <v>153</v>
      </c>
      <c r="G2016" s="70">
        <f>G2017</f>
        <v>0</v>
      </c>
      <c r="H2016" s="8">
        <v>0</v>
      </c>
      <c r="I2016" s="8">
        <v>0</v>
      </c>
      <c r="J2016" s="332"/>
      <c r="K2016" s="69"/>
      <c r="L2016" s="69"/>
      <c r="M2016" s="69"/>
      <c r="N2016" s="69"/>
      <c r="O2016" s="69"/>
      <c r="P2016" s="69"/>
      <c r="Q2016" s="69"/>
      <c r="R2016" s="69"/>
      <c r="S2016" s="1"/>
      <c r="T2016" s="1"/>
    </row>
    <row r="2017" spans="1:20" ht="20.25" hidden="1" customHeight="1">
      <c r="A2017" s="16" t="s">
        <v>172</v>
      </c>
      <c r="B2017" s="49">
        <v>793</v>
      </c>
      <c r="C2017" s="15" t="s">
        <v>167</v>
      </c>
      <c r="D2017" s="15" t="s">
        <v>167</v>
      </c>
      <c r="E2017" s="15" t="s">
        <v>687</v>
      </c>
      <c r="F2017" s="15" t="s">
        <v>173</v>
      </c>
      <c r="G2017" s="70"/>
      <c r="H2017" s="8"/>
      <c r="I2017" s="8"/>
      <c r="J2017" s="332"/>
      <c r="K2017" s="69"/>
      <c r="L2017" s="69"/>
      <c r="M2017" s="69"/>
      <c r="N2017" s="69"/>
      <c r="O2017" s="69"/>
      <c r="P2017" s="69"/>
      <c r="Q2017" s="69"/>
      <c r="R2017" s="69"/>
      <c r="S2017" s="1"/>
      <c r="T2017" s="1"/>
    </row>
    <row r="2018" spans="1:20" ht="25.5" hidden="1" customHeight="1">
      <c r="A2018" s="37" t="s">
        <v>599</v>
      </c>
      <c r="B2018" s="49">
        <v>793</v>
      </c>
      <c r="C2018" s="15" t="s">
        <v>167</v>
      </c>
      <c r="D2018" s="15" t="s">
        <v>167</v>
      </c>
      <c r="E2018" s="15" t="s">
        <v>596</v>
      </c>
      <c r="F2018" s="15"/>
      <c r="G2018" s="70">
        <f>G2019</f>
        <v>0</v>
      </c>
      <c r="H2018" s="8">
        <v>0</v>
      </c>
      <c r="I2018" s="8">
        <v>0</v>
      </c>
      <c r="J2018" s="332"/>
      <c r="K2018" s="69"/>
      <c r="L2018" s="69"/>
      <c r="M2018" s="69"/>
      <c r="N2018" s="69"/>
      <c r="O2018" s="69"/>
      <c r="P2018" s="69"/>
      <c r="Q2018" s="69"/>
      <c r="R2018" s="69"/>
      <c r="S2018" s="1"/>
      <c r="T2018" s="1"/>
    </row>
    <row r="2019" spans="1:20" ht="39.75" hidden="1" customHeight="1">
      <c r="A2019" s="37" t="s">
        <v>598</v>
      </c>
      <c r="B2019" s="49">
        <v>793</v>
      </c>
      <c r="C2019" s="15" t="s">
        <v>167</v>
      </c>
      <c r="D2019" s="15" t="s">
        <v>167</v>
      </c>
      <c r="E2019" s="15" t="s">
        <v>597</v>
      </c>
      <c r="F2019" s="15"/>
      <c r="G2019" s="70">
        <f>G2020</f>
        <v>0</v>
      </c>
      <c r="H2019" s="8">
        <v>0</v>
      </c>
      <c r="I2019" s="8">
        <v>0</v>
      </c>
      <c r="J2019" s="332"/>
      <c r="K2019" s="69"/>
      <c r="L2019" s="69"/>
      <c r="M2019" s="69"/>
      <c r="N2019" s="69"/>
      <c r="O2019" s="69"/>
      <c r="P2019" s="69"/>
      <c r="Q2019" s="69"/>
      <c r="R2019" s="69"/>
      <c r="S2019" s="1"/>
      <c r="T2019" s="1"/>
    </row>
    <row r="2020" spans="1:20" ht="30.75" hidden="1" customHeight="1">
      <c r="A2020" s="16" t="s">
        <v>94</v>
      </c>
      <c r="B2020" s="49">
        <v>793</v>
      </c>
      <c r="C2020" s="15" t="s">
        <v>167</v>
      </c>
      <c r="D2020" s="15" t="s">
        <v>167</v>
      </c>
      <c r="E2020" s="15" t="s">
        <v>597</v>
      </c>
      <c r="F2020" s="15" t="s">
        <v>338</v>
      </c>
      <c r="G2020" s="70">
        <f>G2021</f>
        <v>0</v>
      </c>
      <c r="H2020" s="8">
        <v>0</v>
      </c>
      <c r="I2020" s="8">
        <v>0</v>
      </c>
      <c r="J2020" s="332"/>
      <c r="K2020" s="69"/>
      <c r="L2020" s="69"/>
      <c r="M2020" s="69"/>
      <c r="N2020" s="69"/>
      <c r="O2020" s="69"/>
      <c r="P2020" s="69"/>
      <c r="Q2020" s="69"/>
      <c r="R2020" s="69"/>
      <c r="S2020" s="1"/>
      <c r="T2020" s="1"/>
    </row>
    <row r="2021" spans="1:20" ht="30.75" hidden="1" customHeight="1">
      <c r="A2021" s="16" t="s">
        <v>339</v>
      </c>
      <c r="B2021" s="49">
        <v>793</v>
      </c>
      <c r="C2021" s="15" t="s">
        <v>167</v>
      </c>
      <c r="D2021" s="15" t="s">
        <v>167</v>
      </c>
      <c r="E2021" s="15" t="s">
        <v>597</v>
      </c>
      <c r="F2021" s="15" t="s">
        <v>340</v>
      </c>
      <c r="G2021" s="70"/>
      <c r="H2021" s="8">
        <v>0</v>
      </c>
      <c r="I2021" s="8">
        <v>0</v>
      </c>
      <c r="J2021" s="332"/>
      <c r="K2021" s="69"/>
      <c r="L2021" s="69"/>
      <c r="M2021" s="69"/>
      <c r="N2021" s="69"/>
      <c r="O2021" s="69"/>
      <c r="P2021" s="69"/>
      <c r="Q2021" s="69"/>
      <c r="R2021" s="69"/>
      <c r="S2021" s="1"/>
      <c r="T2021" s="1"/>
    </row>
    <row r="2022" spans="1:20" ht="55.5" hidden="1" customHeight="1">
      <c r="A2022" s="37" t="s">
        <v>704</v>
      </c>
      <c r="B2022" s="49">
        <v>793</v>
      </c>
      <c r="C2022" s="15" t="s">
        <v>167</v>
      </c>
      <c r="D2022" s="15" t="s">
        <v>167</v>
      </c>
      <c r="E2022" s="15" t="s">
        <v>688</v>
      </c>
      <c r="F2022" s="15"/>
      <c r="G2022" s="70">
        <f>G2023+G2025</f>
        <v>0</v>
      </c>
      <c r="H2022" s="70">
        <f t="shared" ref="H2022:I2022" si="597">H2023+H2025</f>
        <v>0</v>
      </c>
      <c r="I2022" s="70">
        <f t="shared" si="597"/>
        <v>0</v>
      </c>
      <c r="J2022" s="172"/>
      <c r="K2022" s="69"/>
      <c r="L2022" s="69"/>
      <c r="M2022" s="69"/>
      <c r="N2022" s="69"/>
      <c r="O2022" s="69"/>
      <c r="P2022" s="69"/>
      <c r="Q2022" s="69"/>
      <c r="R2022" s="69"/>
      <c r="S2022" s="1"/>
      <c r="T2022" s="1"/>
    </row>
    <row r="2023" spans="1:20" ht="27" hidden="1" customHeight="1">
      <c r="A2023" s="16" t="s">
        <v>94</v>
      </c>
      <c r="B2023" s="49">
        <v>793</v>
      </c>
      <c r="C2023" s="15" t="s">
        <v>167</v>
      </c>
      <c r="D2023" s="15" t="s">
        <v>167</v>
      </c>
      <c r="E2023" s="15" t="s">
        <v>582</v>
      </c>
      <c r="F2023" s="15" t="s">
        <v>338</v>
      </c>
      <c r="G2023" s="70">
        <f>G2024</f>
        <v>0</v>
      </c>
      <c r="H2023" s="8">
        <f>H2024</f>
        <v>0</v>
      </c>
      <c r="I2023" s="8">
        <v>0</v>
      </c>
      <c r="J2023" s="332"/>
      <c r="K2023" s="69"/>
      <c r="L2023" s="69"/>
      <c r="M2023" s="69"/>
      <c r="N2023" s="69"/>
      <c r="O2023" s="69"/>
      <c r="P2023" s="69"/>
      <c r="Q2023" s="69"/>
      <c r="R2023" s="69"/>
      <c r="S2023" s="1"/>
      <c r="T2023" s="1"/>
    </row>
    <row r="2024" spans="1:20" ht="18.75" hidden="1" customHeight="1">
      <c r="A2024" s="16" t="s">
        <v>339</v>
      </c>
      <c r="B2024" s="49">
        <v>793</v>
      </c>
      <c r="C2024" s="15" t="s">
        <v>167</v>
      </c>
      <c r="D2024" s="15" t="s">
        <v>167</v>
      </c>
      <c r="E2024" s="15" t="s">
        <v>582</v>
      </c>
      <c r="F2024" s="15" t="s">
        <v>340</v>
      </c>
      <c r="G2024" s="70"/>
      <c r="H2024" s="8"/>
      <c r="I2024" s="8">
        <v>0</v>
      </c>
      <c r="J2024" s="332"/>
      <c r="K2024" s="69"/>
      <c r="L2024" s="69"/>
      <c r="M2024" s="69"/>
      <c r="N2024" s="69"/>
      <c r="O2024" s="69"/>
      <c r="P2024" s="69"/>
      <c r="Q2024" s="69"/>
      <c r="R2024" s="69"/>
      <c r="S2024" s="1"/>
      <c r="T2024" s="1"/>
    </row>
    <row r="2025" spans="1:20" ht="39.75" hidden="1" customHeight="1">
      <c r="A2025" s="16" t="s">
        <v>35</v>
      </c>
      <c r="B2025" s="49">
        <v>793</v>
      </c>
      <c r="C2025" s="15" t="s">
        <v>167</v>
      </c>
      <c r="D2025" s="15" t="s">
        <v>167</v>
      </c>
      <c r="E2025" s="15" t="s">
        <v>689</v>
      </c>
      <c r="F2025" s="15" t="s">
        <v>338</v>
      </c>
      <c r="G2025" s="70">
        <f>G2026</f>
        <v>0</v>
      </c>
      <c r="H2025" s="8"/>
      <c r="I2025" s="8"/>
      <c r="J2025" s="332"/>
      <c r="K2025" s="69"/>
      <c r="L2025" s="69"/>
      <c r="M2025" s="69"/>
      <c r="N2025" s="69"/>
      <c r="O2025" s="69"/>
      <c r="P2025" s="69"/>
      <c r="Q2025" s="69"/>
      <c r="R2025" s="69"/>
      <c r="S2025" s="1"/>
      <c r="T2025" s="1"/>
    </row>
    <row r="2026" spans="1:20" ht="39" hidden="1" customHeight="1">
      <c r="A2026" s="16" t="s">
        <v>37</v>
      </c>
      <c r="B2026" s="49">
        <v>793</v>
      </c>
      <c r="C2026" s="15" t="s">
        <v>167</v>
      </c>
      <c r="D2026" s="15" t="s">
        <v>167</v>
      </c>
      <c r="E2026" s="15" t="s">
        <v>688</v>
      </c>
      <c r="F2026" s="15" t="s">
        <v>340</v>
      </c>
      <c r="G2026" s="70">
        <f>358104.72+400000-758104.72</f>
        <v>0</v>
      </c>
      <c r="H2026" s="8"/>
      <c r="I2026" s="8"/>
      <c r="J2026" s="332"/>
      <c r="K2026" s="69"/>
      <c r="L2026" s="69"/>
      <c r="M2026" s="69"/>
      <c r="N2026" s="69"/>
      <c r="O2026" s="69"/>
      <c r="P2026" s="69"/>
      <c r="Q2026" s="69"/>
      <c r="R2026" s="69"/>
      <c r="S2026" s="1"/>
      <c r="T2026" s="1"/>
    </row>
    <row r="2027" spans="1:20" ht="57" hidden="1" customHeight="1">
      <c r="A2027" s="37" t="s">
        <v>704</v>
      </c>
      <c r="B2027" s="49">
        <v>793</v>
      </c>
      <c r="C2027" s="15" t="s">
        <v>167</v>
      </c>
      <c r="D2027" s="15" t="s">
        <v>167</v>
      </c>
      <c r="E2027" s="15" t="s">
        <v>582</v>
      </c>
      <c r="F2027" s="15"/>
      <c r="G2027" s="70">
        <f>G2028+G2030</f>
        <v>0</v>
      </c>
      <c r="H2027" s="70">
        <f t="shared" ref="H2027:I2027" si="598">H2028+H2030</f>
        <v>0</v>
      </c>
      <c r="I2027" s="70">
        <f t="shared" si="598"/>
        <v>0</v>
      </c>
      <c r="J2027" s="172"/>
      <c r="K2027" s="69"/>
      <c r="L2027" s="69"/>
      <c r="M2027" s="69"/>
      <c r="N2027" s="69"/>
      <c r="O2027" s="69"/>
      <c r="P2027" s="69"/>
      <c r="Q2027" s="69"/>
      <c r="R2027" s="69"/>
      <c r="S2027" s="1"/>
      <c r="T2027" s="1"/>
    </row>
    <row r="2028" spans="1:20" ht="27" hidden="1" customHeight="1">
      <c r="A2028" s="16" t="s">
        <v>94</v>
      </c>
      <c r="B2028" s="49">
        <v>793</v>
      </c>
      <c r="C2028" s="15" t="s">
        <v>167</v>
      </c>
      <c r="D2028" s="15" t="s">
        <v>167</v>
      </c>
      <c r="E2028" s="15" t="s">
        <v>582</v>
      </c>
      <c r="F2028" s="15" t="s">
        <v>338</v>
      </c>
      <c r="G2028" s="70">
        <f>G2029</f>
        <v>0</v>
      </c>
      <c r="H2028" s="8">
        <f>H2029</f>
        <v>0</v>
      </c>
      <c r="I2028" s="8">
        <v>0</v>
      </c>
      <c r="J2028" s="332"/>
      <c r="K2028" s="69"/>
      <c r="L2028" s="69"/>
      <c r="M2028" s="69"/>
      <c r="N2028" s="69"/>
      <c r="O2028" s="69"/>
      <c r="P2028" s="69"/>
      <c r="Q2028" s="69"/>
      <c r="R2028" s="69"/>
      <c r="S2028" s="1"/>
      <c r="T2028" s="1"/>
    </row>
    <row r="2029" spans="1:20" ht="18.75" hidden="1" customHeight="1">
      <c r="A2029" s="16" t="s">
        <v>339</v>
      </c>
      <c r="B2029" s="49">
        <v>793</v>
      </c>
      <c r="C2029" s="15" t="s">
        <v>167</v>
      </c>
      <c r="D2029" s="15" t="s">
        <v>167</v>
      </c>
      <c r="E2029" s="15" t="s">
        <v>582</v>
      </c>
      <c r="F2029" s="15" t="s">
        <v>340</v>
      </c>
      <c r="G2029" s="70"/>
      <c r="H2029" s="8"/>
      <c r="I2029" s="8">
        <v>0</v>
      </c>
      <c r="J2029" s="332"/>
      <c r="K2029" s="69"/>
      <c r="L2029" s="69"/>
      <c r="M2029" s="69"/>
      <c r="N2029" s="69"/>
      <c r="O2029" s="69"/>
      <c r="P2029" s="69"/>
      <c r="Q2029" s="69"/>
      <c r="R2029" s="69"/>
      <c r="S2029" s="1"/>
      <c r="T2029" s="1"/>
    </row>
    <row r="2030" spans="1:20" ht="30" hidden="1" customHeight="1">
      <c r="A2030" s="16" t="s">
        <v>35</v>
      </c>
      <c r="B2030" s="49">
        <v>793</v>
      </c>
      <c r="C2030" s="15" t="s">
        <v>167</v>
      </c>
      <c r="D2030" s="15" t="s">
        <v>167</v>
      </c>
      <c r="E2030" s="15" t="s">
        <v>582</v>
      </c>
      <c r="F2030" s="15" t="s">
        <v>338</v>
      </c>
      <c r="G2030" s="70">
        <f>G2031</f>
        <v>0</v>
      </c>
      <c r="H2030" s="8">
        <v>0</v>
      </c>
      <c r="I2030" s="8">
        <v>0</v>
      </c>
      <c r="J2030" s="332"/>
      <c r="K2030" s="69"/>
      <c r="L2030" s="69"/>
      <c r="M2030" s="69"/>
      <c r="N2030" s="69"/>
      <c r="O2030" s="69"/>
      <c r="P2030" s="69"/>
      <c r="Q2030" s="69"/>
      <c r="R2030" s="69"/>
      <c r="S2030" s="1"/>
      <c r="T2030" s="1"/>
    </row>
    <row r="2031" spans="1:20" ht="30.75" hidden="1" customHeight="1">
      <c r="A2031" s="16" t="s">
        <v>37</v>
      </c>
      <c r="B2031" s="49">
        <v>793</v>
      </c>
      <c r="C2031" s="15" t="s">
        <v>167</v>
      </c>
      <c r="D2031" s="15" t="s">
        <v>167</v>
      </c>
      <c r="E2031" s="15" t="s">
        <v>582</v>
      </c>
      <c r="F2031" s="15" t="s">
        <v>340</v>
      </c>
      <c r="G2031" s="70"/>
      <c r="H2031" s="8"/>
      <c r="I2031" s="8"/>
      <c r="J2031" s="332"/>
      <c r="K2031" s="69"/>
      <c r="L2031" s="69"/>
      <c r="M2031" s="69"/>
      <c r="N2031" s="69"/>
      <c r="O2031" s="69"/>
      <c r="P2031" s="69"/>
      <c r="Q2031" s="69"/>
      <c r="R2031" s="69"/>
      <c r="S2031" s="1"/>
      <c r="T2031" s="1"/>
    </row>
    <row r="2032" spans="1:20" s="3" customFormat="1" ht="33.75" hidden="1" customHeight="1">
      <c r="A2032" s="16" t="s">
        <v>482</v>
      </c>
      <c r="B2032" s="49">
        <v>793</v>
      </c>
      <c r="C2032" s="15" t="s">
        <v>167</v>
      </c>
      <c r="D2032" s="15" t="s">
        <v>167</v>
      </c>
      <c r="E2032" s="15" t="s">
        <v>483</v>
      </c>
      <c r="F2032" s="15"/>
      <c r="G2032" s="70">
        <f>G2033</f>
        <v>0</v>
      </c>
      <c r="H2032" s="8">
        <v>0</v>
      </c>
      <c r="I2032" s="8">
        <v>0</v>
      </c>
      <c r="J2032" s="332"/>
      <c r="K2032" s="62"/>
      <c r="L2032" s="62"/>
      <c r="M2032" s="62"/>
      <c r="N2032" s="62"/>
      <c r="O2032" s="62"/>
      <c r="P2032" s="62"/>
      <c r="Q2032" s="62"/>
      <c r="R2032" s="62"/>
    </row>
    <row r="2033" spans="1:20" s="3" customFormat="1" ht="38.25" hidden="1" customHeight="1">
      <c r="A2033" s="16" t="s">
        <v>35</v>
      </c>
      <c r="B2033" s="49">
        <v>793</v>
      </c>
      <c r="C2033" s="15" t="s">
        <v>167</v>
      </c>
      <c r="D2033" s="15" t="s">
        <v>167</v>
      </c>
      <c r="E2033" s="15" t="s">
        <v>483</v>
      </c>
      <c r="F2033" s="15" t="s">
        <v>36</v>
      </c>
      <c r="G2033" s="70">
        <f>G2034</f>
        <v>0</v>
      </c>
      <c r="H2033" s="8">
        <v>0</v>
      </c>
      <c r="I2033" s="8">
        <v>0</v>
      </c>
      <c r="J2033" s="332"/>
      <c r="K2033" s="62"/>
      <c r="L2033" s="62"/>
      <c r="M2033" s="62"/>
      <c r="N2033" s="62"/>
      <c r="O2033" s="62"/>
      <c r="P2033" s="62"/>
      <c r="Q2033" s="62"/>
      <c r="R2033" s="62"/>
    </row>
    <row r="2034" spans="1:20" s="3" customFormat="1" ht="38.25" hidden="1" customHeight="1">
      <c r="A2034" s="16" t="s">
        <v>37</v>
      </c>
      <c r="B2034" s="49">
        <v>793</v>
      </c>
      <c r="C2034" s="15" t="s">
        <v>167</v>
      </c>
      <c r="D2034" s="15" t="s">
        <v>167</v>
      </c>
      <c r="E2034" s="15" t="s">
        <v>483</v>
      </c>
      <c r="F2034" s="15" t="s">
        <v>38</v>
      </c>
      <c r="G2034" s="70"/>
      <c r="H2034" s="8">
        <v>0</v>
      </c>
      <c r="I2034" s="8">
        <v>0</v>
      </c>
      <c r="J2034" s="332"/>
      <c r="K2034" s="62"/>
      <c r="L2034" s="62"/>
      <c r="M2034" s="62"/>
      <c r="N2034" s="62"/>
      <c r="O2034" s="62"/>
      <c r="P2034" s="62"/>
      <c r="Q2034" s="62"/>
      <c r="R2034" s="62"/>
    </row>
    <row r="2035" spans="1:20" ht="67.5" hidden="1" customHeight="1">
      <c r="A2035" s="37" t="s">
        <v>949</v>
      </c>
      <c r="B2035" s="49">
        <v>793</v>
      </c>
      <c r="C2035" s="15" t="s">
        <v>167</v>
      </c>
      <c r="D2035" s="15" t="s">
        <v>167</v>
      </c>
      <c r="E2035" s="15" t="s">
        <v>582</v>
      </c>
      <c r="F2035" s="15"/>
      <c r="G2035" s="70">
        <f>G2036</f>
        <v>0</v>
      </c>
      <c r="H2035" s="8">
        <v>0</v>
      </c>
      <c r="I2035" s="8">
        <v>0</v>
      </c>
      <c r="J2035" s="332"/>
      <c r="K2035" s="69"/>
      <c r="L2035" s="69"/>
      <c r="M2035" s="69"/>
      <c r="N2035" s="69"/>
      <c r="O2035" s="69"/>
      <c r="P2035" s="69"/>
      <c r="Q2035" s="69"/>
      <c r="R2035" s="69"/>
      <c r="S2035" s="1"/>
      <c r="T2035" s="1"/>
    </row>
    <row r="2036" spans="1:20" ht="44.25" hidden="1" customHeight="1">
      <c r="A2036" s="16" t="s">
        <v>94</v>
      </c>
      <c r="B2036" s="49">
        <v>793</v>
      </c>
      <c r="C2036" s="15" t="s">
        <v>167</v>
      </c>
      <c r="D2036" s="15" t="s">
        <v>167</v>
      </c>
      <c r="E2036" s="15" t="s">
        <v>582</v>
      </c>
      <c r="F2036" s="15" t="s">
        <v>338</v>
      </c>
      <c r="G2036" s="70">
        <f>G2037</f>
        <v>0</v>
      </c>
      <c r="H2036" s="8">
        <v>0</v>
      </c>
      <c r="I2036" s="8">
        <v>0</v>
      </c>
      <c r="J2036" s="332"/>
      <c r="K2036" s="69"/>
      <c r="L2036" s="69"/>
      <c r="M2036" s="69"/>
      <c r="N2036" s="69"/>
      <c r="O2036" s="69"/>
      <c r="P2036" s="69"/>
      <c r="Q2036" s="69"/>
      <c r="R2036" s="69"/>
      <c r="S2036" s="1"/>
      <c r="T2036" s="1"/>
    </row>
    <row r="2037" spans="1:20" ht="20.25" hidden="1" customHeight="1">
      <c r="A2037" s="16" t="s">
        <v>339</v>
      </c>
      <c r="B2037" s="49">
        <v>793</v>
      </c>
      <c r="C2037" s="15" t="s">
        <v>167</v>
      </c>
      <c r="D2037" s="15" t="s">
        <v>167</v>
      </c>
      <c r="E2037" s="15" t="s">
        <v>582</v>
      </c>
      <c r="F2037" s="15" t="s">
        <v>340</v>
      </c>
      <c r="G2037" s="335"/>
      <c r="H2037" s="8"/>
      <c r="I2037" s="8"/>
      <c r="J2037" s="332"/>
      <c r="K2037" s="69"/>
      <c r="L2037" s="69"/>
      <c r="M2037" s="69"/>
      <c r="N2037" s="69"/>
      <c r="O2037" s="69"/>
      <c r="P2037" s="69"/>
      <c r="Q2037" s="69"/>
      <c r="R2037" s="69"/>
      <c r="S2037" s="1"/>
      <c r="T2037" s="1"/>
    </row>
    <row r="2038" spans="1:20" ht="70.5" hidden="1" customHeight="1">
      <c r="A2038" s="37" t="s">
        <v>786</v>
      </c>
      <c r="B2038" s="49">
        <v>793</v>
      </c>
      <c r="C2038" s="15" t="s">
        <v>167</v>
      </c>
      <c r="D2038" s="15" t="s">
        <v>167</v>
      </c>
      <c r="E2038" s="15" t="s">
        <v>686</v>
      </c>
      <c r="F2038" s="15"/>
      <c r="G2038" s="70">
        <f>G2039</f>
        <v>0</v>
      </c>
      <c r="H2038" s="8">
        <v>0</v>
      </c>
      <c r="I2038" s="8">
        <v>0</v>
      </c>
      <c r="J2038" s="332"/>
      <c r="K2038" s="69"/>
      <c r="L2038" s="69"/>
      <c r="M2038" s="69"/>
      <c r="N2038" s="69"/>
      <c r="O2038" s="69"/>
      <c r="P2038" s="69"/>
      <c r="Q2038" s="69"/>
      <c r="R2038" s="69"/>
      <c r="S2038" s="1"/>
      <c r="T2038" s="1"/>
    </row>
    <row r="2039" spans="1:20" ht="21" hidden="1" customHeight="1">
      <c r="A2039" s="16" t="s">
        <v>152</v>
      </c>
      <c r="B2039" s="49">
        <v>793</v>
      </c>
      <c r="C2039" s="15" t="s">
        <v>167</v>
      </c>
      <c r="D2039" s="15" t="s">
        <v>167</v>
      </c>
      <c r="E2039" s="15" t="s">
        <v>686</v>
      </c>
      <c r="F2039" s="15" t="s">
        <v>153</v>
      </c>
      <c r="G2039" s="70">
        <f>G2040</f>
        <v>0</v>
      </c>
      <c r="H2039" s="8">
        <v>0</v>
      </c>
      <c r="I2039" s="8">
        <v>0</v>
      </c>
      <c r="J2039" s="332"/>
      <c r="K2039" s="69"/>
      <c r="L2039" s="69"/>
      <c r="M2039" s="69"/>
      <c r="N2039" s="69"/>
      <c r="O2039" s="69"/>
      <c r="P2039" s="69"/>
      <c r="Q2039" s="69"/>
      <c r="R2039" s="69"/>
      <c r="S2039" s="1"/>
      <c r="T2039" s="1"/>
    </row>
    <row r="2040" spans="1:20" ht="20.25" hidden="1" customHeight="1">
      <c r="A2040" s="16" t="s">
        <v>172</v>
      </c>
      <c r="B2040" s="49">
        <v>793</v>
      </c>
      <c r="C2040" s="15" t="s">
        <v>167</v>
      </c>
      <c r="D2040" s="15" t="s">
        <v>167</v>
      </c>
      <c r="E2040" s="15" t="s">
        <v>686</v>
      </c>
      <c r="F2040" s="15" t="s">
        <v>173</v>
      </c>
      <c r="G2040" s="70"/>
      <c r="H2040" s="8"/>
      <c r="I2040" s="8"/>
      <c r="J2040" s="332"/>
      <c r="K2040" s="69"/>
      <c r="L2040" s="69"/>
      <c r="M2040" s="69"/>
      <c r="N2040" s="69"/>
      <c r="O2040" s="69"/>
      <c r="P2040" s="69"/>
      <c r="Q2040" s="69"/>
      <c r="R2040" s="69"/>
      <c r="S2040" s="1"/>
      <c r="T2040" s="1"/>
    </row>
    <row r="2041" spans="1:20" ht="57" hidden="1" customHeight="1">
      <c r="A2041" s="37" t="s">
        <v>833</v>
      </c>
      <c r="B2041" s="49">
        <v>793</v>
      </c>
      <c r="C2041" s="15" t="s">
        <v>167</v>
      </c>
      <c r="D2041" s="15" t="s">
        <v>167</v>
      </c>
      <c r="E2041" s="15" t="s">
        <v>832</v>
      </c>
      <c r="F2041" s="15"/>
      <c r="G2041" s="70">
        <f>G2042</f>
        <v>0</v>
      </c>
      <c r="H2041" s="70">
        <f t="shared" ref="H2041:I2041" si="599">H2042</f>
        <v>0</v>
      </c>
      <c r="I2041" s="70">
        <f t="shared" si="599"/>
        <v>0</v>
      </c>
      <c r="J2041" s="172"/>
      <c r="K2041" s="69"/>
      <c r="L2041" s="69"/>
      <c r="M2041" s="69"/>
      <c r="N2041" s="69"/>
      <c r="O2041" s="69"/>
      <c r="P2041" s="69"/>
      <c r="Q2041" s="69"/>
      <c r="R2041" s="69"/>
      <c r="S2041" s="1"/>
      <c r="T2041" s="1"/>
    </row>
    <row r="2042" spans="1:20" ht="27" hidden="1" customHeight="1">
      <c r="A2042" s="16" t="s">
        <v>62</v>
      </c>
      <c r="B2042" s="49">
        <v>793</v>
      </c>
      <c r="C2042" s="15" t="s">
        <v>167</v>
      </c>
      <c r="D2042" s="15" t="s">
        <v>167</v>
      </c>
      <c r="E2042" s="15" t="s">
        <v>832</v>
      </c>
      <c r="F2042" s="15" t="s">
        <v>63</v>
      </c>
      <c r="G2042" s="70">
        <f>G2043</f>
        <v>0</v>
      </c>
      <c r="H2042" s="8">
        <f>H2043</f>
        <v>0</v>
      </c>
      <c r="I2042" s="8">
        <f>I2043</f>
        <v>0</v>
      </c>
      <c r="J2042" s="332"/>
      <c r="K2042" s="69"/>
      <c r="L2042" s="69"/>
      <c r="M2042" s="69"/>
      <c r="N2042" s="69"/>
      <c r="O2042" s="69"/>
      <c r="P2042" s="69"/>
      <c r="Q2042" s="69"/>
      <c r="R2042" s="69"/>
      <c r="S2042" s="1"/>
      <c r="T2042" s="1"/>
    </row>
    <row r="2043" spans="1:20" ht="18.75" hidden="1" customHeight="1">
      <c r="A2043" s="16" t="s">
        <v>174</v>
      </c>
      <c r="B2043" s="49">
        <v>793</v>
      </c>
      <c r="C2043" s="15" t="s">
        <v>167</v>
      </c>
      <c r="D2043" s="15" t="s">
        <v>167</v>
      </c>
      <c r="E2043" s="15" t="s">
        <v>832</v>
      </c>
      <c r="F2043" s="15" t="s">
        <v>175</v>
      </c>
      <c r="G2043" s="70">
        <f>450000-450000</f>
        <v>0</v>
      </c>
      <c r="H2043" s="70">
        <v>0</v>
      </c>
      <c r="I2043" s="70">
        <v>0</v>
      </c>
      <c r="J2043" s="172"/>
      <c r="K2043" s="69"/>
      <c r="L2043" s="69"/>
      <c r="M2043" s="69"/>
      <c r="N2043" s="69"/>
      <c r="O2043" s="69"/>
      <c r="P2043" s="69"/>
      <c r="Q2043" s="69"/>
      <c r="R2043" s="69"/>
      <c r="S2043" s="1"/>
      <c r="T2043" s="1"/>
    </row>
    <row r="2044" spans="1:20" ht="20.25" customHeight="1">
      <c r="A2044" s="37" t="s">
        <v>267</v>
      </c>
      <c r="B2044" s="49">
        <v>793</v>
      </c>
      <c r="C2044" s="15" t="s">
        <v>167</v>
      </c>
      <c r="D2044" s="15" t="s">
        <v>167</v>
      </c>
      <c r="E2044" s="15" t="s">
        <v>544</v>
      </c>
      <c r="F2044" s="15"/>
      <c r="G2044" s="70">
        <f>G2047+G2045</f>
        <v>5679212.6799999997</v>
      </c>
      <c r="H2044" s="70">
        <f>H2047</f>
        <v>0</v>
      </c>
      <c r="I2044" s="70">
        <f>I2047</f>
        <v>0</v>
      </c>
      <c r="J2044" s="332"/>
      <c r="K2044" s="69"/>
      <c r="L2044" s="69"/>
      <c r="M2044" s="69"/>
      <c r="N2044" s="69"/>
      <c r="O2044" s="69"/>
      <c r="P2044" s="69"/>
      <c r="Q2044" s="69"/>
      <c r="R2044" s="69"/>
      <c r="S2044" s="1"/>
      <c r="T2044" s="1"/>
    </row>
    <row r="2045" spans="1:20" ht="27.75" customHeight="1">
      <c r="A2045" s="16" t="s">
        <v>316</v>
      </c>
      <c r="B2045" s="49">
        <v>793</v>
      </c>
      <c r="C2045" s="15" t="s">
        <v>167</v>
      </c>
      <c r="D2045" s="15" t="s">
        <v>167</v>
      </c>
      <c r="E2045" s="15" t="s">
        <v>544</v>
      </c>
      <c r="F2045" s="15" t="s">
        <v>36</v>
      </c>
      <c r="G2045" s="70">
        <f>G2046</f>
        <v>1357582</v>
      </c>
      <c r="H2045" s="70">
        <f t="shared" ref="H2045:I2047" si="600">H2046</f>
        <v>0</v>
      </c>
      <c r="I2045" s="70">
        <f t="shared" si="600"/>
        <v>0</v>
      </c>
      <c r="J2045" s="332"/>
      <c r="K2045" s="69"/>
      <c r="L2045" s="69"/>
      <c r="M2045" s="69"/>
      <c r="N2045" s="69"/>
      <c r="O2045" s="69"/>
      <c r="P2045" s="69"/>
      <c r="Q2045" s="69"/>
      <c r="R2045" s="69"/>
      <c r="S2045" s="1"/>
      <c r="T2045" s="1"/>
    </row>
    <row r="2046" spans="1:20" ht="31.5" customHeight="1">
      <c r="A2046" s="16" t="s">
        <v>37</v>
      </c>
      <c r="B2046" s="49">
        <v>793</v>
      </c>
      <c r="C2046" s="15" t="s">
        <v>167</v>
      </c>
      <c r="D2046" s="15" t="s">
        <v>167</v>
      </c>
      <c r="E2046" s="15" t="s">
        <v>544</v>
      </c>
      <c r="F2046" s="15" t="s">
        <v>38</v>
      </c>
      <c r="G2046" s="70">
        <f>прил4!G1877+прил4!G2340</f>
        <v>1357582</v>
      </c>
      <c r="H2046" s="70">
        <v>0</v>
      </c>
      <c r="I2046" s="70">
        <v>0</v>
      </c>
      <c r="J2046" s="332"/>
      <c r="K2046" s="69"/>
      <c r="L2046" s="69"/>
      <c r="M2046" s="69"/>
      <c r="N2046" s="69"/>
      <c r="O2046" s="69"/>
      <c r="P2046" s="69"/>
      <c r="Q2046" s="69"/>
      <c r="R2046" s="69"/>
      <c r="S2046" s="1"/>
      <c r="T2046" s="1"/>
    </row>
    <row r="2047" spans="1:20" ht="27.75" customHeight="1">
      <c r="A2047" s="16" t="s">
        <v>94</v>
      </c>
      <c r="B2047" s="49">
        <v>793</v>
      </c>
      <c r="C2047" s="15" t="s">
        <v>167</v>
      </c>
      <c r="D2047" s="15" t="s">
        <v>167</v>
      </c>
      <c r="E2047" s="15" t="s">
        <v>544</v>
      </c>
      <c r="F2047" s="15" t="s">
        <v>338</v>
      </c>
      <c r="G2047" s="70">
        <f>G2048</f>
        <v>4321630.68</v>
      </c>
      <c r="H2047" s="70">
        <f t="shared" si="600"/>
        <v>0</v>
      </c>
      <c r="I2047" s="70">
        <f t="shared" si="600"/>
        <v>0</v>
      </c>
      <c r="J2047" s="332"/>
      <c r="K2047" s="69"/>
      <c r="L2047" s="69"/>
      <c r="M2047" s="69"/>
      <c r="N2047" s="69"/>
      <c r="O2047" s="69"/>
      <c r="P2047" s="69"/>
      <c r="Q2047" s="69"/>
      <c r="R2047" s="69"/>
      <c r="S2047" s="1"/>
      <c r="T2047" s="1"/>
    </row>
    <row r="2048" spans="1:20" ht="19.5" customHeight="1">
      <c r="A2048" s="16" t="s">
        <v>339</v>
      </c>
      <c r="B2048" s="49">
        <v>793</v>
      </c>
      <c r="C2048" s="15" t="s">
        <v>167</v>
      </c>
      <c r="D2048" s="15" t="s">
        <v>167</v>
      </c>
      <c r="E2048" s="15" t="s">
        <v>544</v>
      </c>
      <c r="F2048" s="15" t="s">
        <v>340</v>
      </c>
      <c r="G2048" s="70">
        <f>прил4!G2607+прил4!G1117</f>
        <v>4321630.68</v>
      </c>
      <c r="H2048" s="70">
        <v>0</v>
      </c>
      <c r="I2048" s="70">
        <v>0</v>
      </c>
      <c r="J2048" s="332"/>
      <c r="K2048" s="69"/>
      <c r="L2048" s="69"/>
      <c r="M2048" s="69"/>
      <c r="N2048" s="69"/>
      <c r="O2048" s="69"/>
      <c r="P2048" s="69"/>
      <c r="Q2048" s="69"/>
      <c r="R2048" s="69"/>
      <c r="S2048" s="1"/>
      <c r="T2048" s="1"/>
    </row>
    <row r="2049" spans="1:20" s="227" customFormat="1" ht="25.5" customHeight="1">
      <c r="A2049" s="34" t="s">
        <v>1194</v>
      </c>
      <c r="B2049" s="35">
        <v>793</v>
      </c>
      <c r="C2049" s="36" t="s">
        <v>18</v>
      </c>
      <c r="D2049" s="36" t="s">
        <v>27</v>
      </c>
      <c r="E2049" s="36" t="s">
        <v>234</v>
      </c>
      <c r="F2049" s="36"/>
      <c r="G2049" s="71">
        <f>G2050+G2057</f>
        <v>101893180.51000002</v>
      </c>
      <c r="H2049" s="71">
        <f>H2050+H2057</f>
        <v>98320073.019999996</v>
      </c>
      <c r="I2049" s="71">
        <f>I2050+I2057</f>
        <v>99809578.079999998</v>
      </c>
      <c r="J2049" s="226">
        <v>1816051</v>
      </c>
      <c r="P2049" s="226"/>
      <c r="Q2049" s="226"/>
      <c r="R2049" s="226"/>
      <c r="S2049" s="226"/>
      <c r="T2049" s="226"/>
    </row>
    <row r="2050" spans="1:20" s="22" customFormat="1">
      <c r="A2050" s="34" t="s">
        <v>1193</v>
      </c>
      <c r="B2050" s="35">
        <v>793</v>
      </c>
      <c r="C2050" s="36" t="s">
        <v>18</v>
      </c>
      <c r="D2050" s="36" t="s">
        <v>27</v>
      </c>
      <c r="E2050" s="36" t="s">
        <v>235</v>
      </c>
      <c r="F2050" s="36"/>
      <c r="G2050" s="71">
        <f>G2054+G2051</f>
        <v>2833610.54</v>
      </c>
      <c r="H2050" s="71">
        <f t="shared" ref="H2050:I2050" si="601">H2054</f>
        <v>2569071.31</v>
      </c>
      <c r="I2050" s="71">
        <f t="shared" si="601"/>
        <v>2604396.04</v>
      </c>
      <c r="J2050" s="21">
        <v>22376720</v>
      </c>
      <c r="P2050" s="21"/>
      <c r="Q2050" s="21"/>
      <c r="R2050" s="21"/>
      <c r="S2050" s="21"/>
      <c r="T2050" s="21"/>
    </row>
    <row r="2051" spans="1:20" ht="79.5" customHeight="1">
      <c r="A2051" s="82" t="s">
        <v>1018</v>
      </c>
      <c r="B2051" s="145">
        <v>793</v>
      </c>
      <c r="C2051" s="84" t="s">
        <v>18</v>
      </c>
      <c r="D2051" s="84" t="s">
        <v>27</v>
      </c>
      <c r="E2051" s="84" t="s">
        <v>1017</v>
      </c>
      <c r="F2051" s="84"/>
      <c r="G2051" s="87">
        <f t="shared" ref="G2051:I2052" si="602">G2052</f>
        <v>299384.84000000003</v>
      </c>
      <c r="H2051" s="87">
        <f t="shared" si="602"/>
        <v>0</v>
      </c>
      <c r="I2051" s="87">
        <f t="shared" si="602"/>
        <v>0</v>
      </c>
      <c r="J2051" s="173"/>
      <c r="K2051" s="181"/>
      <c r="L2051" s="181"/>
      <c r="M2051" s="181"/>
      <c r="N2051" s="181"/>
      <c r="O2051" s="181"/>
      <c r="P2051" s="181"/>
      <c r="Q2051" s="181"/>
      <c r="R2051" s="181"/>
      <c r="S2051" s="1"/>
      <c r="T2051" s="1"/>
    </row>
    <row r="2052" spans="1:20" ht="52.8">
      <c r="A2052" s="82" t="s">
        <v>312</v>
      </c>
      <c r="B2052" s="145">
        <v>793</v>
      </c>
      <c r="C2052" s="84" t="s">
        <v>18</v>
      </c>
      <c r="D2052" s="84" t="s">
        <v>27</v>
      </c>
      <c r="E2052" s="84" t="s">
        <v>1017</v>
      </c>
      <c r="F2052" s="84" t="s">
        <v>57</v>
      </c>
      <c r="G2052" s="87">
        <f t="shared" si="602"/>
        <v>299384.84000000003</v>
      </c>
      <c r="H2052" s="87">
        <f t="shared" si="602"/>
        <v>0</v>
      </c>
      <c r="I2052" s="87">
        <f t="shared" si="602"/>
        <v>0</v>
      </c>
      <c r="J2052" s="173"/>
      <c r="K2052" s="181"/>
      <c r="L2052" s="181"/>
      <c r="M2052" s="181"/>
      <c r="N2052" s="181"/>
      <c r="O2052" s="181"/>
      <c r="P2052" s="181"/>
      <c r="Q2052" s="181"/>
      <c r="R2052" s="181"/>
      <c r="S2052" s="1"/>
      <c r="T2052" s="1"/>
    </row>
    <row r="2053" spans="1:20" ht="26.4">
      <c r="A2053" s="82" t="s">
        <v>55</v>
      </c>
      <c r="B2053" s="145">
        <v>793</v>
      </c>
      <c r="C2053" s="84" t="s">
        <v>18</v>
      </c>
      <c r="D2053" s="84" t="s">
        <v>27</v>
      </c>
      <c r="E2053" s="84" t="s">
        <v>1017</v>
      </c>
      <c r="F2053" s="84" t="s">
        <v>58</v>
      </c>
      <c r="G2053" s="87">
        <f>прил4!G1493</f>
        <v>299384.84000000003</v>
      </c>
      <c r="H2053" s="87"/>
      <c r="I2053" s="87"/>
      <c r="J2053" s="173"/>
      <c r="K2053" s="181"/>
      <c r="L2053" s="181"/>
      <c r="M2053" s="181"/>
      <c r="N2053" s="181"/>
      <c r="O2053" s="181"/>
      <c r="P2053" s="181"/>
      <c r="Q2053" s="181"/>
      <c r="R2053" s="181"/>
      <c r="S2053" s="1"/>
      <c r="T2053" s="1"/>
    </row>
    <row r="2054" spans="1:20" ht="26.4">
      <c r="A2054" s="16" t="s">
        <v>75</v>
      </c>
      <c r="B2054" s="14">
        <v>793</v>
      </c>
      <c r="C2054" s="15" t="s">
        <v>18</v>
      </c>
      <c r="D2054" s="15" t="s">
        <v>27</v>
      </c>
      <c r="E2054" s="15" t="s">
        <v>236</v>
      </c>
      <c r="F2054" s="15"/>
      <c r="G2054" s="70">
        <f>G2055</f>
        <v>2534225.7000000002</v>
      </c>
      <c r="H2054" s="70">
        <f t="shared" ref="H2054:I2055" si="603">H2055</f>
        <v>2569071.31</v>
      </c>
      <c r="I2054" s="70">
        <f t="shared" si="603"/>
        <v>2604396.04</v>
      </c>
      <c r="J2054" s="2">
        <v>1931480</v>
      </c>
    </row>
    <row r="2055" spans="1:20" ht="52.8">
      <c r="A2055" s="16" t="s">
        <v>312</v>
      </c>
      <c r="B2055" s="14">
        <v>793</v>
      </c>
      <c r="C2055" s="15" t="s">
        <v>18</v>
      </c>
      <c r="D2055" s="15" t="s">
        <v>27</v>
      </c>
      <c r="E2055" s="15" t="s">
        <v>236</v>
      </c>
      <c r="F2055" s="15" t="s">
        <v>57</v>
      </c>
      <c r="G2055" s="70">
        <f>G2056</f>
        <v>2534225.7000000002</v>
      </c>
      <c r="H2055" s="70">
        <f t="shared" si="603"/>
        <v>2569071.31</v>
      </c>
      <c r="I2055" s="70">
        <f t="shared" si="603"/>
        <v>2604396.04</v>
      </c>
      <c r="J2055" s="2">
        <v>3861060</v>
      </c>
    </row>
    <row r="2056" spans="1:20" ht="26.4">
      <c r="A2056" s="16" t="s">
        <v>55</v>
      </c>
      <c r="B2056" s="14">
        <v>793</v>
      </c>
      <c r="C2056" s="15" t="s">
        <v>18</v>
      </c>
      <c r="D2056" s="15" t="s">
        <v>27</v>
      </c>
      <c r="E2056" s="15" t="s">
        <v>236</v>
      </c>
      <c r="F2056" s="15" t="s">
        <v>58</v>
      </c>
      <c r="G2056" s="70">
        <f>прил4!G1498</f>
        <v>2534225.7000000002</v>
      </c>
      <c r="H2056" s="70">
        <f>прил4!H1498</f>
        <v>2569071.31</v>
      </c>
      <c r="I2056" s="70">
        <f>прил4!I1498</f>
        <v>2604396.04</v>
      </c>
      <c r="J2056" s="2">
        <v>36840</v>
      </c>
    </row>
    <row r="2057" spans="1:20" s="46" customFormat="1">
      <c r="A2057" s="56" t="s">
        <v>1195</v>
      </c>
      <c r="B2057" s="14">
        <v>793</v>
      </c>
      <c r="C2057" s="15" t="s">
        <v>18</v>
      </c>
      <c r="D2057" s="15" t="s">
        <v>53</v>
      </c>
      <c r="E2057" s="15" t="s">
        <v>239</v>
      </c>
      <c r="F2057" s="15"/>
      <c r="G2057" s="70">
        <f>G2058+G2094+G2089+G2103+G2076+G2067+G2082+G2097+G2100</f>
        <v>99059569.970000014</v>
      </c>
      <c r="H2057" s="70">
        <f t="shared" ref="H2057:I2057" si="604">H2058+H2094+H2089+H2103+H2076+H2067+H2082</f>
        <v>95751001.709999993</v>
      </c>
      <c r="I2057" s="70">
        <f t="shared" si="604"/>
        <v>97205182.039999992</v>
      </c>
      <c r="J2057" s="110">
        <v>1772668</v>
      </c>
      <c r="P2057" s="110"/>
      <c r="Q2057" s="110"/>
      <c r="R2057" s="110"/>
      <c r="S2057" s="110"/>
      <c r="T2057" s="110"/>
    </row>
    <row r="2058" spans="1:20" s="46" customFormat="1" ht="26.4">
      <c r="A2058" s="16" t="s">
        <v>75</v>
      </c>
      <c r="B2058" s="14">
        <v>793</v>
      </c>
      <c r="C2058" s="15" t="s">
        <v>18</v>
      </c>
      <c r="D2058" s="15" t="s">
        <v>53</v>
      </c>
      <c r="E2058" s="15" t="s">
        <v>240</v>
      </c>
      <c r="F2058" s="15"/>
      <c r="G2058" s="70">
        <f>G2059+G2061+G2065+G2063+G2068</f>
        <v>87545736.190000013</v>
      </c>
      <c r="H2058" s="70">
        <f t="shared" ref="H2058:I2058" si="605">H2059+H2061+H2065+H2063</f>
        <v>86527466.230000004</v>
      </c>
      <c r="I2058" s="70">
        <f t="shared" si="605"/>
        <v>87654613.769999996</v>
      </c>
      <c r="J2058" s="110">
        <v>26732</v>
      </c>
      <c r="P2058" s="110"/>
      <c r="Q2058" s="110"/>
      <c r="R2058" s="110"/>
      <c r="S2058" s="110"/>
      <c r="T2058" s="110"/>
    </row>
    <row r="2059" spans="1:20" s="46" customFormat="1" ht="52.8">
      <c r="A2059" s="16" t="s">
        <v>312</v>
      </c>
      <c r="B2059" s="14">
        <v>793</v>
      </c>
      <c r="C2059" s="15" t="s">
        <v>18</v>
      </c>
      <c r="D2059" s="15" t="s">
        <v>53</v>
      </c>
      <c r="E2059" s="15" t="s">
        <v>240</v>
      </c>
      <c r="F2059" s="15" t="s">
        <v>57</v>
      </c>
      <c r="G2059" s="70">
        <f>G2060</f>
        <v>81733157.439999998</v>
      </c>
      <c r="H2059" s="70">
        <f>H2060</f>
        <v>82474366.230000004</v>
      </c>
      <c r="I2059" s="70">
        <f>I2060</f>
        <v>83601513.769999996</v>
      </c>
      <c r="J2059" s="110">
        <v>292420</v>
      </c>
      <c r="P2059" s="110"/>
      <c r="Q2059" s="110"/>
      <c r="R2059" s="110"/>
      <c r="S2059" s="110"/>
      <c r="T2059" s="110"/>
    </row>
    <row r="2060" spans="1:20" s="46" customFormat="1" ht="34.5" customHeight="1">
      <c r="A2060" s="16" t="s">
        <v>55</v>
      </c>
      <c r="B2060" s="14">
        <v>793</v>
      </c>
      <c r="C2060" s="15" t="s">
        <v>18</v>
      </c>
      <c r="D2060" s="15" t="s">
        <v>53</v>
      </c>
      <c r="E2060" s="15" t="s">
        <v>240</v>
      </c>
      <c r="F2060" s="15" t="s">
        <v>58</v>
      </c>
      <c r="G2060" s="70">
        <f>прил4!G1514</f>
        <v>81733157.439999998</v>
      </c>
      <c r="H2060" s="70">
        <f>прил4!H1514</f>
        <v>82474366.230000004</v>
      </c>
      <c r="I2060" s="70">
        <f>прил4!I1514</f>
        <v>83601513.769999996</v>
      </c>
      <c r="J2060" s="110">
        <v>7380</v>
      </c>
      <c r="P2060" s="110"/>
      <c r="Q2060" s="110"/>
      <c r="R2060" s="110"/>
      <c r="S2060" s="110"/>
      <c r="T2060" s="110"/>
    </row>
    <row r="2061" spans="1:20" s="46" customFormat="1">
      <c r="A2061" s="16" t="s">
        <v>316</v>
      </c>
      <c r="B2061" s="14">
        <v>793</v>
      </c>
      <c r="C2061" s="15" t="s">
        <v>18</v>
      </c>
      <c r="D2061" s="15" t="s">
        <v>53</v>
      </c>
      <c r="E2061" s="15" t="s">
        <v>240</v>
      </c>
      <c r="F2061" s="15" t="s">
        <v>36</v>
      </c>
      <c r="G2061" s="70">
        <f>G2062</f>
        <v>5214579.0599999996</v>
      </c>
      <c r="H2061" s="70">
        <f t="shared" ref="H2061:I2061" si="606">H2062</f>
        <v>4047100</v>
      </c>
      <c r="I2061" s="70">
        <f t="shared" si="606"/>
        <v>4047100</v>
      </c>
      <c r="J2061" s="110">
        <v>10000</v>
      </c>
      <c r="P2061" s="110"/>
      <c r="Q2061" s="110"/>
      <c r="R2061" s="110"/>
      <c r="S2061" s="110"/>
      <c r="T2061" s="110"/>
    </row>
    <row r="2062" spans="1:20" s="46" customFormat="1" ht="26.4">
      <c r="A2062" s="16" t="s">
        <v>37</v>
      </c>
      <c r="B2062" s="14">
        <v>793</v>
      </c>
      <c r="C2062" s="15" t="s">
        <v>18</v>
      </c>
      <c r="D2062" s="15" t="s">
        <v>53</v>
      </c>
      <c r="E2062" s="15" t="s">
        <v>240</v>
      </c>
      <c r="F2062" s="15" t="s">
        <v>38</v>
      </c>
      <c r="G2062" s="70">
        <f>прил4!G1516</f>
        <v>5214579.0599999996</v>
      </c>
      <c r="H2062" s="70">
        <f>прил4!H1516</f>
        <v>4047100</v>
      </c>
      <c r="I2062" s="70">
        <f>прил4!I1516</f>
        <v>4047100</v>
      </c>
      <c r="J2062" s="110">
        <f>SUM(J2049:J2061)</f>
        <v>32131351</v>
      </c>
      <c r="P2062" s="110"/>
      <c r="Q2062" s="110"/>
      <c r="R2062" s="110"/>
      <c r="S2062" s="110"/>
      <c r="T2062" s="110"/>
    </row>
    <row r="2063" spans="1:20" s="46" customFormat="1" ht="21.75" customHeight="1">
      <c r="A2063" s="16" t="s">
        <v>144</v>
      </c>
      <c r="B2063" s="14">
        <v>793</v>
      </c>
      <c r="C2063" s="15" t="s">
        <v>18</v>
      </c>
      <c r="D2063" s="15" t="s">
        <v>53</v>
      </c>
      <c r="E2063" s="15" t="s">
        <v>240</v>
      </c>
      <c r="F2063" s="15" t="s">
        <v>145</v>
      </c>
      <c r="G2063" s="70">
        <f>G2064</f>
        <v>7646.2600000000093</v>
      </c>
      <c r="H2063" s="70">
        <f t="shared" ref="H2063:I2063" si="607">H2064</f>
        <v>0</v>
      </c>
      <c r="I2063" s="70">
        <f t="shared" si="607"/>
        <v>0</v>
      </c>
      <c r="J2063" s="173"/>
      <c r="K2063" s="215"/>
      <c r="L2063" s="215"/>
      <c r="M2063" s="215"/>
      <c r="N2063" s="215"/>
      <c r="O2063" s="215"/>
      <c r="P2063" s="215"/>
      <c r="Q2063" s="215"/>
      <c r="R2063" s="215"/>
    </row>
    <row r="2064" spans="1:20" s="46" customFormat="1" ht="29.25" customHeight="1">
      <c r="A2064" s="16" t="s">
        <v>146</v>
      </c>
      <c r="B2064" s="14">
        <v>793</v>
      </c>
      <c r="C2064" s="15" t="s">
        <v>18</v>
      </c>
      <c r="D2064" s="15" t="s">
        <v>53</v>
      </c>
      <c r="E2064" s="15" t="s">
        <v>240</v>
      </c>
      <c r="F2064" s="15" t="s">
        <v>147</v>
      </c>
      <c r="G2064" s="70">
        <f>прил4!G1518+прил4!G1602</f>
        <v>7646.2600000000093</v>
      </c>
      <c r="H2064" s="70">
        <f>прил4!H1518</f>
        <v>0</v>
      </c>
      <c r="I2064" s="70">
        <f>прил4!I1518</f>
        <v>0</v>
      </c>
      <c r="J2064" s="173"/>
      <c r="K2064" s="215"/>
      <c r="L2064" s="215"/>
      <c r="M2064" s="215"/>
      <c r="N2064" s="215"/>
      <c r="O2064" s="215"/>
      <c r="P2064" s="215"/>
      <c r="Q2064" s="215"/>
      <c r="R2064" s="215"/>
    </row>
    <row r="2065" spans="1:20" s="46" customFormat="1" ht="13.5" customHeight="1">
      <c r="A2065" s="16" t="s">
        <v>62</v>
      </c>
      <c r="B2065" s="14">
        <v>793</v>
      </c>
      <c r="C2065" s="15" t="s">
        <v>18</v>
      </c>
      <c r="D2065" s="15" t="s">
        <v>53</v>
      </c>
      <c r="E2065" s="15" t="s">
        <v>240</v>
      </c>
      <c r="F2065" s="15" t="s">
        <v>63</v>
      </c>
      <c r="G2065" s="70">
        <f>G2066</f>
        <v>46000</v>
      </c>
      <c r="H2065" s="70">
        <f>H2066</f>
        <v>6000</v>
      </c>
      <c r="I2065" s="70">
        <f>I2066</f>
        <v>6000</v>
      </c>
      <c r="J2065" s="110"/>
      <c r="P2065" s="110"/>
      <c r="Q2065" s="110"/>
      <c r="R2065" s="110"/>
      <c r="S2065" s="110"/>
      <c r="T2065" s="110"/>
    </row>
    <row r="2066" spans="1:20" s="46" customFormat="1">
      <c r="A2066" s="16" t="s">
        <v>140</v>
      </c>
      <c r="B2066" s="14">
        <v>793</v>
      </c>
      <c r="C2066" s="15" t="s">
        <v>18</v>
      </c>
      <c r="D2066" s="15" t="s">
        <v>53</v>
      </c>
      <c r="E2066" s="15" t="s">
        <v>240</v>
      </c>
      <c r="F2066" s="15" t="s">
        <v>66</v>
      </c>
      <c r="G2066" s="70">
        <f>прил4!G1520</f>
        <v>46000</v>
      </c>
      <c r="H2066" s="70">
        <f>прил4!H1520</f>
        <v>6000</v>
      </c>
      <c r="I2066" s="70">
        <f>прил4!I1520</f>
        <v>6000</v>
      </c>
      <c r="J2066" s="110"/>
      <c r="P2066" s="110"/>
      <c r="Q2066" s="110"/>
      <c r="R2066" s="110"/>
      <c r="S2066" s="110"/>
      <c r="T2066" s="110"/>
    </row>
    <row r="2067" spans="1:20" s="46" customFormat="1" ht="39.6" hidden="1">
      <c r="A2067" s="16" t="s">
        <v>1059</v>
      </c>
      <c r="B2067" s="14"/>
      <c r="C2067" s="15"/>
      <c r="D2067" s="15"/>
      <c r="E2067" s="15" t="s">
        <v>1058</v>
      </c>
      <c r="F2067" s="15"/>
      <c r="G2067" s="70">
        <f>G2071</f>
        <v>5732893.120000001</v>
      </c>
      <c r="H2067" s="70">
        <f t="shared" ref="H2067:I2067" si="608">H2071</f>
        <v>5917948.0600000005</v>
      </c>
      <c r="I2067" s="70">
        <f t="shared" si="608"/>
        <v>6130519.3700000001</v>
      </c>
      <c r="J2067" s="110"/>
      <c r="P2067" s="110">
        <f>G2067+G2076+G2082</f>
        <v>8375735.4200000018</v>
      </c>
      <c r="Q2067" s="110">
        <f t="shared" ref="Q2067:R2067" si="609">H2067+H2076+H2082</f>
        <v>8754308.7100000009</v>
      </c>
      <c r="R2067" s="110">
        <f t="shared" si="609"/>
        <v>9064989.8599999994</v>
      </c>
      <c r="S2067" s="110"/>
      <c r="T2067" s="110"/>
    </row>
    <row r="2068" spans="1:20" ht="84.75" customHeight="1">
      <c r="A2068" s="82" t="s">
        <v>1435</v>
      </c>
      <c r="B2068" s="353">
        <v>793</v>
      </c>
      <c r="C2068" s="354" t="s">
        <v>18</v>
      </c>
      <c r="D2068" s="354" t="s">
        <v>53</v>
      </c>
      <c r="E2068" s="84" t="s">
        <v>1528</v>
      </c>
      <c r="F2068" s="84"/>
      <c r="G2068" s="87">
        <f>G2069</f>
        <v>544353.43000000005</v>
      </c>
      <c r="H2068" s="87">
        <f t="shared" ref="H2068:I2068" si="610">H2069</f>
        <v>0</v>
      </c>
      <c r="I2068" s="87">
        <f t="shared" si="610"/>
        <v>0</v>
      </c>
      <c r="J2068" s="173"/>
      <c r="K2068" s="181"/>
      <c r="L2068" s="181"/>
      <c r="M2068" s="181"/>
      <c r="N2068" s="181"/>
      <c r="O2068" s="181"/>
      <c r="P2068" s="181"/>
      <c r="Q2068" s="181"/>
      <c r="R2068" s="181"/>
      <c r="S2068" s="1"/>
      <c r="T2068" s="1"/>
    </row>
    <row r="2069" spans="1:20" ht="29.25" customHeight="1">
      <c r="A2069" s="82" t="s">
        <v>54</v>
      </c>
      <c r="B2069" s="353">
        <v>793</v>
      </c>
      <c r="C2069" s="354" t="s">
        <v>18</v>
      </c>
      <c r="D2069" s="354" t="s">
        <v>53</v>
      </c>
      <c r="E2069" s="84" t="s">
        <v>1528</v>
      </c>
      <c r="F2069" s="84" t="s">
        <v>57</v>
      </c>
      <c r="G2069" s="87">
        <f>G2070</f>
        <v>544353.43000000005</v>
      </c>
      <c r="H2069" s="87">
        <f>H2070</f>
        <v>0</v>
      </c>
      <c r="I2069" s="87">
        <f>I2070</f>
        <v>0</v>
      </c>
      <c r="J2069" s="173"/>
      <c r="K2069" s="181"/>
      <c r="L2069" s="181"/>
      <c r="M2069" s="181"/>
      <c r="N2069" s="181"/>
      <c r="O2069" s="181"/>
      <c r="P2069" s="181"/>
      <c r="Q2069" s="181"/>
      <c r="R2069" s="181"/>
      <c r="S2069" s="1"/>
      <c r="T2069" s="1"/>
    </row>
    <row r="2070" spans="1:20" ht="36.75" customHeight="1">
      <c r="A2070" s="82" t="s">
        <v>55</v>
      </c>
      <c r="B2070" s="353">
        <v>793</v>
      </c>
      <c r="C2070" s="354" t="s">
        <v>18</v>
      </c>
      <c r="D2070" s="354" t="s">
        <v>53</v>
      </c>
      <c r="E2070" s="84" t="s">
        <v>1528</v>
      </c>
      <c r="F2070" s="84" t="s">
        <v>58</v>
      </c>
      <c r="G2070" s="70">
        <f>прил4!G1523</f>
        <v>544353.43000000005</v>
      </c>
      <c r="H2070" s="87">
        <v>0</v>
      </c>
      <c r="I2070" s="87">
        <v>0</v>
      </c>
      <c r="J2070" s="173"/>
      <c r="K2070" s="181"/>
      <c r="L2070" s="181"/>
      <c r="M2070" s="181"/>
      <c r="N2070" s="181"/>
      <c r="O2070" s="181"/>
      <c r="P2070" s="181"/>
      <c r="Q2070" s="181"/>
      <c r="R2070" s="181"/>
      <c r="S2070" s="1"/>
      <c r="T2070" s="1"/>
    </row>
    <row r="2071" spans="1:20" s="3" customFormat="1" ht="51.75" customHeight="1">
      <c r="A2071" s="327" t="s">
        <v>1167</v>
      </c>
      <c r="B2071" s="14">
        <v>793</v>
      </c>
      <c r="C2071" s="15" t="s">
        <v>18</v>
      </c>
      <c r="D2071" s="15" t="s">
        <v>53</v>
      </c>
      <c r="E2071" s="15" t="s">
        <v>1058</v>
      </c>
      <c r="F2071" s="15"/>
      <c r="G2071" s="70">
        <f>G2072+G2074</f>
        <v>5732893.120000001</v>
      </c>
      <c r="H2071" s="70">
        <f>H2072+H2074</f>
        <v>5917948.0600000005</v>
      </c>
      <c r="I2071" s="70">
        <f>I2072+I2074</f>
        <v>6130519.3700000001</v>
      </c>
      <c r="J2071" s="111"/>
      <c r="P2071" s="111"/>
      <c r="Q2071" s="111"/>
      <c r="R2071" s="111"/>
      <c r="S2071" s="111"/>
      <c r="T2071" s="111"/>
    </row>
    <row r="2072" spans="1:20" s="3" customFormat="1" ht="52.8">
      <c r="A2072" s="16" t="s">
        <v>312</v>
      </c>
      <c r="B2072" s="14">
        <v>793</v>
      </c>
      <c r="C2072" s="15" t="s">
        <v>18</v>
      </c>
      <c r="D2072" s="15" t="s">
        <v>53</v>
      </c>
      <c r="E2072" s="15" t="s">
        <v>1058</v>
      </c>
      <c r="F2072" s="15" t="s">
        <v>57</v>
      </c>
      <c r="G2072" s="70">
        <f>G2073</f>
        <v>5626869.9700000007</v>
      </c>
      <c r="H2072" s="70">
        <f t="shared" ref="H2072:I2072" si="611">H2073</f>
        <v>5462948.0600000005</v>
      </c>
      <c r="I2072" s="70">
        <f t="shared" si="611"/>
        <v>5675519.3700000001</v>
      </c>
      <c r="J2072" s="111"/>
      <c r="P2072" s="111"/>
      <c r="Q2072" s="111"/>
      <c r="R2072" s="111"/>
      <c r="S2072" s="111"/>
      <c r="T2072" s="111"/>
    </row>
    <row r="2073" spans="1:20" s="3" customFormat="1" ht="26.4">
      <c r="A2073" s="16" t="s">
        <v>55</v>
      </c>
      <c r="B2073" s="14">
        <v>793</v>
      </c>
      <c r="C2073" s="15" t="s">
        <v>18</v>
      </c>
      <c r="D2073" s="15" t="s">
        <v>53</v>
      </c>
      <c r="E2073" s="15" t="s">
        <v>1058</v>
      </c>
      <c r="F2073" s="15" t="s">
        <v>58</v>
      </c>
      <c r="G2073" s="70">
        <f>прил4!G1535</f>
        <v>5626869.9700000007</v>
      </c>
      <c r="H2073" s="70">
        <f>прил4!H1535</f>
        <v>5462948.0600000005</v>
      </c>
      <c r="I2073" s="70">
        <f>прил4!I1535</f>
        <v>5675519.3700000001</v>
      </c>
      <c r="J2073" s="111"/>
      <c r="P2073" s="111"/>
      <c r="Q2073" s="111"/>
      <c r="R2073" s="111"/>
      <c r="S2073" s="111"/>
      <c r="T2073" s="111"/>
    </row>
    <row r="2074" spans="1:20" s="3" customFormat="1">
      <c r="A2074" s="16" t="s">
        <v>316</v>
      </c>
      <c r="B2074" s="14">
        <v>793</v>
      </c>
      <c r="C2074" s="15" t="s">
        <v>18</v>
      </c>
      <c r="D2074" s="15" t="s">
        <v>53</v>
      </c>
      <c r="E2074" s="15" t="s">
        <v>1058</v>
      </c>
      <c r="F2074" s="15" t="s">
        <v>36</v>
      </c>
      <c r="G2074" s="70">
        <f>G2075</f>
        <v>106023.15000000002</v>
      </c>
      <c r="H2074" s="70">
        <f>H2075</f>
        <v>455000</v>
      </c>
      <c r="I2074" s="70">
        <f>I2075</f>
        <v>455000</v>
      </c>
      <c r="J2074" s="111"/>
      <c r="P2074" s="111"/>
      <c r="Q2074" s="111"/>
      <c r="R2074" s="111"/>
      <c r="S2074" s="111"/>
      <c r="T2074" s="111"/>
    </row>
    <row r="2075" spans="1:20" s="3" customFormat="1" ht="26.4">
      <c r="A2075" s="16" t="s">
        <v>37</v>
      </c>
      <c r="B2075" s="14">
        <v>793</v>
      </c>
      <c r="C2075" s="15" t="s">
        <v>18</v>
      </c>
      <c r="D2075" s="15" t="s">
        <v>53</v>
      </c>
      <c r="E2075" s="15" t="s">
        <v>1058</v>
      </c>
      <c r="F2075" s="15" t="s">
        <v>38</v>
      </c>
      <c r="G2075" s="70">
        <f>прил4!G1537</f>
        <v>106023.15000000002</v>
      </c>
      <c r="H2075" s="70">
        <f>прил4!H1537</f>
        <v>455000</v>
      </c>
      <c r="I2075" s="70">
        <f>прил4!I1537</f>
        <v>455000</v>
      </c>
      <c r="J2075" s="111"/>
      <c r="P2075" s="111"/>
      <c r="Q2075" s="111"/>
      <c r="R2075" s="111"/>
      <c r="S2075" s="111"/>
      <c r="T2075" s="111"/>
    </row>
    <row r="2076" spans="1:20" s="3" customFormat="1" ht="26.4" hidden="1">
      <c r="A2076" s="327" t="s">
        <v>1056</v>
      </c>
      <c r="B2076" s="14"/>
      <c r="C2076" s="15"/>
      <c r="D2076" s="15"/>
      <c r="E2076" s="15" t="s">
        <v>1055</v>
      </c>
      <c r="F2076" s="15"/>
      <c r="G2076" s="70">
        <f>G2077</f>
        <v>1916661.86</v>
      </c>
      <c r="H2076" s="70">
        <f t="shared" ref="H2076:I2076" si="612">H2077</f>
        <v>1820907.1</v>
      </c>
      <c r="I2076" s="70">
        <f t="shared" si="612"/>
        <v>1886313.66</v>
      </c>
      <c r="J2076" s="111"/>
      <c r="P2076" s="111"/>
      <c r="Q2076" s="111"/>
      <c r="R2076" s="111"/>
      <c r="S2076" s="111"/>
      <c r="T2076" s="111"/>
    </row>
    <row r="2077" spans="1:20" s="3" customFormat="1" ht="39.6">
      <c r="A2077" s="327" t="s">
        <v>1168</v>
      </c>
      <c r="B2077" s="14">
        <v>793</v>
      </c>
      <c r="C2077" s="15" t="s">
        <v>18</v>
      </c>
      <c r="D2077" s="15" t="s">
        <v>53</v>
      </c>
      <c r="E2077" s="15" t="s">
        <v>1055</v>
      </c>
      <c r="F2077" s="15"/>
      <c r="G2077" s="70">
        <f>G2078+G2080</f>
        <v>1916661.86</v>
      </c>
      <c r="H2077" s="70">
        <f>H2078+H2080</f>
        <v>1820907.1</v>
      </c>
      <c r="I2077" s="70">
        <f>I2078+I2080</f>
        <v>1886313.66</v>
      </c>
      <c r="J2077" s="111"/>
      <c r="P2077" s="111"/>
      <c r="Q2077" s="111"/>
      <c r="R2077" s="111"/>
      <c r="S2077" s="111"/>
      <c r="T2077" s="111"/>
    </row>
    <row r="2078" spans="1:20" s="3" customFormat="1" ht="52.8">
      <c r="A2078" s="16" t="s">
        <v>312</v>
      </c>
      <c r="B2078" s="14">
        <v>793</v>
      </c>
      <c r="C2078" s="15" t="s">
        <v>18</v>
      </c>
      <c r="D2078" s="15" t="s">
        <v>53</v>
      </c>
      <c r="E2078" s="15" t="s">
        <v>1055</v>
      </c>
      <c r="F2078" s="15" t="s">
        <v>57</v>
      </c>
      <c r="G2078" s="70">
        <f>G2079</f>
        <v>1857393.83</v>
      </c>
      <c r="H2078" s="70">
        <f>H2079</f>
        <v>1680907.1</v>
      </c>
      <c r="I2078" s="70">
        <f>I2079</f>
        <v>1746313.66</v>
      </c>
      <c r="J2078" s="111"/>
      <c r="P2078" s="111"/>
      <c r="Q2078" s="111"/>
      <c r="R2078" s="111"/>
      <c r="S2078" s="111"/>
      <c r="T2078" s="111"/>
    </row>
    <row r="2079" spans="1:20" s="3" customFormat="1" ht="26.4">
      <c r="A2079" s="16" t="s">
        <v>55</v>
      </c>
      <c r="B2079" s="14">
        <v>793</v>
      </c>
      <c r="C2079" s="15" t="s">
        <v>18</v>
      </c>
      <c r="D2079" s="15" t="s">
        <v>53</v>
      </c>
      <c r="E2079" s="15" t="s">
        <v>1055</v>
      </c>
      <c r="F2079" s="15" t="s">
        <v>58</v>
      </c>
      <c r="G2079" s="70">
        <f>прил4!G1527</f>
        <v>1857393.83</v>
      </c>
      <c r="H2079" s="70">
        <f>прил4!H1527</f>
        <v>1680907.1</v>
      </c>
      <c r="I2079" s="70">
        <f>прил4!I1527</f>
        <v>1746313.66</v>
      </c>
      <c r="J2079" s="111"/>
      <c r="P2079" s="111"/>
      <c r="Q2079" s="111"/>
      <c r="R2079" s="111"/>
      <c r="S2079" s="111"/>
      <c r="T2079" s="111"/>
    </row>
    <row r="2080" spans="1:20" s="3" customFormat="1">
      <c r="A2080" s="16" t="s">
        <v>316</v>
      </c>
      <c r="B2080" s="14">
        <v>793</v>
      </c>
      <c r="C2080" s="15" t="s">
        <v>18</v>
      </c>
      <c r="D2080" s="15" t="s">
        <v>53</v>
      </c>
      <c r="E2080" s="15" t="s">
        <v>1055</v>
      </c>
      <c r="F2080" s="15" t="s">
        <v>36</v>
      </c>
      <c r="G2080" s="70">
        <f>G2081</f>
        <v>59268.03</v>
      </c>
      <c r="H2080" s="70">
        <f>H2081</f>
        <v>140000</v>
      </c>
      <c r="I2080" s="70">
        <f>I2081</f>
        <v>140000</v>
      </c>
      <c r="J2080" s="111"/>
      <c r="P2080" s="111"/>
      <c r="Q2080" s="111"/>
      <c r="R2080" s="111"/>
      <c r="S2080" s="111"/>
      <c r="T2080" s="111"/>
    </row>
    <row r="2081" spans="1:20" s="3" customFormat="1" ht="26.4">
      <c r="A2081" s="16" t="s">
        <v>37</v>
      </c>
      <c r="B2081" s="14">
        <v>793</v>
      </c>
      <c r="C2081" s="15" t="s">
        <v>18</v>
      </c>
      <c r="D2081" s="15" t="s">
        <v>53</v>
      </c>
      <c r="E2081" s="15" t="s">
        <v>1055</v>
      </c>
      <c r="F2081" s="15" t="s">
        <v>38</v>
      </c>
      <c r="G2081" s="70">
        <f>прил4!G1531</f>
        <v>59268.03</v>
      </c>
      <c r="H2081" s="70">
        <f>прил4!H1531</f>
        <v>140000</v>
      </c>
      <c r="I2081" s="70">
        <f>прил4!I1531</f>
        <v>140000</v>
      </c>
      <c r="J2081" s="111"/>
      <c r="P2081" s="111"/>
      <c r="Q2081" s="111"/>
      <c r="R2081" s="111"/>
      <c r="S2081" s="111"/>
      <c r="T2081" s="111"/>
    </row>
    <row r="2082" spans="1:20" s="46" customFormat="1" ht="26.4" hidden="1">
      <c r="A2082" s="16" t="s">
        <v>1061</v>
      </c>
      <c r="B2082" s="14">
        <v>793</v>
      </c>
      <c r="C2082" s="15" t="s">
        <v>18</v>
      </c>
      <c r="D2082" s="15" t="s">
        <v>53</v>
      </c>
      <c r="E2082" s="15" t="s">
        <v>1060</v>
      </c>
      <c r="F2082" s="15"/>
      <c r="G2082" s="70">
        <f>G2084</f>
        <v>726180.44</v>
      </c>
      <c r="H2082" s="70">
        <f t="shared" ref="H2082:I2082" si="613">H2084</f>
        <v>1015453.55</v>
      </c>
      <c r="I2082" s="70">
        <f t="shared" si="613"/>
        <v>1048156.83</v>
      </c>
      <c r="J2082" s="172"/>
      <c r="K2082" s="58"/>
      <c r="L2082" s="58"/>
      <c r="M2082" s="58"/>
      <c r="N2082" s="58"/>
      <c r="O2082" s="58"/>
      <c r="P2082" s="58"/>
      <c r="Q2082" s="58"/>
      <c r="R2082" s="58"/>
    </row>
    <row r="2083" spans="1:20" s="3" customFormat="1" hidden="1">
      <c r="A2083" s="16"/>
      <c r="B2083" s="14"/>
      <c r="C2083" s="15"/>
      <c r="D2083" s="15"/>
      <c r="E2083" s="15" t="s">
        <v>1060</v>
      </c>
      <c r="F2083" s="15"/>
      <c r="G2083" s="70"/>
      <c r="H2083" s="70"/>
      <c r="I2083" s="70"/>
      <c r="J2083" s="172"/>
      <c r="K2083" s="62"/>
      <c r="L2083" s="62"/>
      <c r="M2083" s="62"/>
      <c r="N2083" s="62"/>
      <c r="O2083" s="62"/>
      <c r="P2083" s="62"/>
      <c r="Q2083" s="62"/>
      <c r="R2083" s="62"/>
    </row>
    <row r="2084" spans="1:20" s="3" customFormat="1" ht="53.25" customHeight="1">
      <c r="A2084" s="327" t="s">
        <v>1169</v>
      </c>
      <c r="B2084" s="14">
        <v>793</v>
      </c>
      <c r="C2084" s="15" t="s">
        <v>18</v>
      </c>
      <c r="D2084" s="15" t="s">
        <v>53</v>
      </c>
      <c r="E2084" s="15" t="s">
        <v>1060</v>
      </c>
      <c r="F2084" s="15"/>
      <c r="G2084" s="70">
        <f>G2085+G2087</f>
        <v>726180.44</v>
      </c>
      <c r="H2084" s="70">
        <f>H2085+H2087</f>
        <v>1015453.55</v>
      </c>
      <c r="I2084" s="70">
        <f>I2085+I2087</f>
        <v>1048156.83</v>
      </c>
      <c r="J2084" s="172"/>
      <c r="K2084" s="62"/>
      <c r="L2084" s="62"/>
      <c r="M2084" s="62"/>
      <c r="N2084" s="62"/>
      <c r="O2084" s="62"/>
      <c r="P2084" s="63">
        <f>G2084+G2071+G2077</f>
        <v>8375735.4200000009</v>
      </c>
      <c r="Q2084" s="62">
        <v>8302302.54</v>
      </c>
      <c r="R2084" s="63">
        <f>P2084-Q2084</f>
        <v>73432.88000000082</v>
      </c>
    </row>
    <row r="2085" spans="1:20" s="3" customFormat="1" ht="52.8">
      <c r="A2085" s="16" t="s">
        <v>312</v>
      </c>
      <c r="B2085" s="14">
        <v>793</v>
      </c>
      <c r="C2085" s="15" t="s">
        <v>18</v>
      </c>
      <c r="D2085" s="15" t="s">
        <v>53</v>
      </c>
      <c r="E2085" s="15" t="s">
        <v>1060</v>
      </c>
      <c r="F2085" s="15" t="s">
        <v>57</v>
      </c>
      <c r="G2085" s="70">
        <f>G2086</f>
        <v>702550.67999999993</v>
      </c>
      <c r="H2085" s="70">
        <f>H2086</f>
        <v>840452.25</v>
      </c>
      <c r="I2085" s="70">
        <f>I2086</f>
        <v>873155.59</v>
      </c>
      <c r="J2085" s="172"/>
      <c r="K2085" s="62"/>
      <c r="L2085" s="62"/>
      <c r="M2085" s="62"/>
      <c r="N2085" s="62"/>
      <c r="O2085" s="62"/>
      <c r="P2085" s="62"/>
      <c r="Q2085" s="62"/>
      <c r="R2085" s="62"/>
    </row>
    <row r="2086" spans="1:20" s="3" customFormat="1" ht="26.4">
      <c r="A2086" s="16" t="s">
        <v>55</v>
      </c>
      <c r="B2086" s="14">
        <v>793</v>
      </c>
      <c r="C2086" s="15" t="s">
        <v>18</v>
      </c>
      <c r="D2086" s="15" t="s">
        <v>53</v>
      </c>
      <c r="E2086" s="15" t="s">
        <v>1060</v>
      </c>
      <c r="F2086" s="15" t="s">
        <v>58</v>
      </c>
      <c r="G2086" s="70">
        <f>прил4!G1542</f>
        <v>702550.67999999993</v>
      </c>
      <c r="H2086" s="70">
        <f>прил4!H1542</f>
        <v>840452.25</v>
      </c>
      <c r="I2086" s="70">
        <f>прил4!I1542</f>
        <v>873155.59</v>
      </c>
      <c r="J2086" s="172"/>
      <c r="K2086" s="62"/>
      <c r="L2086" s="62"/>
      <c r="M2086" s="63"/>
      <c r="N2086" s="62"/>
      <c r="O2086" s="62"/>
      <c r="P2086" s="62"/>
      <c r="Q2086" s="62"/>
      <c r="R2086" s="62"/>
    </row>
    <row r="2087" spans="1:20" s="3" customFormat="1" ht="21.75" customHeight="1">
      <c r="A2087" s="16" t="s">
        <v>316</v>
      </c>
      <c r="B2087" s="14">
        <v>793</v>
      </c>
      <c r="C2087" s="15" t="s">
        <v>18</v>
      </c>
      <c r="D2087" s="15" t="s">
        <v>53</v>
      </c>
      <c r="E2087" s="15" t="s">
        <v>1060</v>
      </c>
      <c r="F2087" s="15" t="s">
        <v>36</v>
      </c>
      <c r="G2087" s="70">
        <f>G2088</f>
        <v>23629.760000000009</v>
      </c>
      <c r="H2087" s="70">
        <f>H2088</f>
        <v>175001.3</v>
      </c>
      <c r="I2087" s="70">
        <f>I2088</f>
        <v>175001.24</v>
      </c>
      <c r="J2087" s="172"/>
      <c r="K2087" s="62"/>
      <c r="L2087" s="62"/>
      <c r="M2087" s="62"/>
      <c r="N2087" s="62"/>
      <c r="O2087" s="62"/>
      <c r="P2087" s="62"/>
      <c r="Q2087" s="62"/>
      <c r="R2087" s="62"/>
    </row>
    <row r="2088" spans="1:20" s="3" customFormat="1" ht="26.4">
      <c r="A2088" s="16" t="s">
        <v>37</v>
      </c>
      <c r="B2088" s="14">
        <v>793</v>
      </c>
      <c r="C2088" s="15" t="s">
        <v>18</v>
      </c>
      <c r="D2088" s="15" t="s">
        <v>53</v>
      </c>
      <c r="E2088" s="15" t="s">
        <v>1060</v>
      </c>
      <c r="F2088" s="15" t="s">
        <v>38</v>
      </c>
      <c r="G2088" s="70">
        <f>прил4!G1544</f>
        <v>23629.760000000009</v>
      </c>
      <c r="H2088" s="70">
        <f>прил4!H1544</f>
        <v>175001.3</v>
      </c>
      <c r="I2088" s="70">
        <f>прил4!I1544</f>
        <v>175001.24</v>
      </c>
      <c r="J2088" s="172"/>
      <c r="K2088" s="62"/>
      <c r="L2088" s="62"/>
      <c r="M2088" s="62"/>
      <c r="N2088" s="62"/>
      <c r="O2088" s="62"/>
      <c r="P2088" s="62"/>
      <c r="Q2088" s="62"/>
      <c r="R2088" s="62"/>
    </row>
    <row r="2089" spans="1:20" ht="25.5" customHeight="1">
      <c r="A2089" s="81" t="s">
        <v>322</v>
      </c>
      <c r="B2089" s="14">
        <v>793</v>
      </c>
      <c r="C2089" s="15" t="s">
        <v>18</v>
      </c>
      <c r="D2089" s="15" t="s">
        <v>53</v>
      </c>
      <c r="E2089" s="15" t="s">
        <v>241</v>
      </c>
      <c r="F2089" s="15"/>
      <c r="G2089" s="70">
        <f>G2090+G2092</f>
        <v>435301.86000000004</v>
      </c>
      <c r="H2089" s="70">
        <f>H2090+H2092</f>
        <v>455226.77</v>
      </c>
      <c r="I2089" s="70">
        <f>I2090+I2092</f>
        <v>471578.41</v>
      </c>
    </row>
    <row r="2090" spans="1:20" s="3" customFormat="1" ht="52.8">
      <c r="A2090" s="16" t="s">
        <v>312</v>
      </c>
      <c r="B2090" s="14">
        <v>793</v>
      </c>
      <c r="C2090" s="15" t="s">
        <v>18</v>
      </c>
      <c r="D2090" s="15" t="s">
        <v>53</v>
      </c>
      <c r="E2090" s="15" t="s">
        <v>241</v>
      </c>
      <c r="F2090" s="15" t="s">
        <v>57</v>
      </c>
      <c r="G2090" s="70">
        <f>G2091</f>
        <v>404284.09</v>
      </c>
      <c r="H2090" s="70">
        <f>H2091</f>
        <v>433999</v>
      </c>
      <c r="I2090" s="70">
        <f>I2091</f>
        <v>436578.8</v>
      </c>
      <c r="J2090" s="111"/>
      <c r="P2090" s="111"/>
      <c r="Q2090" s="111"/>
      <c r="R2090" s="111"/>
      <c r="S2090" s="111"/>
      <c r="T2090" s="111"/>
    </row>
    <row r="2091" spans="1:20" s="3" customFormat="1" ht="26.4">
      <c r="A2091" s="16" t="s">
        <v>55</v>
      </c>
      <c r="B2091" s="14">
        <v>793</v>
      </c>
      <c r="C2091" s="15" t="s">
        <v>18</v>
      </c>
      <c r="D2091" s="15" t="s">
        <v>53</v>
      </c>
      <c r="E2091" s="15" t="s">
        <v>241</v>
      </c>
      <c r="F2091" s="15" t="s">
        <v>58</v>
      </c>
      <c r="G2091" s="70">
        <f>прил4!G1547</f>
        <v>404284.09</v>
      </c>
      <c r="H2091" s="70">
        <f>прил4!H1547</f>
        <v>433999</v>
      </c>
      <c r="I2091" s="70">
        <f>прил4!I1547</f>
        <v>436578.8</v>
      </c>
      <c r="J2091" s="111"/>
      <c r="P2091" s="111"/>
      <c r="Q2091" s="111"/>
      <c r="R2091" s="111"/>
      <c r="S2091" s="111"/>
      <c r="T2091" s="111"/>
    </row>
    <row r="2092" spans="1:20" ht="25.5" customHeight="1">
      <c r="A2092" s="16" t="s">
        <v>316</v>
      </c>
      <c r="B2092" s="14">
        <v>793</v>
      </c>
      <c r="C2092" s="15" t="s">
        <v>18</v>
      </c>
      <c r="D2092" s="15" t="s">
        <v>53</v>
      </c>
      <c r="E2092" s="15" t="s">
        <v>241</v>
      </c>
      <c r="F2092" s="15" t="s">
        <v>36</v>
      </c>
      <c r="G2092" s="70">
        <f>G2093</f>
        <v>31017.77</v>
      </c>
      <c r="H2092" s="70">
        <f>H2093</f>
        <v>21227.769999999997</v>
      </c>
      <c r="I2092" s="70">
        <f>I2093</f>
        <v>34999.61</v>
      </c>
    </row>
    <row r="2093" spans="1:20" ht="25.5" customHeight="1">
      <c r="A2093" s="16" t="s">
        <v>37</v>
      </c>
      <c r="B2093" s="14">
        <v>793</v>
      </c>
      <c r="C2093" s="15" t="s">
        <v>18</v>
      </c>
      <c r="D2093" s="15" t="s">
        <v>53</v>
      </c>
      <c r="E2093" s="15" t="s">
        <v>241</v>
      </c>
      <c r="F2093" s="15" t="s">
        <v>38</v>
      </c>
      <c r="G2093" s="70">
        <f>прил4!G1549</f>
        <v>31017.77</v>
      </c>
      <c r="H2093" s="70">
        <f>прил4!H1549</f>
        <v>21227.769999999997</v>
      </c>
      <c r="I2093" s="70">
        <f>прил4!I1549</f>
        <v>34999.61</v>
      </c>
    </row>
    <row r="2094" spans="1:20" s="46" customFormat="1" ht="52.8">
      <c r="A2094" s="104" t="s">
        <v>323</v>
      </c>
      <c r="B2094" s="14">
        <v>793</v>
      </c>
      <c r="C2094" s="15" t="s">
        <v>18</v>
      </c>
      <c r="D2094" s="15" t="s">
        <v>53</v>
      </c>
      <c r="E2094" s="15" t="s">
        <v>373</v>
      </c>
      <c r="F2094" s="15"/>
      <c r="G2094" s="70">
        <f t="shared" ref="G2094:I2095" si="614">G2095</f>
        <v>14000</v>
      </c>
      <c r="H2094" s="70">
        <f t="shared" si="614"/>
        <v>14000</v>
      </c>
      <c r="I2094" s="70">
        <f t="shared" si="614"/>
        <v>14000</v>
      </c>
      <c r="J2094" s="110"/>
      <c r="P2094" s="110"/>
      <c r="Q2094" s="110"/>
      <c r="R2094" s="110"/>
      <c r="S2094" s="110"/>
      <c r="T2094" s="110"/>
    </row>
    <row r="2095" spans="1:20" s="46" customFormat="1">
      <c r="A2095" s="16" t="s">
        <v>316</v>
      </c>
      <c r="B2095" s="14">
        <v>793</v>
      </c>
      <c r="C2095" s="15" t="s">
        <v>18</v>
      </c>
      <c r="D2095" s="15" t="s">
        <v>53</v>
      </c>
      <c r="E2095" s="15" t="s">
        <v>373</v>
      </c>
      <c r="F2095" s="15" t="s">
        <v>36</v>
      </c>
      <c r="G2095" s="87">
        <f t="shared" si="614"/>
        <v>14000</v>
      </c>
      <c r="H2095" s="87">
        <f t="shared" si="614"/>
        <v>14000</v>
      </c>
      <c r="I2095" s="87">
        <f t="shared" si="614"/>
        <v>14000</v>
      </c>
      <c r="J2095" s="110"/>
      <c r="P2095" s="110"/>
      <c r="Q2095" s="110"/>
      <c r="R2095" s="110"/>
      <c r="S2095" s="110"/>
      <c r="T2095" s="110"/>
    </row>
    <row r="2096" spans="1:20" s="46" customFormat="1" ht="26.4">
      <c r="A2096" s="16" t="s">
        <v>37</v>
      </c>
      <c r="B2096" s="14">
        <v>793</v>
      </c>
      <c r="C2096" s="15" t="s">
        <v>18</v>
      </c>
      <c r="D2096" s="15" t="s">
        <v>53</v>
      </c>
      <c r="E2096" s="15" t="s">
        <v>373</v>
      </c>
      <c r="F2096" s="15" t="s">
        <v>38</v>
      </c>
      <c r="G2096" s="87">
        <f>прил4!G1552</f>
        <v>14000</v>
      </c>
      <c r="H2096" s="87">
        <f>прил4!H1552</f>
        <v>14000</v>
      </c>
      <c r="I2096" s="87">
        <f>прил4!I1552</f>
        <v>14000</v>
      </c>
      <c r="J2096" s="110"/>
      <c r="P2096" s="110"/>
      <c r="Q2096" s="110"/>
      <c r="R2096" s="110"/>
      <c r="S2096" s="110"/>
      <c r="T2096" s="110"/>
    </row>
    <row r="2097" spans="1:20" s="46" customFormat="1" ht="66.75" hidden="1" customHeight="1">
      <c r="A2097" s="326" t="s">
        <v>1118</v>
      </c>
      <c r="B2097" s="14">
        <v>793</v>
      </c>
      <c r="C2097" s="15" t="s">
        <v>18</v>
      </c>
      <c r="D2097" s="15" t="s">
        <v>53</v>
      </c>
      <c r="E2097" s="15" t="s">
        <v>1117</v>
      </c>
      <c r="F2097" s="15"/>
      <c r="G2097" s="70">
        <f t="shared" ref="G2097:I2097" si="615">G2098</f>
        <v>0</v>
      </c>
      <c r="H2097" s="70">
        <f t="shared" si="615"/>
        <v>0</v>
      </c>
      <c r="I2097" s="70">
        <f t="shared" si="615"/>
        <v>0</v>
      </c>
      <c r="J2097" s="172"/>
      <c r="K2097" s="58"/>
      <c r="L2097" s="58"/>
      <c r="M2097" s="58"/>
      <c r="N2097" s="58"/>
      <c r="O2097" s="58"/>
      <c r="P2097" s="58"/>
      <c r="Q2097" s="58"/>
      <c r="R2097" s="58"/>
    </row>
    <row r="2098" spans="1:20" s="46" customFormat="1" hidden="1">
      <c r="A2098" s="16" t="s">
        <v>144</v>
      </c>
      <c r="B2098" s="14">
        <v>793</v>
      </c>
      <c r="C2098" s="15" t="s">
        <v>18</v>
      </c>
      <c r="D2098" s="15" t="s">
        <v>53</v>
      </c>
      <c r="E2098" s="15" t="s">
        <v>1117</v>
      </c>
      <c r="F2098" s="15" t="s">
        <v>145</v>
      </c>
      <c r="G2098" s="70">
        <f>G2099</f>
        <v>0</v>
      </c>
      <c r="H2098" s="70">
        <f>H2099</f>
        <v>0</v>
      </c>
      <c r="I2098" s="70">
        <f>I2099</f>
        <v>0</v>
      </c>
      <c r="J2098" s="172"/>
      <c r="K2098" s="58"/>
      <c r="L2098" s="58"/>
      <c r="M2098" s="58"/>
      <c r="N2098" s="58"/>
      <c r="O2098" s="58"/>
      <c r="P2098" s="58"/>
      <c r="Q2098" s="58"/>
      <c r="R2098" s="58"/>
    </row>
    <row r="2099" spans="1:20" s="46" customFormat="1" ht="26.4" hidden="1">
      <c r="A2099" s="16" t="s">
        <v>146</v>
      </c>
      <c r="B2099" s="14">
        <v>793</v>
      </c>
      <c r="C2099" s="15" t="s">
        <v>18</v>
      </c>
      <c r="D2099" s="15" t="s">
        <v>53</v>
      </c>
      <c r="E2099" s="15" t="s">
        <v>1117</v>
      </c>
      <c r="F2099" s="15" t="s">
        <v>147</v>
      </c>
      <c r="G2099" s="70">
        <f>прил4!G1596</f>
        <v>0</v>
      </c>
      <c r="H2099" s="70">
        <v>0</v>
      </c>
      <c r="I2099" s="70">
        <v>0</v>
      </c>
      <c r="J2099" s="172"/>
      <c r="K2099" s="58"/>
      <c r="L2099" s="58"/>
      <c r="M2099" s="58"/>
      <c r="N2099" s="58"/>
      <c r="O2099" s="58"/>
      <c r="P2099" s="58"/>
      <c r="Q2099" s="58"/>
      <c r="R2099" s="58"/>
    </row>
    <row r="2100" spans="1:20" s="46" customFormat="1" ht="66.75" customHeight="1">
      <c r="A2100" s="326" t="s">
        <v>1120</v>
      </c>
      <c r="B2100" s="14">
        <v>793</v>
      </c>
      <c r="C2100" s="15" t="s">
        <v>18</v>
      </c>
      <c r="D2100" s="15" t="s">
        <v>53</v>
      </c>
      <c r="E2100" s="15" t="s">
        <v>1119</v>
      </c>
      <c r="F2100" s="15"/>
      <c r="G2100" s="70">
        <f t="shared" ref="G2100:I2100" si="616">G2101</f>
        <v>2688796.5</v>
      </c>
      <c r="H2100" s="70">
        <f t="shared" si="616"/>
        <v>0</v>
      </c>
      <c r="I2100" s="70">
        <f t="shared" si="616"/>
        <v>0</v>
      </c>
      <c r="J2100" s="172"/>
      <c r="K2100" s="58"/>
      <c r="L2100" s="58"/>
      <c r="M2100" s="58"/>
      <c r="N2100" s="58"/>
      <c r="O2100" s="58"/>
      <c r="P2100" s="58"/>
      <c r="Q2100" s="58"/>
      <c r="R2100" s="58"/>
    </row>
    <row r="2101" spans="1:20" s="46" customFormat="1">
      <c r="A2101" s="16" t="s">
        <v>144</v>
      </c>
      <c r="B2101" s="14">
        <v>793</v>
      </c>
      <c r="C2101" s="15" t="s">
        <v>18</v>
      </c>
      <c r="D2101" s="15" t="s">
        <v>53</v>
      </c>
      <c r="E2101" s="15" t="s">
        <v>1119</v>
      </c>
      <c r="F2101" s="15" t="s">
        <v>145</v>
      </c>
      <c r="G2101" s="70">
        <f>G2102</f>
        <v>2688796.5</v>
      </c>
      <c r="H2101" s="70">
        <f>H2102</f>
        <v>0</v>
      </c>
      <c r="I2101" s="70">
        <f>I2102</f>
        <v>0</v>
      </c>
      <c r="J2101" s="172"/>
      <c r="K2101" s="58"/>
      <c r="L2101" s="58"/>
      <c r="M2101" s="58"/>
      <c r="N2101" s="58"/>
      <c r="O2101" s="58"/>
      <c r="P2101" s="58"/>
      <c r="Q2101" s="58"/>
      <c r="R2101" s="58"/>
    </row>
    <row r="2102" spans="1:20" s="46" customFormat="1" ht="26.4">
      <c r="A2102" s="16" t="s">
        <v>146</v>
      </c>
      <c r="B2102" s="14">
        <v>793</v>
      </c>
      <c r="C2102" s="15" t="s">
        <v>18</v>
      </c>
      <c r="D2102" s="15" t="s">
        <v>53</v>
      </c>
      <c r="E2102" s="15" t="s">
        <v>1119</v>
      </c>
      <c r="F2102" s="15" t="s">
        <v>147</v>
      </c>
      <c r="G2102" s="70">
        <f>прил4!G1599</f>
        <v>2688796.5</v>
      </c>
      <c r="H2102" s="70">
        <f>прил4!H1599</f>
        <v>0</v>
      </c>
      <c r="I2102" s="70">
        <f>прил4!I1599</f>
        <v>0</v>
      </c>
      <c r="J2102" s="172"/>
      <c r="K2102" s="58"/>
      <c r="L2102" s="58"/>
      <c r="M2102" s="58"/>
      <c r="N2102" s="58"/>
      <c r="O2102" s="58"/>
      <c r="P2102" s="58"/>
      <c r="Q2102" s="58"/>
      <c r="R2102" s="58"/>
    </row>
    <row r="2103" spans="1:20" s="46" customFormat="1" ht="102" hidden="1" customHeight="1">
      <c r="A2103" s="16" t="s">
        <v>895</v>
      </c>
      <c r="B2103" s="14">
        <v>793</v>
      </c>
      <c r="C2103" s="15" t="s">
        <v>18</v>
      </c>
      <c r="D2103" s="15" t="s">
        <v>53</v>
      </c>
      <c r="E2103" s="15" t="s">
        <v>894</v>
      </c>
      <c r="F2103" s="15"/>
      <c r="G2103" s="70">
        <f t="shared" ref="G2103:I2104" si="617">G2104</f>
        <v>0</v>
      </c>
      <c r="H2103" s="70">
        <f t="shared" si="617"/>
        <v>0</v>
      </c>
      <c r="I2103" s="70">
        <f t="shared" si="617"/>
        <v>0</v>
      </c>
      <c r="J2103" s="173"/>
      <c r="K2103" s="215"/>
      <c r="L2103" s="215"/>
      <c r="M2103" s="215"/>
      <c r="N2103" s="215"/>
      <c r="O2103" s="215"/>
      <c r="P2103" s="215"/>
      <c r="Q2103" s="215"/>
      <c r="R2103" s="215"/>
    </row>
    <row r="2104" spans="1:20" s="46" customFormat="1" ht="27" hidden="1" customHeight="1">
      <c r="A2104" s="16" t="s">
        <v>316</v>
      </c>
      <c r="B2104" s="14">
        <v>793</v>
      </c>
      <c r="C2104" s="15" t="s">
        <v>18</v>
      </c>
      <c r="D2104" s="15" t="s">
        <v>53</v>
      </c>
      <c r="E2104" s="15" t="s">
        <v>894</v>
      </c>
      <c r="F2104" s="15" t="s">
        <v>36</v>
      </c>
      <c r="G2104" s="70">
        <f t="shared" si="617"/>
        <v>0</v>
      </c>
      <c r="H2104" s="70">
        <f t="shared" si="617"/>
        <v>0</v>
      </c>
      <c r="I2104" s="70">
        <f t="shared" si="617"/>
        <v>0</v>
      </c>
      <c r="J2104" s="173"/>
      <c r="K2104" s="215"/>
      <c r="L2104" s="215"/>
      <c r="M2104" s="215"/>
      <c r="N2104" s="215"/>
      <c r="O2104" s="215"/>
      <c r="P2104" s="215"/>
      <c r="Q2104" s="215"/>
      <c r="R2104" s="215"/>
    </row>
    <row r="2105" spans="1:20" s="46" customFormat="1" ht="26.4" hidden="1">
      <c r="A2105" s="16" t="s">
        <v>37</v>
      </c>
      <c r="B2105" s="14">
        <v>793</v>
      </c>
      <c r="C2105" s="15" t="s">
        <v>18</v>
      </c>
      <c r="D2105" s="15" t="s">
        <v>53</v>
      </c>
      <c r="E2105" s="15" t="s">
        <v>894</v>
      </c>
      <c r="F2105" s="15" t="s">
        <v>38</v>
      </c>
      <c r="G2105" s="70">
        <f>прил4!G1561</f>
        <v>0</v>
      </c>
      <c r="H2105" s="70">
        <v>0</v>
      </c>
      <c r="I2105" s="70">
        <v>0</v>
      </c>
      <c r="J2105" s="173"/>
      <c r="K2105" s="215"/>
      <c r="L2105" s="215"/>
      <c r="M2105" s="215"/>
      <c r="N2105" s="215"/>
      <c r="O2105" s="215"/>
      <c r="P2105" s="215"/>
      <c r="Q2105" s="215"/>
      <c r="R2105" s="215"/>
    </row>
    <row r="2106" spans="1:20" s="22" customFormat="1">
      <c r="A2106" s="34" t="s">
        <v>352</v>
      </c>
      <c r="B2106" s="35">
        <v>794</v>
      </c>
      <c r="C2106" s="36" t="s">
        <v>18</v>
      </c>
      <c r="D2106" s="36" t="s">
        <v>69</v>
      </c>
      <c r="E2106" s="36" t="s">
        <v>258</v>
      </c>
      <c r="F2106" s="36"/>
      <c r="G2106" s="71">
        <f>G2107+G2111+G2115</f>
        <v>4569876.1099999994</v>
      </c>
      <c r="H2106" s="71">
        <f>H2107+H2111+H2115+H2125</f>
        <v>4744411</v>
      </c>
      <c r="I2106" s="71">
        <f>I2107+I2111+I2115+I2125</f>
        <v>4744411</v>
      </c>
      <c r="J2106" s="21">
        <v>1141737</v>
      </c>
      <c r="P2106" s="21"/>
      <c r="Q2106" s="21"/>
      <c r="R2106" s="21"/>
      <c r="S2106" s="21"/>
      <c r="T2106" s="21"/>
    </row>
    <row r="2107" spans="1:20" s="33" customFormat="1" ht="26.4">
      <c r="A2107" s="82" t="s">
        <v>1188</v>
      </c>
      <c r="B2107" s="14">
        <v>794</v>
      </c>
      <c r="C2107" s="15" t="s">
        <v>18</v>
      </c>
      <c r="D2107" s="15" t="s">
        <v>69</v>
      </c>
      <c r="E2107" s="15" t="s">
        <v>259</v>
      </c>
      <c r="F2107" s="39"/>
      <c r="G2107" s="87">
        <f>G2108</f>
        <v>1583900</v>
      </c>
      <c r="H2107" s="87">
        <f t="shared" ref="H2107:I2109" si="618">H2108</f>
        <v>1583900</v>
      </c>
      <c r="I2107" s="87">
        <f t="shared" si="618"/>
        <v>1583900</v>
      </c>
      <c r="J2107" s="113">
        <v>541620</v>
      </c>
      <c r="P2107" s="113"/>
      <c r="Q2107" s="113"/>
      <c r="R2107" s="113"/>
      <c r="S2107" s="113"/>
      <c r="T2107" s="113"/>
    </row>
    <row r="2108" spans="1:20" s="33" customFormat="1" ht="26.4">
      <c r="A2108" s="16" t="s">
        <v>75</v>
      </c>
      <c r="B2108" s="14">
        <v>794</v>
      </c>
      <c r="C2108" s="15" t="s">
        <v>18</v>
      </c>
      <c r="D2108" s="15" t="s">
        <v>69</v>
      </c>
      <c r="E2108" s="15" t="s">
        <v>260</v>
      </c>
      <c r="F2108" s="15"/>
      <c r="G2108" s="87">
        <f>G2109</f>
        <v>1583900</v>
      </c>
      <c r="H2108" s="87">
        <f t="shared" si="618"/>
        <v>1583900</v>
      </c>
      <c r="I2108" s="87">
        <f t="shared" si="618"/>
        <v>1583900</v>
      </c>
      <c r="J2108" s="113">
        <v>797785</v>
      </c>
      <c r="P2108" s="113"/>
      <c r="Q2108" s="113"/>
      <c r="R2108" s="113"/>
      <c r="S2108" s="113"/>
      <c r="T2108" s="113"/>
    </row>
    <row r="2109" spans="1:20" s="33" customFormat="1" ht="52.8">
      <c r="A2109" s="56" t="s">
        <v>54</v>
      </c>
      <c r="B2109" s="14">
        <v>794</v>
      </c>
      <c r="C2109" s="15" t="s">
        <v>18</v>
      </c>
      <c r="D2109" s="15" t="s">
        <v>69</v>
      </c>
      <c r="E2109" s="15" t="s">
        <v>260</v>
      </c>
      <c r="F2109" s="15" t="s">
        <v>57</v>
      </c>
      <c r="G2109" s="87">
        <f>G2110</f>
        <v>1583900</v>
      </c>
      <c r="H2109" s="87">
        <f t="shared" si="618"/>
        <v>1583900</v>
      </c>
      <c r="I2109" s="87">
        <f t="shared" si="618"/>
        <v>1583900</v>
      </c>
      <c r="J2109" s="113">
        <v>630505</v>
      </c>
      <c r="P2109" s="113"/>
      <c r="Q2109" s="113"/>
      <c r="R2109" s="113"/>
      <c r="S2109" s="113"/>
      <c r="T2109" s="113"/>
    </row>
    <row r="2110" spans="1:20" ht="26.4">
      <c r="A2110" s="56" t="s">
        <v>55</v>
      </c>
      <c r="B2110" s="14">
        <v>794</v>
      </c>
      <c r="C2110" s="15" t="s">
        <v>18</v>
      </c>
      <c r="D2110" s="15" t="s">
        <v>69</v>
      </c>
      <c r="E2110" s="15" t="s">
        <v>260</v>
      </c>
      <c r="F2110" s="15" t="s">
        <v>58</v>
      </c>
      <c r="G2110" s="87">
        <f>прил4!G2869</f>
        <v>1583900</v>
      </c>
      <c r="H2110" s="87">
        <f>прил4!H2869</f>
        <v>1583900</v>
      </c>
      <c r="I2110" s="87">
        <f>прил4!I2869</f>
        <v>1583900</v>
      </c>
      <c r="J2110" s="113">
        <v>1885891</v>
      </c>
    </row>
    <row r="2111" spans="1:20" s="33" customFormat="1" ht="15.75" customHeight="1">
      <c r="A2111" s="82" t="s">
        <v>1189</v>
      </c>
      <c r="B2111" s="14">
        <v>794</v>
      </c>
      <c r="C2111" s="15" t="s">
        <v>18</v>
      </c>
      <c r="D2111" s="15" t="s">
        <v>69</v>
      </c>
      <c r="E2111" s="15" t="s">
        <v>261</v>
      </c>
      <c r="F2111" s="39"/>
      <c r="G2111" s="87">
        <f>G2112</f>
        <v>622054.59</v>
      </c>
      <c r="H2111" s="87">
        <f t="shared" ref="H2111:I2113" si="619">H2112</f>
        <v>722160</v>
      </c>
      <c r="I2111" s="87">
        <f t="shared" si="619"/>
        <v>722160</v>
      </c>
      <c r="J2111" s="113">
        <v>61300</v>
      </c>
      <c r="P2111" s="113"/>
      <c r="Q2111" s="113"/>
      <c r="R2111" s="113"/>
      <c r="S2111" s="113"/>
      <c r="T2111" s="113"/>
    </row>
    <row r="2112" spans="1:20" s="33" customFormat="1" ht="26.4">
      <c r="A2112" s="16" t="s">
        <v>75</v>
      </c>
      <c r="B2112" s="14">
        <v>794</v>
      </c>
      <c r="C2112" s="15" t="s">
        <v>18</v>
      </c>
      <c r="D2112" s="15" t="s">
        <v>69</v>
      </c>
      <c r="E2112" s="15" t="s">
        <v>262</v>
      </c>
      <c r="F2112" s="15"/>
      <c r="G2112" s="87">
        <f>G2113</f>
        <v>622054.59</v>
      </c>
      <c r="H2112" s="87">
        <f t="shared" si="619"/>
        <v>722160</v>
      </c>
      <c r="I2112" s="87">
        <f t="shared" si="619"/>
        <v>722160</v>
      </c>
      <c r="J2112" s="113">
        <f>SUM(J2106:J2111)</f>
        <v>5058838</v>
      </c>
      <c r="P2112" s="113"/>
      <c r="Q2112" s="113"/>
      <c r="R2112" s="113"/>
      <c r="S2112" s="113"/>
      <c r="T2112" s="113"/>
    </row>
    <row r="2113" spans="1:20" s="33" customFormat="1" ht="52.8">
      <c r="A2113" s="56" t="s">
        <v>54</v>
      </c>
      <c r="B2113" s="14">
        <v>794</v>
      </c>
      <c r="C2113" s="15" t="s">
        <v>18</v>
      </c>
      <c r="D2113" s="15" t="s">
        <v>69</v>
      </c>
      <c r="E2113" s="15" t="s">
        <v>262</v>
      </c>
      <c r="F2113" s="15" t="s">
        <v>57</v>
      </c>
      <c r="G2113" s="87">
        <f>G2114</f>
        <v>622054.59</v>
      </c>
      <c r="H2113" s="87">
        <f t="shared" si="619"/>
        <v>722160</v>
      </c>
      <c r="I2113" s="87">
        <f t="shared" si="619"/>
        <v>722160</v>
      </c>
      <c r="J2113" s="113"/>
      <c r="P2113" s="113"/>
      <c r="Q2113" s="113"/>
      <c r="R2113" s="113"/>
      <c r="S2113" s="113"/>
      <c r="T2113" s="113"/>
    </row>
    <row r="2114" spans="1:20" s="33" customFormat="1" ht="26.4">
      <c r="A2114" s="56" t="s">
        <v>55</v>
      </c>
      <c r="B2114" s="14">
        <v>794</v>
      </c>
      <c r="C2114" s="15" t="s">
        <v>18</v>
      </c>
      <c r="D2114" s="15" t="s">
        <v>69</v>
      </c>
      <c r="E2114" s="15" t="s">
        <v>262</v>
      </c>
      <c r="F2114" s="15" t="s">
        <v>58</v>
      </c>
      <c r="G2114" s="87">
        <f>прил4!G2873</f>
        <v>622054.59</v>
      </c>
      <c r="H2114" s="87">
        <f>прил4!H2871</f>
        <v>722160</v>
      </c>
      <c r="I2114" s="87">
        <f>прил4!I2871</f>
        <v>722160</v>
      </c>
      <c r="J2114" s="113"/>
      <c r="P2114" s="113"/>
      <c r="Q2114" s="113"/>
      <c r="R2114" s="113"/>
      <c r="S2114" s="113"/>
      <c r="T2114" s="113"/>
    </row>
    <row r="2115" spans="1:20">
      <c r="A2115" s="56" t="s">
        <v>353</v>
      </c>
      <c r="B2115" s="14">
        <v>794</v>
      </c>
      <c r="C2115" s="15" t="s">
        <v>18</v>
      </c>
      <c r="D2115" s="15" t="s">
        <v>69</v>
      </c>
      <c r="E2115" s="15" t="s">
        <v>263</v>
      </c>
      <c r="F2115" s="15"/>
      <c r="G2115" s="87">
        <f>G2116+G2121</f>
        <v>2363921.52</v>
      </c>
      <c r="H2115" s="87">
        <f>H2116</f>
        <v>2438351</v>
      </c>
      <c r="I2115" s="87">
        <f>I2116</f>
        <v>2438351</v>
      </c>
    </row>
    <row r="2116" spans="1:20" s="33" customFormat="1" ht="26.4">
      <c r="A2116" s="16" t="s">
        <v>75</v>
      </c>
      <c r="B2116" s="14">
        <v>794</v>
      </c>
      <c r="C2116" s="15" t="s">
        <v>18</v>
      </c>
      <c r="D2116" s="15" t="s">
        <v>69</v>
      </c>
      <c r="E2116" s="15" t="s">
        <v>264</v>
      </c>
      <c r="F2116" s="39"/>
      <c r="G2116" s="87">
        <f>G2117+G2119</f>
        <v>2345150.71</v>
      </c>
      <c r="H2116" s="87">
        <f>H2117+H2119</f>
        <v>2438351</v>
      </c>
      <c r="I2116" s="87">
        <f>I2117+I2119</f>
        <v>2438351</v>
      </c>
      <c r="J2116" s="113"/>
      <c r="P2116" s="113"/>
      <c r="Q2116" s="113"/>
      <c r="R2116" s="113"/>
      <c r="S2116" s="113"/>
      <c r="T2116" s="113"/>
    </row>
    <row r="2117" spans="1:20" ht="52.8">
      <c r="A2117" s="56" t="s">
        <v>54</v>
      </c>
      <c r="B2117" s="14">
        <v>794</v>
      </c>
      <c r="C2117" s="15" t="s">
        <v>18</v>
      </c>
      <c r="D2117" s="15" t="s">
        <v>69</v>
      </c>
      <c r="E2117" s="15" t="s">
        <v>264</v>
      </c>
      <c r="F2117" s="15" t="s">
        <v>57</v>
      </c>
      <c r="G2117" s="87">
        <f>G2118</f>
        <v>1879192.71</v>
      </c>
      <c r="H2117" s="87">
        <f>H2118</f>
        <v>1943351</v>
      </c>
      <c r="I2117" s="87">
        <f>I2118</f>
        <v>1943351</v>
      </c>
    </row>
    <row r="2118" spans="1:20" ht="26.4">
      <c r="A2118" s="56" t="s">
        <v>55</v>
      </c>
      <c r="B2118" s="14">
        <v>794</v>
      </c>
      <c r="C2118" s="15" t="s">
        <v>18</v>
      </c>
      <c r="D2118" s="15" t="s">
        <v>69</v>
      </c>
      <c r="E2118" s="15" t="s">
        <v>264</v>
      </c>
      <c r="F2118" s="15" t="s">
        <v>58</v>
      </c>
      <c r="G2118" s="87">
        <f>прил4!G2877</f>
        <v>1879192.71</v>
      </c>
      <c r="H2118" s="87">
        <f>прил4!H2877</f>
        <v>1943351</v>
      </c>
      <c r="I2118" s="87">
        <f>прил4!I2877</f>
        <v>1943351</v>
      </c>
    </row>
    <row r="2119" spans="1:20" ht="26.4">
      <c r="A2119" s="16" t="s">
        <v>35</v>
      </c>
      <c r="B2119" s="14">
        <v>794</v>
      </c>
      <c r="C2119" s="15" t="s">
        <v>18</v>
      </c>
      <c r="D2119" s="15" t="s">
        <v>69</v>
      </c>
      <c r="E2119" s="15" t="s">
        <v>264</v>
      </c>
      <c r="F2119" s="15" t="s">
        <v>36</v>
      </c>
      <c r="G2119" s="87">
        <f>G2120</f>
        <v>465958</v>
      </c>
      <c r="H2119" s="87">
        <f>H2120</f>
        <v>495000</v>
      </c>
      <c r="I2119" s="87">
        <f>I2120</f>
        <v>495000</v>
      </c>
    </row>
    <row r="2120" spans="1:20" ht="26.4">
      <c r="A2120" s="16" t="s">
        <v>37</v>
      </c>
      <c r="B2120" s="14">
        <v>794</v>
      </c>
      <c r="C2120" s="15" t="s">
        <v>18</v>
      </c>
      <c r="D2120" s="15" t="s">
        <v>69</v>
      </c>
      <c r="E2120" s="15" t="s">
        <v>264</v>
      </c>
      <c r="F2120" s="15" t="s">
        <v>38</v>
      </c>
      <c r="G2120" s="87">
        <f>прил4!G2879</f>
        <v>465958</v>
      </c>
      <c r="H2120" s="87">
        <f>прил4!H2879</f>
        <v>495000</v>
      </c>
      <c r="I2120" s="87">
        <f>прил4!I2879</f>
        <v>495000</v>
      </c>
    </row>
    <row r="2121" spans="1:20" ht="84.75" customHeight="1">
      <c r="A2121" s="82" t="s">
        <v>1435</v>
      </c>
      <c r="B2121" s="145">
        <v>794</v>
      </c>
      <c r="C2121" s="84" t="s">
        <v>18</v>
      </c>
      <c r="D2121" s="84" t="s">
        <v>69</v>
      </c>
      <c r="E2121" s="84" t="s">
        <v>1532</v>
      </c>
      <c r="F2121" s="84"/>
      <c r="G2121" s="87">
        <f>G2122</f>
        <v>18770.810000000001</v>
      </c>
      <c r="H2121" s="87">
        <f t="shared" ref="H2121:I2121" si="620">H2122</f>
        <v>0</v>
      </c>
      <c r="I2121" s="87">
        <f t="shared" si="620"/>
        <v>0</v>
      </c>
      <c r="J2121" s="173"/>
      <c r="K2121" s="181"/>
      <c r="L2121" s="181"/>
      <c r="M2121" s="181"/>
      <c r="N2121" s="181"/>
      <c r="O2121" s="181"/>
      <c r="P2121" s="181"/>
      <c r="Q2121" s="181"/>
      <c r="R2121" s="181"/>
      <c r="S2121" s="1"/>
      <c r="T2121" s="1"/>
    </row>
    <row r="2122" spans="1:20" ht="29.25" customHeight="1">
      <c r="A2122" s="82" t="s">
        <v>54</v>
      </c>
      <c r="B2122" s="145">
        <v>794</v>
      </c>
      <c r="C2122" s="84" t="s">
        <v>18</v>
      </c>
      <c r="D2122" s="84" t="s">
        <v>69</v>
      </c>
      <c r="E2122" s="84" t="s">
        <v>1532</v>
      </c>
      <c r="F2122" s="84" t="s">
        <v>57</v>
      </c>
      <c r="G2122" s="87">
        <f>G2123</f>
        <v>18770.810000000001</v>
      </c>
      <c r="H2122" s="87">
        <f>H2123</f>
        <v>0</v>
      </c>
      <c r="I2122" s="87">
        <f>I2123</f>
        <v>0</v>
      </c>
      <c r="J2122" s="173"/>
      <c r="K2122" s="181"/>
      <c r="L2122" s="181"/>
      <c r="M2122" s="181"/>
      <c r="N2122" s="181"/>
      <c r="O2122" s="181"/>
      <c r="P2122" s="181"/>
      <c r="Q2122" s="181"/>
      <c r="R2122" s="181"/>
      <c r="S2122" s="1"/>
      <c r="T2122" s="1"/>
    </row>
    <row r="2123" spans="1:20" ht="36.75" customHeight="1">
      <c r="A2123" s="82" t="s">
        <v>55</v>
      </c>
      <c r="B2123" s="145">
        <v>794</v>
      </c>
      <c r="C2123" s="84" t="s">
        <v>18</v>
      </c>
      <c r="D2123" s="84" t="s">
        <v>69</v>
      </c>
      <c r="E2123" s="84" t="s">
        <v>1532</v>
      </c>
      <c r="F2123" s="84" t="s">
        <v>58</v>
      </c>
      <c r="G2123" s="70">
        <f>прил4!G2882</f>
        <v>18770.810000000001</v>
      </c>
      <c r="H2123" s="87">
        <v>0</v>
      </c>
      <c r="I2123" s="87">
        <v>0</v>
      </c>
      <c r="J2123" s="173"/>
      <c r="K2123" s="181"/>
      <c r="L2123" s="181"/>
      <c r="M2123" s="181"/>
      <c r="N2123" s="181"/>
      <c r="O2123" s="181"/>
      <c r="P2123" s="181"/>
      <c r="Q2123" s="181"/>
      <c r="R2123" s="181"/>
      <c r="S2123" s="1"/>
      <c r="T2123" s="1"/>
    </row>
    <row r="2124" spans="1:20" s="22" customFormat="1" ht="26.4">
      <c r="A2124" s="348" t="s">
        <v>1191</v>
      </c>
      <c r="B2124" s="35">
        <v>799</v>
      </c>
      <c r="C2124" s="36" t="s">
        <v>18</v>
      </c>
      <c r="D2124" s="36" t="s">
        <v>157</v>
      </c>
      <c r="E2124" s="36" t="s">
        <v>805</v>
      </c>
      <c r="F2124" s="36"/>
      <c r="G2124" s="71">
        <f>G2126+G2131+G2134</f>
        <v>3158684.81</v>
      </c>
      <c r="H2124" s="71">
        <f t="shared" ref="H2124:I2124" si="621">H2126</f>
        <v>3174137</v>
      </c>
      <c r="I2124" s="71">
        <f t="shared" si="621"/>
        <v>3203182</v>
      </c>
      <c r="P2124" s="21"/>
      <c r="Q2124" s="21"/>
      <c r="R2124" s="21"/>
      <c r="S2124" s="21"/>
      <c r="T2124" s="21"/>
    </row>
    <row r="2125" spans="1:20" s="46" customFormat="1" ht="26.4" hidden="1">
      <c r="A2125" s="56" t="s">
        <v>355</v>
      </c>
      <c r="B2125" s="14">
        <v>794</v>
      </c>
      <c r="C2125" s="15" t="s">
        <v>18</v>
      </c>
      <c r="D2125" s="15" t="s">
        <v>157</v>
      </c>
      <c r="E2125" s="15" t="s">
        <v>265</v>
      </c>
      <c r="F2125" s="15"/>
      <c r="G2125" s="87"/>
      <c r="H2125" s="87"/>
      <c r="I2125" s="87"/>
      <c r="J2125" s="110"/>
      <c r="P2125" s="110"/>
      <c r="Q2125" s="110"/>
      <c r="R2125" s="110"/>
      <c r="S2125" s="110"/>
      <c r="T2125" s="110"/>
    </row>
    <row r="2126" spans="1:20" s="46" customFormat="1" ht="26.4">
      <c r="A2126" s="16" t="s">
        <v>75</v>
      </c>
      <c r="B2126" s="14">
        <v>794</v>
      </c>
      <c r="C2126" s="15" t="s">
        <v>18</v>
      </c>
      <c r="D2126" s="15" t="s">
        <v>157</v>
      </c>
      <c r="E2126" s="15" t="s">
        <v>806</v>
      </c>
      <c r="F2126" s="15"/>
      <c r="G2126" s="87">
        <f>G2127+G2129</f>
        <v>3139914</v>
      </c>
      <c r="H2126" s="87">
        <f t="shared" ref="H2126:I2126" si="622">H2127+H2129</f>
        <v>3174137</v>
      </c>
      <c r="I2126" s="87">
        <f t="shared" si="622"/>
        <v>3203182</v>
      </c>
      <c r="J2126" s="110"/>
      <c r="P2126" s="110"/>
      <c r="Q2126" s="110"/>
      <c r="R2126" s="110"/>
      <c r="S2126" s="110"/>
      <c r="T2126" s="110"/>
    </row>
    <row r="2127" spans="1:20" s="3" customFormat="1" ht="52.8">
      <c r="A2127" s="56" t="s">
        <v>54</v>
      </c>
      <c r="B2127" s="14">
        <v>794</v>
      </c>
      <c r="C2127" s="15" t="s">
        <v>18</v>
      </c>
      <c r="D2127" s="15" t="s">
        <v>157</v>
      </c>
      <c r="E2127" s="15" t="s">
        <v>806</v>
      </c>
      <c r="F2127" s="15" t="s">
        <v>57</v>
      </c>
      <c r="G2127" s="87">
        <f>G2128</f>
        <v>2833598.76</v>
      </c>
      <c r="H2127" s="87">
        <f>H2128</f>
        <v>2981537</v>
      </c>
      <c r="I2127" s="87">
        <f>I2128</f>
        <v>3010582</v>
      </c>
      <c r="J2127" s="111"/>
      <c r="P2127" s="111"/>
      <c r="Q2127" s="111"/>
      <c r="R2127" s="111"/>
      <c r="S2127" s="111"/>
      <c r="T2127" s="111"/>
    </row>
    <row r="2128" spans="1:20" s="3" customFormat="1" ht="26.4">
      <c r="A2128" s="56" t="s">
        <v>55</v>
      </c>
      <c r="B2128" s="14">
        <v>794</v>
      </c>
      <c r="C2128" s="15" t="s">
        <v>18</v>
      </c>
      <c r="D2128" s="15" t="s">
        <v>157</v>
      </c>
      <c r="E2128" s="15" t="s">
        <v>806</v>
      </c>
      <c r="F2128" s="15" t="s">
        <v>58</v>
      </c>
      <c r="G2128" s="87">
        <f>прил4!G3307</f>
        <v>2833598.76</v>
      </c>
      <c r="H2128" s="87">
        <f>прил4!H3307</f>
        <v>2981537</v>
      </c>
      <c r="I2128" s="87">
        <f>прил4!I3307</f>
        <v>3010582</v>
      </c>
      <c r="J2128" s="111"/>
      <c r="P2128" s="111"/>
      <c r="Q2128" s="111"/>
      <c r="R2128" s="111"/>
      <c r="S2128" s="111"/>
      <c r="T2128" s="111"/>
    </row>
    <row r="2129" spans="1:20" s="3" customFormat="1" ht="26.4">
      <c r="A2129" s="16" t="s">
        <v>35</v>
      </c>
      <c r="B2129" s="14">
        <v>794</v>
      </c>
      <c r="C2129" s="15" t="s">
        <v>18</v>
      </c>
      <c r="D2129" s="15" t="s">
        <v>157</v>
      </c>
      <c r="E2129" s="15" t="s">
        <v>806</v>
      </c>
      <c r="F2129" s="15" t="s">
        <v>36</v>
      </c>
      <c r="G2129" s="87">
        <f>G2130</f>
        <v>306315.24</v>
      </c>
      <c r="H2129" s="87">
        <f>H2130</f>
        <v>192600</v>
      </c>
      <c r="I2129" s="87">
        <f>I2130</f>
        <v>192600</v>
      </c>
      <c r="J2129" s="111"/>
      <c r="P2129" s="111"/>
      <c r="Q2129" s="111"/>
      <c r="R2129" s="111"/>
      <c r="S2129" s="111"/>
      <c r="T2129" s="111"/>
    </row>
    <row r="2130" spans="1:20" s="3" customFormat="1" ht="26.4">
      <c r="A2130" s="16" t="s">
        <v>37</v>
      </c>
      <c r="B2130" s="14">
        <v>794</v>
      </c>
      <c r="C2130" s="15" t="s">
        <v>18</v>
      </c>
      <c r="D2130" s="15" t="s">
        <v>157</v>
      </c>
      <c r="E2130" s="15" t="s">
        <v>806</v>
      </c>
      <c r="F2130" s="15" t="s">
        <v>38</v>
      </c>
      <c r="G2130" s="87">
        <f>прил4!G3309</f>
        <v>306315.24</v>
      </c>
      <c r="H2130" s="87">
        <f>прил4!H3309</f>
        <v>192600</v>
      </c>
      <c r="I2130" s="87">
        <f>прил4!I3309</f>
        <v>192600</v>
      </c>
      <c r="J2130" s="111"/>
      <c r="P2130" s="111"/>
      <c r="Q2130" s="111"/>
      <c r="R2130" s="111"/>
      <c r="S2130" s="111"/>
      <c r="T2130" s="111"/>
    </row>
    <row r="2131" spans="1:20" s="3" customFormat="1" ht="74.25" hidden="1" customHeight="1">
      <c r="A2131" s="30" t="s">
        <v>136</v>
      </c>
      <c r="B2131" s="14">
        <v>794</v>
      </c>
      <c r="C2131" s="15" t="s">
        <v>18</v>
      </c>
      <c r="D2131" s="15" t="s">
        <v>157</v>
      </c>
      <c r="E2131" s="15" t="s">
        <v>904</v>
      </c>
      <c r="F2131" s="15"/>
      <c r="G2131" s="87">
        <f t="shared" ref="G2131:I2132" si="623">G2132</f>
        <v>0</v>
      </c>
      <c r="H2131" s="87">
        <f t="shared" si="623"/>
        <v>0</v>
      </c>
      <c r="I2131" s="87">
        <f t="shared" si="623"/>
        <v>0</v>
      </c>
      <c r="J2131" s="111"/>
      <c r="P2131" s="111"/>
      <c r="Q2131" s="111"/>
      <c r="R2131" s="111"/>
      <c r="S2131" s="111"/>
      <c r="T2131" s="111"/>
    </row>
    <row r="2132" spans="1:20" s="3" customFormat="1" ht="37.5" hidden="1" customHeight="1">
      <c r="A2132" s="16" t="s">
        <v>35</v>
      </c>
      <c r="B2132" s="14">
        <v>794</v>
      </c>
      <c r="C2132" s="15" t="s">
        <v>18</v>
      </c>
      <c r="D2132" s="15" t="s">
        <v>157</v>
      </c>
      <c r="E2132" s="15" t="s">
        <v>904</v>
      </c>
      <c r="F2132" s="15" t="s">
        <v>36</v>
      </c>
      <c r="G2132" s="87">
        <f t="shared" si="623"/>
        <v>0</v>
      </c>
      <c r="H2132" s="87">
        <f t="shared" si="623"/>
        <v>0</v>
      </c>
      <c r="I2132" s="87">
        <f t="shared" si="623"/>
        <v>0</v>
      </c>
      <c r="J2132" s="111"/>
      <c r="P2132" s="111"/>
      <c r="Q2132" s="111"/>
      <c r="R2132" s="111"/>
      <c r="S2132" s="111"/>
      <c r="T2132" s="111"/>
    </row>
    <row r="2133" spans="1:20" s="3" customFormat="1" ht="38.25" hidden="1" customHeight="1">
      <c r="A2133" s="16" t="s">
        <v>37</v>
      </c>
      <c r="B2133" s="14">
        <v>794</v>
      </c>
      <c r="C2133" s="15" t="s">
        <v>18</v>
      </c>
      <c r="D2133" s="15" t="s">
        <v>157</v>
      </c>
      <c r="E2133" s="15" t="s">
        <v>904</v>
      </c>
      <c r="F2133" s="15" t="s">
        <v>38</v>
      </c>
      <c r="G2133" s="87">
        <f>прил4!G3312</f>
        <v>0</v>
      </c>
      <c r="H2133" s="87">
        <f>прил4!H3312</f>
        <v>0</v>
      </c>
      <c r="I2133" s="87">
        <f>прил4!I3312</f>
        <v>0</v>
      </c>
      <c r="J2133" s="111"/>
      <c r="P2133" s="111"/>
      <c r="Q2133" s="111"/>
      <c r="R2133" s="111"/>
      <c r="S2133" s="111"/>
      <c r="T2133" s="111"/>
    </row>
    <row r="2134" spans="1:20" ht="84.75" customHeight="1">
      <c r="A2134" s="82" t="s">
        <v>1435</v>
      </c>
      <c r="B2134" s="145">
        <v>799</v>
      </c>
      <c r="C2134" s="84" t="s">
        <v>18</v>
      </c>
      <c r="D2134" s="84" t="s">
        <v>157</v>
      </c>
      <c r="E2134" s="84" t="s">
        <v>1533</v>
      </c>
      <c r="F2134" s="84"/>
      <c r="G2134" s="87">
        <f>G2135</f>
        <v>18770.810000000001</v>
      </c>
      <c r="H2134" s="87">
        <f t="shared" ref="H2134:I2134" si="624">H2135</f>
        <v>0</v>
      </c>
      <c r="I2134" s="87">
        <f t="shared" si="624"/>
        <v>0</v>
      </c>
      <c r="J2134" s="173"/>
      <c r="K2134" s="181"/>
      <c r="L2134" s="181"/>
      <c r="M2134" s="181"/>
      <c r="N2134" s="181"/>
      <c r="O2134" s="181"/>
      <c r="P2134" s="181"/>
      <c r="Q2134" s="181"/>
      <c r="R2134" s="181"/>
      <c r="S2134" s="1"/>
      <c r="T2134" s="1"/>
    </row>
    <row r="2135" spans="1:20" ht="29.25" customHeight="1">
      <c r="A2135" s="82" t="s">
        <v>54</v>
      </c>
      <c r="B2135" s="145">
        <v>799</v>
      </c>
      <c r="C2135" s="84" t="s">
        <v>18</v>
      </c>
      <c r="D2135" s="84" t="s">
        <v>157</v>
      </c>
      <c r="E2135" s="84" t="s">
        <v>1533</v>
      </c>
      <c r="F2135" s="84" t="s">
        <v>57</v>
      </c>
      <c r="G2135" s="87">
        <f>G2136</f>
        <v>18770.810000000001</v>
      </c>
      <c r="H2135" s="87">
        <f>H2136</f>
        <v>0</v>
      </c>
      <c r="I2135" s="87">
        <f>I2136</f>
        <v>0</v>
      </c>
      <c r="J2135" s="173"/>
      <c r="K2135" s="181"/>
      <c r="L2135" s="181"/>
      <c r="M2135" s="181"/>
      <c r="N2135" s="181"/>
      <c r="O2135" s="181"/>
      <c r="P2135" s="181"/>
      <c r="Q2135" s="181"/>
      <c r="R2135" s="181"/>
      <c r="S2135" s="1"/>
      <c r="T2135" s="1"/>
    </row>
    <row r="2136" spans="1:20" ht="36.75" customHeight="1">
      <c r="A2136" s="82" t="s">
        <v>55</v>
      </c>
      <c r="B2136" s="145">
        <v>799</v>
      </c>
      <c r="C2136" s="84" t="s">
        <v>18</v>
      </c>
      <c r="D2136" s="84" t="s">
        <v>157</v>
      </c>
      <c r="E2136" s="84" t="s">
        <v>1533</v>
      </c>
      <c r="F2136" s="84" t="s">
        <v>58</v>
      </c>
      <c r="G2136" s="70">
        <f>прил4!G3315</f>
        <v>18770.810000000001</v>
      </c>
      <c r="H2136" s="87">
        <v>0</v>
      </c>
      <c r="I2136" s="87">
        <v>0</v>
      </c>
      <c r="J2136" s="173"/>
      <c r="K2136" s="181"/>
      <c r="L2136" s="181"/>
      <c r="M2136" s="181"/>
      <c r="N2136" s="181"/>
      <c r="O2136" s="181"/>
      <c r="P2136" s="181"/>
      <c r="Q2136" s="181"/>
      <c r="R2136" s="181"/>
      <c r="S2136" s="1"/>
      <c r="T2136" s="1"/>
    </row>
    <row r="2137" spans="1:20" s="22" customFormat="1" ht="26.4">
      <c r="A2137" s="231" t="s">
        <v>325</v>
      </c>
      <c r="B2137" s="35">
        <v>793</v>
      </c>
      <c r="C2137" s="36" t="s">
        <v>18</v>
      </c>
      <c r="D2137" s="36" t="s">
        <v>22</v>
      </c>
      <c r="E2137" s="36" t="s">
        <v>245</v>
      </c>
      <c r="F2137" s="36"/>
      <c r="G2137" s="71">
        <f>G2138</f>
        <v>25869641</v>
      </c>
      <c r="H2137" s="71">
        <f>H2138</f>
        <v>26369641</v>
      </c>
      <c r="I2137" s="71">
        <f>I2138</f>
        <v>26369641</v>
      </c>
      <c r="J2137" s="21">
        <v>8109357</v>
      </c>
      <c r="P2137" s="21"/>
      <c r="Q2137" s="21"/>
      <c r="R2137" s="21"/>
      <c r="S2137" s="21"/>
      <c r="T2137" s="21"/>
    </row>
    <row r="2138" spans="1:20" s="90" customFormat="1" ht="25.5" customHeight="1">
      <c r="A2138" s="82" t="s">
        <v>49</v>
      </c>
      <c r="B2138" s="145">
        <v>793</v>
      </c>
      <c r="C2138" s="84" t="s">
        <v>18</v>
      </c>
      <c r="D2138" s="84" t="s">
        <v>22</v>
      </c>
      <c r="E2138" s="84" t="s">
        <v>286</v>
      </c>
      <c r="F2138" s="84"/>
      <c r="G2138" s="87">
        <f>G2139+G2141+G2143</f>
        <v>25869641</v>
      </c>
      <c r="H2138" s="87">
        <f>H2139+H2141+H2143</f>
        <v>26369641</v>
      </c>
      <c r="I2138" s="87">
        <f>I2139+I2141+I2143</f>
        <v>26369641</v>
      </c>
      <c r="J2138" s="123">
        <v>6041147</v>
      </c>
      <c r="P2138" s="123"/>
      <c r="Q2138" s="123"/>
      <c r="R2138" s="123"/>
      <c r="S2138" s="123"/>
      <c r="T2138" s="123"/>
    </row>
    <row r="2139" spans="1:20" s="90" customFormat="1" ht="52.8">
      <c r="A2139" s="82" t="s">
        <v>312</v>
      </c>
      <c r="B2139" s="145">
        <v>793</v>
      </c>
      <c r="C2139" s="84" t="s">
        <v>18</v>
      </c>
      <c r="D2139" s="84" t="s">
        <v>22</v>
      </c>
      <c r="E2139" s="84" t="s">
        <v>286</v>
      </c>
      <c r="F2139" s="84" t="s">
        <v>57</v>
      </c>
      <c r="G2139" s="87">
        <f>G2140</f>
        <v>13758611</v>
      </c>
      <c r="H2139" s="87">
        <f>H2140</f>
        <v>13789611</v>
      </c>
      <c r="I2139" s="87">
        <f>I2140</f>
        <v>13789611</v>
      </c>
      <c r="J2139" s="123">
        <v>496800</v>
      </c>
      <c r="P2139" s="123"/>
      <c r="Q2139" s="123"/>
      <c r="R2139" s="123"/>
      <c r="S2139" s="123"/>
      <c r="T2139" s="123"/>
    </row>
    <row r="2140" spans="1:20" s="90" customFormat="1">
      <c r="A2140" s="82" t="s">
        <v>319</v>
      </c>
      <c r="B2140" s="145"/>
      <c r="C2140" s="84"/>
      <c r="D2140" s="84"/>
      <c r="E2140" s="84" t="s">
        <v>286</v>
      </c>
      <c r="F2140" s="84" t="s">
        <v>318</v>
      </c>
      <c r="G2140" s="87">
        <f>прил4!G1679</f>
        <v>13758611</v>
      </c>
      <c r="H2140" s="87">
        <f>прил4!H1679</f>
        <v>13789611</v>
      </c>
      <c r="I2140" s="87">
        <f>прил4!I1679</f>
        <v>13789611</v>
      </c>
      <c r="J2140" s="123">
        <f>SUM(J2137:J2139)</f>
        <v>14647304</v>
      </c>
      <c r="P2140" s="123"/>
      <c r="Q2140" s="123"/>
      <c r="R2140" s="123"/>
      <c r="S2140" s="123"/>
      <c r="T2140" s="123"/>
    </row>
    <row r="2141" spans="1:20" s="90" customFormat="1" ht="24" customHeight="1">
      <c r="A2141" s="82" t="s">
        <v>316</v>
      </c>
      <c r="B2141" s="145">
        <v>793</v>
      </c>
      <c r="C2141" s="84" t="s">
        <v>18</v>
      </c>
      <c r="D2141" s="84" t="s">
        <v>22</v>
      </c>
      <c r="E2141" s="84" t="s">
        <v>286</v>
      </c>
      <c r="F2141" s="84" t="s">
        <v>36</v>
      </c>
      <c r="G2141" s="87">
        <f>G2142</f>
        <v>11991339</v>
      </c>
      <c r="H2141" s="87">
        <f>H2142</f>
        <v>12216339</v>
      </c>
      <c r="I2141" s="87">
        <f>I2142</f>
        <v>12216339</v>
      </c>
      <c r="J2141" s="123"/>
      <c r="P2141" s="123"/>
      <c r="Q2141" s="123"/>
      <c r="R2141" s="123"/>
      <c r="S2141" s="123"/>
      <c r="T2141" s="123"/>
    </row>
    <row r="2142" spans="1:20" s="90" customFormat="1" ht="24" customHeight="1">
      <c r="A2142" s="82" t="s">
        <v>37</v>
      </c>
      <c r="B2142" s="145">
        <v>793</v>
      </c>
      <c r="C2142" s="84" t="s">
        <v>18</v>
      </c>
      <c r="D2142" s="84" t="s">
        <v>22</v>
      </c>
      <c r="E2142" s="84" t="s">
        <v>286</v>
      </c>
      <c r="F2142" s="84" t="s">
        <v>38</v>
      </c>
      <c r="G2142" s="87">
        <f>прил4!G1681</f>
        <v>11991339</v>
      </c>
      <c r="H2142" s="87">
        <f>прил4!H1681</f>
        <v>12216339</v>
      </c>
      <c r="I2142" s="87">
        <f>прил4!I1681</f>
        <v>12216339</v>
      </c>
      <c r="J2142" s="123"/>
      <c r="P2142" s="123"/>
      <c r="Q2142" s="123"/>
      <c r="R2142" s="123"/>
      <c r="S2142" s="123"/>
      <c r="T2142" s="123"/>
    </row>
    <row r="2143" spans="1:20" s="90" customFormat="1" ht="24" customHeight="1">
      <c r="A2143" s="82" t="s">
        <v>62</v>
      </c>
      <c r="B2143" s="145">
        <v>793</v>
      </c>
      <c r="C2143" s="84" t="s">
        <v>18</v>
      </c>
      <c r="D2143" s="84" t="s">
        <v>22</v>
      </c>
      <c r="E2143" s="84" t="s">
        <v>286</v>
      </c>
      <c r="F2143" s="84" t="s">
        <v>63</v>
      </c>
      <c r="G2143" s="87">
        <f>G2145+G2144</f>
        <v>119691</v>
      </c>
      <c r="H2143" s="87">
        <f>H2145+H2144</f>
        <v>363691</v>
      </c>
      <c r="I2143" s="87">
        <f>I2145+I2144</f>
        <v>363691</v>
      </c>
      <c r="J2143" s="123"/>
      <c r="P2143" s="123"/>
      <c r="Q2143" s="123"/>
      <c r="R2143" s="123"/>
      <c r="S2143" s="123"/>
      <c r="T2143" s="123"/>
    </row>
    <row r="2144" spans="1:20" s="90" customFormat="1" ht="24" hidden="1" customHeight="1">
      <c r="A2144" s="82" t="s">
        <v>321</v>
      </c>
      <c r="B2144" s="145">
        <v>793</v>
      </c>
      <c r="C2144" s="84" t="s">
        <v>18</v>
      </c>
      <c r="D2144" s="84" t="s">
        <v>22</v>
      </c>
      <c r="E2144" s="84" t="s">
        <v>286</v>
      </c>
      <c r="F2144" s="84" t="s">
        <v>320</v>
      </c>
      <c r="G2144" s="87">
        <f>прил4!G1685</f>
        <v>0</v>
      </c>
      <c r="H2144" s="87">
        <f>прил4!AH1685</f>
        <v>0</v>
      </c>
      <c r="I2144" s="87">
        <f>прил4!AI1685</f>
        <v>0</v>
      </c>
      <c r="J2144" s="123"/>
      <c r="P2144" s="123"/>
      <c r="Q2144" s="123"/>
      <c r="R2144" s="123"/>
      <c r="S2144" s="123"/>
      <c r="T2144" s="123"/>
    </row>
    <row r="2145" spans="1:20" s="90" customFormat="1" ht="24" customHeight="1">
      <c r="A2145" s="82" t="s">
        <v>140</v>
      </c>
      <c r="B2145" s="145">
        <v>793</v>
      </c>
      <c r="C2145" s="84" t="s">
        <v>18</v>
      </c>
      <c r="D2145" s="84" t="s">
        <v>22</v>
      </c>
      <c r="E2145" s="84" t="s">
        <v>286</v>
      </c>
      <c r="F2145" s="84" t="s">
        <v>66</v>
      </c>
      <c r="G2145" s="87">
        <f>прил4!G1686</f>
        <v>119691</v>
      </c>
      <c r="H2145" s="87">
        <f>прил4!H1686</f>
        <v>363691</v>
      </c>
      <c r="I2145" s="87">
        <f>прил4!I1686</f>
        <v>363691</v>
      </c>
      <c r="J2145" s="123"/>
      <c r="P2145" s="123"/>
      <c r="Q2145" s="123"/>
      <c r="R2145" s="123"/>
      <c r="S2145" s="123"/>
      <c r="T2145" s="123"/>
    </row>
    <row r="2146" spans="1:20" s="157" customFormat="1" ht="34.5" customHeight="1">
      <c r="A2146" s="154" t="s">
        <v>1278</v>
      </c>
      <c r="B2146" s="151">
        <v>793</v>
      </c>
      <c r="C2146" s="152" t="s">
        <v>18</v>
      </c>
      <c r="D2146" s="152" t="s">
        <v>71</v>
      </c>
      <c r="E2146" s="152" t="s">
        <v>228</v>
      </c>
      <c r="F2146" s="155"/>
      <c r="G2146" s="153">
        <f>G2147+G2168</f>
        <v>992999.99999999988</v>
      </c>
      <c r="H2146" s="153">
        <f t="shared" ref="H2146:I2146" si="625">H2147</f>
        <v>1000000</v>
      </c>
      <c r="I2146" s="153">
        <f t="shared" si="625"/>
        <v>1000000</v>
      </c>
      <c r="J2146" s="156">
        <v>1000000</v>
      </c>
      <c r="P2146" s="156"/>
      <c r="Q2146" s="156"/>
      <c r="R2146" s="156"/>
      <c r="S2146" s="156"/>
      <c r="T2146" s="156"/>
    </row>
    <row r="2147" spans="1:20" s="90" customFormat="1">
      <c r="A2147" s="136" t="s">
        <v>1278</v>
      </c>
      <c r="B2147" s="145">
        <v>793</v>
      </c>
      <c r="C2147" s="84" t="s">
        <v>18</v>
      </c>
      <c r="D2147" s="84" t="s">
        <v>71</v>
      </c>
      <c r="E2147" s="84" t="s">
        <v>270</v>
      </c>
      <c r="F2147" s="145"/>
      <c r="G2147" s="87">
        <f>G2150+G2157+G2171+G2155+G2166+G2149+G2158+G2160+G2152+G2164</f>
        <v>887478.14999999991</v>
      </c>
      <c r="H2147" s="87">
        <f>H2150+H2157+H2171+H2155+H2166</f>
        <v>1000000</v>
      </c>
      <c r="I2147" s="87">
        <f>I2150+I2157+I2171+I2155+I2166</f>
        <v>1000000</v>
      </c>
      <c r="J2147" s="123"/>
      <c r="P2147" s="123"/>
      <c r="Q2147" s="123"/>
      <c r="R2147" s="123"/>
      <c r="S2147" s="123"/>
      <c r="T2147" s="123"/>
    </row>
    <row r="2148" spans="1:20" ht="24" hidden="1" customHeight="1">
      <c r="A2148" s="128" t="s">
        <v>144</v>
      </c>
      <c r="B2148" s="49">
        <v>795</v>
      </c>
      <c r="C2148" s="15" t="s">
        <v>68</v>
      </c>
      <c r="D2148" s="15" t="s">
        <v>69</v>
      </c>
      <c r="E2148" s="15" t="s">
        <v>270</v>
      </c>
      <c r="F2148" s="15" t="s">
        <v>145</v>
      </c>
      <c r="G2148" s="70">
        <f>G2149</f>
        <v>0</v>
      </c>
      <c r="H2148" s="70">
        <f>H2149</f>
        <v>0</v>
      </c>
      <c r="I2148" s="70">
        <f>I2149</f>
        <v>0</v>
      </c>
      <c r="J2148" s="1"/>
    </row>
    <row r="2149" spans="1:20" ht="18" hidden="1" customHeight="1">
      <c r="A2149" s="16" t="s">
        <v>146</v>
      </c>
      <c r="B2149" s="49">
        <v>795</v>
      </c>
      <c r="C2149" s="15" t="s">
        <v>68</v>
      </c>
      <c r="D2149" s="15" t="s">
        <v>69</v>
      </c>
      <c r="E2149" s="15" t="s">
        <v>270</v>
      </c>
      <c r="F2149" s="15" t="s">
        <v>147</v>
      </c>
      <c r="G2149" s="70"/>
      <c r="H2149" s="70"/>
      <c r="I2149" s="70"/>
      <c r="J2149" s="1"/>
    </row>
    <row r="2150" spans="1:20" s="90" customFormat="1" hidden="1">
      <c r="A2150" s="82" t="s">
        <v>316</v>
      </c>
      <c r="B2150" s="145">
        <v>793</v>
      </c>
      <c r="C2150" s="84" t="s">
        <v>53</v>
      </c>
      <c r="D2150" s="84" t="s">
        <v>120</v>
      </c>
      <c r="E2150" s="84" t="s">
        <v>270</v>
      </c>
      <c r="F2150" s="84" t="s">
        <v>36</v>
      </c>
      <c r="G2150" s="87">
        <f>G2151</f>
        <v>0</v>
      </c>
      <c r="H2150" s="87">
        <f>H2151</f>
        <v>0</v>
      </c>
      <c r="I2150" s="87">
        <f>I2151</f>
        <v>0</v>
      </c>
      <c r="J2150" s="123"/>
      <c r="P2150" s="123"/>
      <c r="Q2150" s="123"/>
      <c r="R2150" s="123"/>
      <c r="S2150" s="123"/>
      <c r="T2150" s="123"/>
    </row>
    <row r="2151" spans="1:20" s="90" customFormat="1" ht="27.75" hidden="1" customHeight="1">
      <c r="A2151" s="82" t="s">
        <v>37</v>
      </c>
      <c r="B2151" s="145">
        <v>793</v>
      </c>
      <c r="C2151" s="84" t="s">
        <v>53</v>
      </c>
      <c r="D2151" s="84" t="s">
        <v>120</v>
      </c>
      <c r="E2151" s="84" t="s">
        <v>270</v>
      </c>
      <c r="F2151" s="84" t="s">
        <v>38</v>
      </c>
      <c r="G2151" s="87">
        <f>прил4!G2982+прил4!G3098</f>
        <v>0</v>
      </c>
      <c r="H2151" s="87">
        <f>прил4!H1808+прил4!H2976</f>
        <v>0</v>
      </c>
      <c r="I2151" s="87">
        <f>прил4!I1808+прил4!I2976</f>
        <v>0</v>
      </c>
      <c r="J2151" s="123"/>
      <c r="P2151" s="123"/>
      <c r="Q2151" s="123"/>
      <c r="R2151" s="123"/>
      <c r="S2151" s="123"/>
      <c r="T2151" s="123"/>
    </row>
    <row r="2152" spans="1:20" s="90" customFormat="1" ht="27.75" hidden="1" customHeight="1">
      <c r="A2152" s="16" t="s">
        <v>316</v>
      </c>
      <c r="B2152" s="14">
        <v>793</v>
      </c>
      <c r="C2152" s="15" t="s">
        <v>18</v>
      </c>
      <c r="D2152" s="15" t="s">
        <v>22</v>
      </c>
      <c r="E2152" s="15" t="s">
        <v>270</v>
      </c>
      <c r="F2152" s="15" t="s">
        <v>36</v>
      </c>
      <c r="G2152" s="87">
        <f>G2153</f>
        <v>0</v>
      </c>
      <c r="H2152" s="87"/>
      <c r="I2152" s="87"/>
      <c r="J2152" s="123"/>
      <c r="P2152" s="123"/>
      <c r="Q2152" s="123"/>
      <c r="R2152" s="123"/>
      <c r="S2152" s="123"/>
      <c r="T2152" s="123"/>
    </row>
    <row r="2153" spans="1:20" s="90" customFormat="1" ht="27.75" hidden="1" customHeight="1">
      <c r="A2153" s="16" t="s">
        <v>37</v>
      </c>
      <c r="B2153" s="14">
        <v>793</v>
      </c>
      <c r="C2153" s="15" t="s">
        <v>18</v>
      </c>
      <c r="D2153" s="15" t="s">
        <v>22</v>
      </c>
      <c r="E2153" s="15" t="s">
        <v>270</v>
      </c>
      <c r="F2153" s="15" t="s">
        <v>38</v>
      </c>
      <c r="G2153" s="87">
        <f>прил4!G1687+прил4!G569+прил4!G1869+прил4!G2084+прил4!G2669</f>
        <v>0</v>
      </c>
      <c r="H2153" s="87"/>
      <c r="I2153" s="87"/>
      <c r="J2153" s="123"/>
      <c r="P2153" s="123"/>
      <c r="Q2153" s="123"/>
      <c r="R2153" s="123"/>
      <c r="S2153" s="123"/>
      <c r="T2153" s="123"/>
    </row>
    <row r="2154" spans="1:20" s="90" customFormat="1" ht="30.75" hidden="1" customHeight="1">
      <c r="A2154" s="82" t="s">
        <v>152</v>
      </c>
      <c r="B2154" s="145">
        <v>793</v>
      </c>
      <c r="C2154" s="84" t="s">
        <v>167</v>
      </c>
      <c r="D2154" s="84" t="s">
        <v>69</v>
      </c>
      <c r="E2154" s="84" t="s">
        <v>270</v>
      </c>
      <c r="F2154" s="84" t="s">
        <v>153</v>
      </c>
      <c r="G2154" s="87">
        <f>G2155</f>
        <v>0</v>
      </c>
      <c r="H2154" s="87">
        <v>0</v>
      </c>
      <c r="I2154" s="87">
        <v>0</v>
      </c>
      <c r="P2154" s="123"/>
      <c r="Q2154" s="123"/>
      <c r="R2154" s="123"/>
      <c r="S2154" s="123"/>
      <c r="T2154" s="123"/>
    </row>
    <row r="2155" spans="1:20" s="90" customFormat="1" ht="30.75" hidden="1" customHeight="1">
      <c r="A2155" s="82" t="s">
        <v>172</v>
      </c>
      <c r="B2155" s="145">
        <v>793</v>
      </c>
      <c r="C2155" s="84" t="s">
        <v>167</v>
      </c>
      <c r="D2155" s="84" t="s">
        <v>69</v>
      </c>
      <c r="E2155" s="84" t="s">
        <v>270</v>
      </c>
      <c r="F2155" s="84" t="s">
        <v>173</v>
      </c>
      <c r="G2155" s="87">
        <f>прил4!G2086+прил4!G1710+прил4!G1871+прил4!G2383+прил4!G2675+прил4!G2466</f>
        <v>0</v>
      </c>
      <c r="H2155" s="87">
        <f>прил4!H2086+прил4!H1710+прил4!H1871+прил4!H2383</f>
        <v>0</v>
      </c>
      <c r="I2155" s="87">
        <f>прил4!I2086+прил4!I1710+прил4!I1871+прил4!I2383</f>
        <v>0</v>
      </c>
      <c r="P2155" s="123"/>
      <c r="Q2155" s="123"/>
      <c r="R2155" s="123"/>
      <c r="S2155" s="123"/>
      <c r="T2155" s="123"/>
    </row>
    <row r="2156" spans="1:20" s="90" customFormat="1" hidden="1">
      <c r="A2156" s="82" t="s">
        <v>62</v>
      </c>
      <c r="B2156" s="84" t="s">
        <v>92</v>
      </c>
      <c r="C2156" s="84" t="s">
        <v>25</v>
      </c>
      <c r="D2156" s="84" t="s">
        <v>27</v>
      </c>
      <c r="E2156" s="84" t="s">
        <v>270</v>
      </c>
      <c r="F2156" s="84" t="s">
        <v>30</v>
      </c>
      <c r="G2156" s="87">
        <f>G2157</f>
        <v>0</v>
      </c>
      <c r="H2156" s="87">
        <f>H2157</f>
        <v>0</v>
      </c>
      <c r="I2156" s="87">
        <f>I2157</f>
        <v>0</v>
      </c>
      <c r="J2156" s="123"/>
      <c r="P2156" s="123"/>
      <c r="Q2156" s="123"/>
      <c r="R2156" s="123"/>
      <c r="S2156" s="123"/>
      <c r="T2156" s="123"/>
    </row>
    <row r="2157" spans="1:20" s="90" customFormat="1" ht="19.5" hidden="1" customHeight="1">
      <c r="A2157" s="82" t="s">
        <v>174</v>
      </c>
      <c r="B2157" s="84" t="s">
        <v>92</v>
      </c>
      <c r="C2157" s="84" t="s">
        <v>25</v>
      </c>
      <c r="D2157" s="84" t="s">
        <v>27</v>
      </c>
      <c r="E2157" s="84" t="s">
        <v>270</v>
      </c>
      <c r="F2157" s="84" t="s">
        <v>32</v>
      </c>
      <c r="G2157" s="87">
        <f>прил4!G313+прил4!G1075</f>
        <v>0</v>
      </c>
      <c r="H2157" s="87"/>
      <c r="I2157" s="87"/>
      <c r="J2157" s="123"/>
      <c r="P2157" s="123"/>
      <c r="Q2157" s="123"/>
      <c r="R2157" s="123"/>
      <c r="S2157" s="123"/>
      <c r="T2157" s="123"/>
    </row>
    <row r="2158" spans="1:20" ht="24" hidden="1" customHeight="1">
      <c r="A2158" s="16" t="s">
        <v>29</v>
      </c>
      <c r="B2158" s="49">
        <v>795</v>
      </c>
      <c r="C2158" s="15" t="s">
        <v>43</v>
      </c>
      <c r="D2158" s="15" t="s">
        <v>18</v>
      </c>
      <c r="E2158" s="15" t="s">
        <v>270</v>
      </c>
      <c r="F2158" s="15" t="s">
        <v>30</v>
      </c>
      <c r="G2158" s="70">
        <f>G2159</f>
        <v>0</v>
      </c>
      <c r="H2158" s="70">
        <f>H2159</f>
        <v>0</v>
      </c>
      <c r="I2158" s="70">
        <f>I2159</f>
        <v>0</v>
      </c>
      <c r="J2158" s="1"/>
    </row>
    <row r="2159" spans="1:20" ht="18" hidden="1" customHeight="1">
      <c r="A2159" s="16" t="s">
        <v>31</v>
      </c>
      <c r="B2159" s="49">
        <v>795</v>
      </c>
      <c r="C2159" s="15" t="s">
        <v>43</v>
      </c>
      <c r="D2159" s="15" t="s">
        <v>18</v>
      </c>
      <c r="E2159" s="15" t="s">
        <v>270</v>
      </c>
      <c r="F2159" s="15" t="s">
        <v>32</v>
      </c>
      <c r="G2159" s="70"/>
      <c r="H2159" s="70"/>
      <c r="I2159" s="70"/>
      <c r="J2159" s="1"/>
    </row>
    <row r="2160" spans="1:20" ht="18" hidden="1" customHeight="1">
      <c r="A2160" s="82" t="s">
        <v>29</v>
      </c>
      <c r="B2160" s="49"/>
      <c r="C2160" s="15"/>
      <c r="D2160" s="15"/>
      <c r="E2160" s="84" t="s">
        <v>270</v>
      </c>
      <c r="F2160" s="15" t="s">
        <v>30</v>
      </c>
      <c r="G2160" s="70">
        <f>G2161</f>
        <v>0</v>
      </c>
      <c r="H2160" s="70"/>
      <c r="I2160" s="70"/>
      <c r="J2160" s="1"/>
    </row>
    <row r="2161" spans="1:20" ht="18" hidden="1" customHeight="1">
      <c r="A2161" s="16" t="s">
        <v>31</v>
      </c>
      <c r="B2161" s="49"/>
      <c r="C2161" s="15"/>
      <c r="D2161" s="15"/>
      <c r="E2161" s="84" t="s">
        <v>270</v>
      </c>
      <c r="F2161" s="15" t="s">
        <v>32</v>
      </c>
      <c r="G2161" s="70">
        <f>прил4!G445+прил4!G1254</f>
        <v>0</v>
      </c>
      <c r="H2161" s="70"/>
      <c r="I2161" s="70"/>
      <c r="J2161" s="1"/>
    </row>
    <row r="2162" spans="1:20" s="90" customFormat="1" hidden="1">
      <c r="A2162" s="82" t="s">
        <v>31</v>
      </c>
      <c r="B2162" s="145">
        <v>757</v>
      </c>
      <c r="C2162" s="84" t="s">
        <v>43</v>
      </c>
      <c r="D2162" s="84" t="s">
        <v>18</v>
      </c>
      <c r="E2162" s="84" t="s">
        <v>270</v>
      </c>
      <c r="F2162" s="84" t="s">
        <v>32</v>
      </c>
      <c r="G2162" s="85"/>
      <c r="H2162" s="85"/>
      <c r="I2162" s="85"/>
      <c r="J2162" s="123"/>
      <c r="P2162" s="123"/>
      <c r="Q2162" s="123"/>
      <c r="R2162" s="123"/>
      <c r="S2162" s="123"/>
      <c r="T2162" s="123"/>
    </row>
    <row r="2163" spans="1:20" s="3" customFormat="1">
      <c r="A2163" s="82" t="s">
        <v>1278</v>
      </c>
      <c r="B2163" s="145">
        <v>774</v>
      </c>
      <c r="C2163" s="84" t="s">
        <v>25</v>
      </c>
      <c r="D2163" s="84" t="s">
        <v>18</v>
      </c>
      <c r="E2163" s="84" t="s">
        <v>270</v>
      </c>
      <c r="F2163" s="84"/>
      <c r="G2163" s="87">
        <f>G2168</f>
        <v>105521.85</v>
      </c>
      <c r="H2163" s="87">
        <f>H2168</f>
        <v>0</v>
      </c>
      <c r="I2163" s="87">
        <f>I2168</f>
        <v>0</v>
      </c>
      <c r="J2163" s="173"/>
      <c r="K2163" s="194"/>
      <c r="L2163" s="194"/>
      <c r="M2163" s="194"/>
      <c r="N2163" s="194"/>
      <c r="O2163" s="194"/>
      <c r="P2163" s="194"/>
      <c r="Q2163" s="194"/>
      <c r="R2163" s="194"/>
    </row>
    <row r="2164" spans="1:20" s="3" customFormat="1">
      <c r="A2164" s="16" t="s">
        <v>316</v>
      </c>
      <c r="B2164" s="14">
        <v>793</v>
      </c>
      <c r="C2164" s="15" t="s">
        <v>18</v>
      </c>
      <c r="D2164" s="15" t="s">
        <v>22</v>
      </c>
      <c r="E2164" s="84" t="s">
        <v>270</v>
      </c>
      <c r="F2164" s="84" t="s">
        <v>36</v>
      </c>
      <c r="G2164" s="87">
        <f t="shared" ref="G2164:I2164" si="626">G2165</f>
        <v>793000.59</v>
      </c>
      <c r="H2164" s="87">
        <f t="shared" si="626"/>
        <v>0</v>
      </c>
      <c r="I2164" s="87">
        <f t="shared" si="626"/>
        <v>0</v>
      </c>
      <c r="J2164" s="173"/>
      <c r="K2164" s="194"/>
      <c r="L2164" s="194"/>
      <c r="M2164" s="194"/>
      <c r="N2164" s="194"/>
      <c r="O2164" s="194"/>
      <c r="P2164" s="194"/>
      <c r="Q2164" s="194"/>
      <c r="R2164" s="194"/>
    </row>
    <row r="2165" spans="1:20" s="3" customFormat="1" ht="26.4">
      <c r="A2165" s="16" t="s">
        <v>37</v>
      </c>
      <c r="B2165" s="14">
        <v>793</v>
      </c>
      <c r="C2165" s="15" t="s">
        <v>18</v>
      </c>
      <c r="D2165" s="15" t="s">
        <v>22</v>
      </c>
      <c r="E2165" s="84" t="s">
        <v>270</v>
      </c>
      <c r="F2165" s="84" t="s">
        <v>38</v>
      </c>
      <c r="G2165" s="87">
        <f>прил4!G1675+прил4!G1881+прил4!G2344+прил4!G1815+прил4!G2163</f>
        <v>793000.59</v>
      </c>
      <c r="H2165" s="87">
        <v>0</v>
      </c>
      <c r="I2165" s="87">
        <v>0</v>
      </c>
      <c r="J2165" s="173"/>
      <c r="K2165" s="194"/>
      <c r="L2165" s="194"/>
      <c r="M2165" s="194"/>
      <c r="N2165" s="194"/>
      <c r="O2165" s="194"/>
      <c r="P2165" s="194"/>
      <c r="Q2165" s="194"/>
      <c r="R2165" s="194"/>
    </row>
    <row r="2166" spans="1:20" s="90" customFormat="1" ht="30.75" customHeight="1">
      <c r="A2166" s="82" t="s">
        <v>348</v>
      </c>
      <c r="B2166" s="145">
        <v>793</v>
      </c>
      <c r="C2166" s="84" t="s">
        <v>68</v>
      </c>
      <c r="D2166" s="84" t="s">
        <v>69</v>
      </c>
      <c r="E2166" s="84" t="s">
        <v>270</v>
      </c>
      <c r="F2166" s="84" t="s">
        <v>145</v>
      </c>
      <c r="G2166" s="87">
        <f>G2167</f>
        <v>75000</v>
      </c>
      <c r="H2166" s="87">
        <f>H2167</f>
        <v>0</v>
      </c>
      <c r="I2166" s="87">
        <f>I2167</f>
        <v>0</v>
      </c>
      <c r="J2166" s="123"/>
      <c r="P2166" s="123"/>
      <c r="Q2166" s="123"/>
      <c r="R2166" s="123"/>
      <c r="S2166" s="123"/>
      <c r="T2166" s="123"/>
    </row>
    <row r="2167" spans="1:20" s="90" customFormat="1" ht="30.75" customHeight="1">
      <c r="A2167" s="82" t="s">
        <v>344</v>
      </c>
      <c r="B2167" s="145">
        <v>793</v>
      </c>
      <c r="C2167" s="84" t="s">
        <v>68</v>
      </c>
      <c r="D2167" s="84" t="s">
        <v>69</v>
      </c>
      <c r="E2167" s="84" t="s">
        <v>270</v>
      </c>
      <c r="F2167" s="84" t="s">
        <v>147</v>
      </c>
      <c r="G2167" s="70">
        <f>прил4!G2773</f>
        <v>75000</v>
      </c>
      <c r="H2167" s="87">
        <f>прил4!H2773</f>
        <v>0</v>
      </c>
      <c r="I2167" s="87">
        <f>прил4!I2773</f>
        <v>0</v>
      </c>
      <c r="J2167" s="123"/>
      <c r="P2167" s="123"/>
      <c r="Q2167" s="123"/>
      <c r="R2167" s="123"/>
      <c r="S2167" s="123"/>
      <c r="T2167" s="123"/>
    </row>
    <row r="2168" spans="1:20" s="3" customFormat="1" ht="26.4">
      <c r="A2168" s="82" t="s">
        <v>29</v>
      </c>
      <c r="B2168" s="145">
        <v>774</v>
      </c>
      <c r="C2168" s="84" t="s">
        <v>25</v>
      </c>
      <c r="D2168" s="84" t="s">
        <v>18</v>
      </c>
      <c r="E2168" s="84" t="s">
        <v>270</v>
      </c>
      <c r="F2168" s="84" t="s">
        <v>30</v>
      </c>
      <c r="G2168" s="87">
        <f>G2169</f>
        <v>105521.85</v>
      </c>
      <c r="H2168" s="87">
        <f>H2169</f>
        <v>0</v>
      </c>
      <c r="I2168" s="87">
        <f>I2169</f>
        <v>0</v>
      </c>
      <c r="J2168" s="173"/>
      <c r="K2168" s="194"/>
      <c r="L2168" s="194"/>
      <c r="M2168" s="194"/>
      <c r="N2168" s="194"/>
      <c r="O2168" s="194"/>
      <c r="P2168" s="194"/>
      <c r="Q2168" s="194"/>
      <c r="R2168" s="194"/>
    </row>
    <row r="2169" spans="1:20" s="3" customFormat="1">
      <c r="A2169" s="82" t="s">
        <v>31</v>
      </c>
      <c r="B2169" s="145">
        <v>774</v>
      </c>
      <c r="C2169" s="84" t="s">
        <v>25</v>
      </c>
      <c r="D2169" s="84" t="s">
        <v>18</v>
      </c>
      <c r="E2169" s="84" t="s">
        <v>270</v>
      </c>
      <c r="F2169" s="84" t="s">
        <v>32</v>
      </c>
      <c r="G2169" s="87">
        <f>прил4!G787+прил4!G1121</f>
        <v>105521.85</v>
      </c>
      <c r="H2169" s="87">
        <v>0</v>
      </c>
      <c r="I2169" s="87">
        <v>0</v>
      </c>
      <c r="J2169" s="173"/>
      <c r="K2169" s="194"/>
      <c r="L2169" s="194"/>
      <c r="M2169" s="194"/>
      <c r="N2169" s="194"/>
      <c r="O2169" s="194"/>
      <c r="P2169" s="194"/>
      <c r="Q2169" s="194"/>
      <c r="R2169" s="194"/>
    </row>
    <row r="2170" spans="1:20" s="90" customFormat="1">
      <c r="A2170" s="82" t="s">
        <v>62</v>
      </c>
      <c r="B2170" s="145">
        <v>793</v>
      </c>
      <c r="C2170" s="84" t="s">
        <v>18</v>
      </c>
      <c r="D2170" s="84" t="s">
        <v>71</v>
      </c>
      <c r="E2170" s="84" t="s">
        <v>270</v>
      </c>
      <c r="F2170" s="84" t="s">
        <v>63</v>
      </c>
      <c r="G2170" s="87">
        <f>G2171</f>
        <v>19477.559999999998</v>
      </c>
      <c r="H2170" s="87">
        <f>H2171</f>
        <v>1000000</v>
      </c>
      <c r="I2170" s="87">
        <f>I2171</f>
        <v>1000000</v>
      </c>
      <c r="J2170" s="123"/>
      <c r="P2170" s="123"/>
      <c r="Q2170" s="123"/>
      <c r="R2170" s="123"/>
      <c r="S2170" s="123"/>
      <c r="T2170" s="123"/>
    </row>
    <row r="2171" spans="1:20" s="90" customFormat="1" ht="19.5" customHeight="1">
      <c r="A2171" s="82" t="s">
        <v>174</v>
      </c>
      <c r="B2171" s="145">
        <v>793</v>
      </c>
      <c r="C2171" s="84" t="s">
        <v>18</v>
      </c>
      <c r="D2171" s="84" t="s">
        <v>71</v>
      </c>
      <c r="E2171" s="84" t="s">
        <v>270</v>
      </c>
      <c r="F2171" s="84" t="s">
        <v>175</v>
      </c>
      <c r="G2171" s="87">
        <f>прил4!G1586</f>
        <v>19477.559999999998</v>
      </c>
      <c r="H2171" s="87">
        <f>прил4!H1586</f>
        <v>1000000</v>
      </c>
      <c r="I2171" s="87">
        <f>прил4!I1586</f>
        <v>1000000</v>
      </c>
      <c r="J2171" s="123"/>
      <c r="P2171" s="123"/>
      <c r="Q2171" s="123"/>
      <c r="R2171" s="123"/>
      <c r="S2171" s="123"/>
      <c r="T2171" s="123"/>
    </row>
    <row r="2172" spans="1:20" s="157" customFormat="1" ht="21.75" customHeight="1">
      <c r="A2172" s="154" t="s">
        <v>1462</v>
      </c>
      <c r="B2172" s="151">
        <v>793</v>
      </c>
      <c r="C2172" s="152" t="s">
        <v>18</v>
      </c>
      <c r="D2172" s="152" t="s">
        <v>71</v>
      </c>
      <c r="E2172" s="152" t="s">
        <v>1461</v>
      </c>
      <c r="F2172" s="155"/>
      <c r="G2172" s="153">
        <f>G2188</f>
        <v>225098.28</v>
      </c>
      <c r="H2172" s="153">
        <f t="shared" ref="H2172:I2172" si="627">H2188</f>
        <v>0</v>
      </c>
      <c r="I2172" s="153">
        <f t="shared" si="627"/>
        <v>0</v>
      </c>
      <c r="J2172" s="156">
        <v>1000000</v>
      </c>
      <c r="P2172" s="156"/>
      <c r="Q2172" s="156"/>
      <c r="R2172" s="156"/>
      <c r="S2172" s="156"/>
      <c r="T2172" s="156"/>
    </row>
    <row r="2173" spans="1:20" ht="24" hidden="1" customHeight="1">
      <c r="A2173" s="128" t="s">
        <v>144</v>
      </c>
      <c r="B2173" s="49">
        <v>795</v>
      </c>
      <c r="C2173" s="15" t="s">
        <v>68</v>
      </c>
      <c r="D2173" s="15" t="s">
        <v>69</v>
      </c>
      <c r="E2173" s="15" t="s">
        <v>270</v>
      </c>
      <c r="F2173" s="15" t="s">
        <v>145</v>
      </c>
      <c r="G2173" s="70">
        <f>G2174</f>
        <v>0</v>
      </c>
      <c r="H2173" s="70">
        <f>H2174</f>
        <v>0</v>
      </c>
      <c r="I2173" s="70">
        <f>I2174</f>
        <v>0</v>
      </c>
      <c r="J2173" s="1"/>
    </row>
    <row r="2174" spans="1:20" ht="18" hidden="1" customHeight="1">
      <c r="A2174" s="16" t="s">
        <v>146</v>
      </c>
      <c r="B2174" s="49">
        <v>795</v>
      </c>
      <c r="C2174" s="15" t="s">
        <v>68</v>
      </c>
      <c r="D2174" s="15" t="s">
        <v>69</v>
      </c>
      <c r="E2174" s="15" t="s">
        <v>270</v>
      </c>
      <c r="F2174" s="15" t="s">
        <v>147</v>
      </c>
      <c r="G2174" s="70"/>
      <c r="H2174" s="70"/>
      <c r="I2174" s="70"/>
      <c r="J2174" s="1"/>
    </row>
    <row r="2175" spans="1:20" s="90" customFormat="1" hidden="1">
      <c r="A2175" s="82" t="s">
        <v>316</v>
      </c>
      <c r="B2175" s="145">
        <v>793</v>
      </c>
      <c r="C2175" s="84" t="s">
        <v>53</v>
      </c>
      <c r="D2175" s="84" t="s">
        <v>120</v>
      </c>
      <c r="E2175" s="84" t="s">
        <v>270</v>
      </c>
      <c r="F2175" s="84" t="s">
        <v>36</v>
      </c>
      <c r="G2175" s="87">
        <f>G2176</f>
        <v>0</v>
      </c>
      <c r="H2175" s="87">
        <f>H2176</f>
        <v>0</v>
      </c>
      <c r="I2175" s="87">
        <f>I2176</f>
        <v>0</v>
      </c>
      <c r="J2175" s="123"/>
      <c r="P2175" s="123"/>
      <c r="Q2175" s="123"/>
      <c r="R2175" s="123"/>
      <c r="S2175" s="123"/>
      <c r="T2175" s="123"/>
    </row>
    <row r="2176" spans="1:20" s="90" customFormat="1" ht="27.75" hidden="1" customHeight="1">
      <c r="A2176" s="82" t="s">
        <v>37</v>
      </c>
      <c r="B2176" s="145">
        <v>793</v>
      </c>
      <c r="C2176" s="84" t="s">
        <v>53</v>
      </c>
      <c r="D2176" s="84" t="s">
        <v>120</v>
      </c>
      <c r="E2176" s="84" t="s">
        <v>270</v>
      </c>
      <c r="F2176" s="84" t="s">
        <v>38</v>
      </c>
      <c r="G2176" s="87">
        <f>прил4!G3008+прил4!G3124</f>
        <v>0</v>
      </c>
      <c r="H2176" s="87">
        <f>прил4!H1834+прил4!H3002</f>
        <v>0</v>
      </c>
      <c r="I2176" s="87">
        <f>прил4!I1834+прил4!I3002</f>
        <v>0</v>
      </c>
      <c r="J2176" s="123"/>
      <c r="P2176" s="123"/>
      <c r="Q2176" s="123"/>
      <c r="R2176" s="123"/>
      <c r="S2176" s="123"/>
      <c r="T2176" s="123"/>
    </row>
    <row r="2177" spans="1:20" s="90" customFormat="1" ht="27.75" hidden="1" customHeight="1">
      <c r="A2177" s="16" t="s">
        <v>316</v>
      </c>
      <c r="B2177" s="14">
        <v>793</v>
      </c>
      <c r="C2177" s="15" t="s">
        <v>18</v>
      </c>
      <c r="D2177" s="15" t="s">
        <v>22</v>
      </c>
      <c r="E2177" s="15" t="s">
        <v>270</v>
      </c>
      <c r="F2177" s="15" t="s">
        <v>36</v>
      </c>
      <c r="G2177" s="87">
        <f>G2178</f>
        <v>1916090</v>
      </c>
      <c r="H2177" s="87"/>
      <c r="I2177" s="87"/>
      <c r="J2177" s="123"/>
      <c r="P2177" s="123"/>
      <c r="Q2177" s="123"/>
      <c r="R2177" s="123"/>
      <c r="S2177" s="123"/>
      <c r="T2177" s="123"/>
    </row>
    <row r="2178" spans="1:20" s="90" customFormat="1" ht="27.75" hidden="1" customHeight="1">
      <c r="A2178" s="16" t="s">
        <v>37</v>
      </c>
      <c r="B2178" s="14">
        <v>793</v>
      </c>
      <c r="C2178" s="15" t="s">
        <v>18</v>
      </c>
      <c r="D2178" s="15" t="s">
        <v>22</v>
      </c>
      <c r="E2178" s="15" t="s">
        <v>270</v>
      </c>
      <c r="F2178" s="15" t="s">
        <v>38</v>
      </c>
      <c r="G2178" s="87">
        <f>прил4!G1713+прил4!G595+прил4!G1895+прил4!G2110+прил4!G2716</f>
        <v>1916090</v>
      </c>
      <c r="H2178" s="87"/>
      <c r="I2178" s="87"/>
      <c r="J2178" s="123"/>
      <c r="P2178" s="123"/>
      <c r="Q2178" s="123"/>
      <c r="R2178" s="123"/>
      <c r="S2178" s="123"/>
      <c r="T2178" s="123"/>
    </row>
    <row r="2179" spans="1:20" s="90" customFormat="1" ht="30.75" hidden="1" customHeight="1">
      <c r="A2179" s="82" t="s">
        <v>152</v>
      </c>
      <c r="B2179" s="145">
        <v>793</v>
      </c>
      <c r="C2179" s="84" t="s">
        <v>167</v>
      </c>
      <c r="D2179" s="84" t="s">
        <v>69</v>
      </c>
      <c r="E2179" s="84" t="s">
        <v>270</v>
      </c>
      <c r="F2179" s="84" t="s">
        <v>153</v>
      </c>
      <c r="G2179" s="87">
        <f>G2180</f>
        <v>160990.05000000028</v>
      </c>
      <c r="H2179" s="87">
        <v>0</v>
      </c>
      <c r="I2179" s="87">
        <v>0</v>
      </c>
      <c r="P2179" s="123"/>
      <c r="Q2179" s="123"/>
      <c r="R2179" s="123"/>
      <c r="S2179" s="123"/>
      <c r="T2179" s="123"/>
    </row>
    <row r="2180" spans="1:20" s="90" customFormat="1" ht="30.75" hidden="1" customHeight="1">
      <c r="A2180" s="82" t="s">
        <v>172</v>
      </c>
      <c r="B2180" s="145">
        <v>793</v>
      </c>
      <c r="C2180" s="84" t="s">
        <v>167</v>
      </c>
      <c r="D2180" s="84" t="s">
        <v>69</v>
      </c>
      <c r="E2180" s="84" t="s">
        <v>270</v>
      </c>
      <c r="F2180" s="84" t="s">
        <v>173</v>
      </c>
      <c r="G2180" s="87">
        <f>прил4!G2112+прил4!G1736+прил4!G1897+прил4!G2409+прил4!G2722+прил4!G2492</f>
        <v>160990.05000000028</v>
      </c>
      <c r="H2180" s="87">
        <f>прил4!H2112+прил4!H1736+прил4!H1897+прил4!H2409</f>
        <v>0</v>
      </c>
      <c r="I2180" s="87">
        <f>прил4!I2112+прил4!I1736+прил4!I1897+прил4!I2409</f>
        <v>0</v>
      </c>
      <c r="P2180" s="123"/>
      <c r="Q2180" s="123"/>
      <c r="R2180" s="123"/>
      <c r="S2180" s="123"/>
      <c r="T2180" s="123"/>
    </row>
    <row r="2181" spans="1:20" s="90" customFormat="1" hidden="1">
      <c r="A2181" s="82" t="s">
        <v>62</v>
      </c>
      <c r="B2181" s="84" t="s">
        <v>92</v>
      </c>
      <c r="C2181" s="84" t="s">
        <v>25</v>
      </c>
      <c r="D2181" s="84" t="s">
        <v>27</v>
      </c>
      <c r="E2181" s="84" t="s">
        <v>270</v>
      </c>
      <c r="F2181" s="84" t="s">
        <v>30</v>
      </c>
      <c r="G2181" s="87">
        <f>G2182</f>
        <v>0</v>
      </c>
      <c r="H2181" s="87">
        <f>H2182</f>
        <v>0</v>
      </c>
      <c r="I2181" s="87">
        <f>I2182</f>
        <v>0</v>
      </c>
      <c r="J2181" s="123"/>
      <c r="P2181" s="123"/>
      <c r="Q2181" s="123"/>
      <c r="R2181" s="123"/>
      <c r="S2181" s="123"/>
      <c r="T2181" s="123"/>
    </row>
    <row r="2182" spans="1:20" s="90" customFormat="1" ht="19.5" hidden="1" customHeight="1">
      <c r="A2182" s="82" t="s">
        <v>174</v>
      </c>
      <c r="B2182" s="84" t="s">
        <v>92</v>
      </c>
      <c r="C2182" s="84" t="s">
        <v>25</v>
      </c>
      <c r="D2182" s="84" t="s">
        <v>27</v>
      </c>
      <c r="E2182" s="84" t="s">
        <v>270</v>
      </c>
      <c r="F2182" s="84" t="s">
        <v>32</v>
      </c>
      <c r="G2182" s="87">
        <f>прил4!G339+прил4!G1101</f>
        <v>0</v>
      </c>
      <c r="H2182" s="87"/>
      <c r="I2182" s="87"/>
      <c r="J2182" s="123"/>
      <c r="P2182" s="123"/>
      <c r="Q2182" s="123"/>
      <c r="R2182" s="123"/>
      <c r="S2182" s="123"/>
      <c r="T2182" s="123"/>
    </row>
    <row r="2183" spans="1:20" ht="24" hidden="1" customHeight="1">
      <c r="A2183" s="16" t="s">
        <v>29</v>
      </c>
      <c r="B2183" s="49">
        <v>795</v>
      </c>
      <c r="C2183" s="15" t="s">
        <v>43</v>
      </c>
      <c r="D2183" s="15" t="s">
        <v>18</v>
      </c>
      <c r="E2183" s="15" t="s">
        <v>270</v>
      </c>
      <c r="F2183" s="15" t="s">
        <v>30</v>
      </c>
      <c r="G2183" s="70">
        <f>G2184</f>
        <v>0</v>
      </c>
      <c r="H2183" s="70">
        <f>H2184</f>
        <v>0</v>
      </c>
      <c r="I2183" s="70">
        <f>I2184</f>
        <v>0</v>
      </c>
      <c r="J2183" s="1"/>
    </row>
    <row r="2184" spans="1:20" ht="18" hidden="1" customHeight="1">
      <c r="A2184" s="16" t="s">
        <v>31</v>
      </c>
      <c r="B2184" s="49">
        <v>795</v>
      </c>
      <c r="C2184" s="15" t="s">
        <v>43</v>
      </c>
      <c r="D2184" s="15" t="s">
        <v>18</v>
      </c>
      <c r="E2184" s="15" t="s">
        <v>270</v>
      </c>
      <c r="F2184" s="15" t="s">
        <v>32</v>
      </c>
      <c r="G2184" s="70"/>
      <c r="H2184" s="70"/>
      <c r="I2184" s="70"/>
      <c r="J2184" s="1"/>
    </row>
    <row r="2185" spans="1:20" ht="18" hidden="1" customHeight="1">
      <c r="A2185" s="82" t="s">
        <v>29</v>
      </c>
      <c r="B2185" s="49"/>
      <c r="C2185" s="15"/>
      <c r="D2185" s="15"/>
      <c r="E2185" s="84" t="s">
        <v>270</v>
      </c>
      <c r="F2185" s="15" t="s">
        <v>30</v>
      </c>
      <c r="G2185" s="70">
        <f>G2186</f>
        <v>11663098.109999999</v>
      </c>
      <c r="H2185" s="70"/>
      <c r="I2185" s="70"/>
      <c r="J2185" s="1"/>
    </row>
    <row r="2186" spans="1:20" ht="18" hidden="1" customHeight="1">
      <c r="A2186" s="16" t="s">
        <v>31</v>
      </c>
      <c r="B2186" s="49"/>
      <c r="C2186" s="15"/>
      <c r="D2186" s="15"/>
      <c r="E2186" s="84" t="s">
        <v>270</v>
      </c>
      <c r="F2186" s="15" t="s">
        <v>32</v>
      </c>
      <c r="G2186" s="70">
        <f>прил4!G471+прил4!G1280</f>
        <v>11663098.109999999</v>
      </c>
      <c r="H2186" s="70"/>
      <c r="I2186" s="70"/>
      <c r="J2186" s="1"/>
    </row>
    <row r="2187" spans="1:20" s="90" customFormat="1" hidden="1">
      <c r="A2187" s="82" t="s">
        <v>31</v>
      </c>
      <c r="B2187" s="145">
        <v>757</v>
      </c>
      <c r="C2187" s="84" t="s">
        <v>43</v>
      </c>
      <c r="D2187" s="84" t="s">
        <v>18</v>
      </c>
      <c r="E2187" s="84" t="s">
        <v>270</v>
      </c>
      <c r="F2187" s="84" t="s">
        <v>32</v>
      </c>
      <c r="G2187" s="85"/>
      <c r="H2187" s="85"/>
      <c r="I2187" s="85"/>
      <c r="J2187" s="123"/>
      <c r="P2187" s="123"/>
      <c r="Q2187" s="123"/>
      <c r="R2187" s="123"/>
      <c r="S2187" s="123"/>
      <c r="T2187" s="123"/>
    </row>
    <row r="2188" spans="1:20" s="3" customFormat="1">
      <c r="A2188" s="82" t="s">
        <v>1278</v>
      </c>
      <c r="B2188" s="145">
        <v>774</v>
      </c>
      <c r="C2188" s="84" t="s">
        <v>25</v>
      </c>
      <c r="D2188" s="84" t="s">
        <v>18</v>
      </c>
      <c r="E2188" s="84" t="s">
        <v>1463</v>
      </c>
      <c r="F2188" s="84"/>
      <c r="G2188" s="87">
        <f>G2189</f>
        <v>225098.28</v>
      </c>
      <c r="H2188" s="87">
        <f>H2193</f>
        <v>0</v>
      </c>
      <c r="I2188" s="87">
        <f>I2193</f>
        <v>0</v>
      </c>
      <c r="J2188" s="173"/>
      <c r="K2188" s="194"/>
      <c r="L2188" s="194"/>
      <c r="M2188" s="194"/>
      <c r="N2188" s="194"/>
      <c r="O2188" s="194"/>
      <c r="P2188" s="194"/>
      <c r="Q2188" s="194"/>
      <c r="R2188" s="194"/>
    </row>
    <row r="2189" spans="1:20" s="3" customFormat="1" ht="26.4">
      <c r="A2189" s="82" t="s">
        <v>29</v>
      </c>
      <c r="B2189" s="14">
        <v>793</v>
      </c>
      <c r="C2189" s="15" t="s">
        <v>18</v>
      </c>
      <c r="D2189" s="15" t="s">
        <v>22</v>
      </c>
      <c r="E2189" s="84" t="s">
        <v>1463</v>
      </c>
      <c r="F2189" s="84" t="s">
        <v>30</v>
      </c>
      <c r="G2189" s="87">
        <f t="shared" ref="G2189:I2189" si="628">G2190</f>
        <v>225098.28</v>
      </c>
      <c r="H2189" s="87">
        <f t="shared" si="628"/>
        <v>0</v>
      </c>
      <c r="I2189" s="87">
        <f t="shared" si="628"/>
        <v>0</v>
      </c>
      <c r="J2189" s="173"/>
      <c r="K2189" s="194"/>
      <c r="L2189" s="194"/>
      <c r="M2189" s="194"/>
      <c r="N2189" s="194"/>
      <c r="O2189" s="194"/>
      <c r="P2189" s="194"/>
      <c r="Q2189" s="194"/>
      <c r="R2189" s="194"/>
    </row>
    <row r="2190" spans="1:20" s="3" customFormat="1">
      <c r="A2190" s="82" t="s">
        <v>31</v>
      </c>
      <c r="B2190" s="14">
        <v>793</v>
      </c>
      <c r="C2190" s="15" t="s">
        <v>18</v>
      </c>
      <c r="D2190" s="15" t="s">
        <v>22</v>
      </c>
      <c r="E2190" s="84" t="s">
        <v>1463</v>
      </c>
      <c r="F2190" s="84" t="s">
        <v>32</v>
      </c>
      <c r="G2190" s="87">
        <f>прил4!G1125</f>
        <v>225098.28</v>
      </c>
      <c r="H2190" s="87">
        <v>0</v>
      </c>
      <c r="I2190" s="87">
        <v>0</v>
      </c>
      <c r="J2190" s="173"/>
      <c r="K2190" s="194"/>
      <c r="L2190" s="194"/>
      <c r="M2190" s="194"/>
      <c r="N2190" s="194"/>
      <c r="O2190" s="194"/>
      <c r="P2190" s="194"/>
      <c r="Q2190" s="194"/>
      <c r="R2190" s="194"/>
    </row>
    <row r="2191" spans="1:20" s="146" customFormat="1" ht="33.75" customHeight="1">
      <c r="A2191" s="150" t="s">
        <v>1416</v>
      </c>
      <c r="B2191" s="151">
        <v>793</v>
      </c>
      <c r="C2191" s="36" t="s">
        <v>167</v>
      </c>
      <c r="D2191" s="36" t="s">
        <v>18</v>
      </c>
      <c r="E2191" s="158" t="s">
        <v>1415</v>
      </c>
      <c r="F2191" s="152"/>
      <c r="G2191" s="71">
        <f>G2197+G2201</f>
        <v>618733.69999999995</v>
      </c>
      <c r="H2191" s="71">
        <f t="shared" ref="H2191:M2191" si="629">H2197+H2201</f>
        <v>0</v>
      </c>
      <c r="I2191" s="71">
        <f t="shared" si="629"/>
        <v>0</v>
      </c>
      <c r="J2191" s="70">
        <f t="shared" si="629"/>
        <v>0</v>
      </c>
      <c r="K2191" s="70">
        <f t="shared" si="629"/>
        <v>0</v>
      </c>
      <c r="L2191" s="70">
        <f t="shared" si="629"/>
        <v>0</v>
      </c>
      <c r="M2191" s="70">
        <f t="shared" si="629"/>
        <v>0</v>
      </c>
      <c r="P2191" s="148"/>
      <c r="Q2191" s="148"/>
      <c r="R2191" s="148"/>
      <c r="S2191" s="148"/>
      <c r="T2191" s="148"/>
    </row>
    <row r="2192" spans="1:20" s="122" customFormat="1" ht="51.75" hidden="1" customHeight="1">
      <c r="A2192" s="82" t="s">
        <v>612</v>
      </c>
      <c r="B2192" s="145">
        <v>793</v>
      </c>
      <c r="C2192" s="15" t="s">
        <v>167</v>
      </c>
      <c r="D2192" s="15" t="s">
        <v>18</v>
      </c>
      <c r="E2192" s="84" t="s">
        <v>613</v>
      </c>
      <c r="F2192" s="84"/>
      <c r="G2192" s="70">
        <f t="shared" ref="G2192:I2193" si="630">G2193</f>
        <v>160990.05000000028</v>
      </c>
      <c r="H2192" s="87">
        <f t="shared" si="630"/>
        <v>0</v>
      </c>
      <c r="I2192" s="87">
        <f t="shared" si="630"/>
        <v>0</v>
      </c>
      <c r="J2192" s="121"/>
      <c r="P2192" s="121"/>
      <c r="Q2192" s="121"/>
      <c r="R2192" s="121"/>
      <c r="S2192" s="121"/>
      <c r="T2192" s="121"/>
    </row>
    <row r="2193" spans="1:20" s="122" customFormat="1" ht="26.25" hidden="1" customHeight="1">
      <c r="A2193" s="82" t="s">
        <v>316</v>
      </c>
      <c r="B2193" s="145">
        <v>793</v>
      </c>
      <c r="C2193" s="15" t="s">
        <v>167</v>
      </c>
      <c r="D2193" s="15" t="s">
        <v>18</v>
      </c>
      <c r="E2193" s="84" t="s">
        <v>613</v>
      </c>
      <c r="F2193" s="84" t="s">
        <v>36</v>
      </c>
      <c r="G2193" s="70">
        <f t="shared" si="630"/>
        <v>160990.05000000028</v>
      </c>
      <c r="H2193" s="87">
        <f t="shared" si="630"/>
        <v>0</v>
      </c>
      <c r="I2193" s="87">
        <f t="shared" si="630"/>
        <v>0</v>
      </c>
      <c r="J2193" s="121"/>
      <c r="P2193" s="121"/>
      <c r="Q2193" s="121"/>
      <c r="R2193" s="121"/>
      <c r="S2193" s="121"/>
      <c r="T2193" s="121"/>
    </row>
    <row r="2194" spans="1:20" s="122" customFormat="1" ht="26.25" hidden="1" customHeight="1">
      <c r="A2194" s="82" t="s">
        <v>37</v>
      </c>
      <c r="B2194" s="145">
        <v>793</v>
      </c>
      <c r="C2194" s="15" t="s">
        <v>167</v>
      </c>
      <c r="D2194" s="15" t="s">
        <v>18</v>
      </c>
      <c r="E2194" s="84" t="s">
        <v>613</v>
      </c>
      <c r="F2194" s="84" t="s">
        <v>38</v>
      </c>
      <c r="G2194" s="70">
        <f>прил4!G1736</f>
        <v>160990.05000000028</v>
      </c>
      <c r="H2194" s="87"/>
      <c r="I2194" s="87"/>
      <c r="J2194" s="121"/>
      <c r="P2194" s="121"/>
      <c r="Q2194" s="121"/>
      <c r="R2194" s="121"/>
      <c r="S2194" s="121"/>
      <c r="T2194" s="121"/>
    </row>
    <row r="2195" spans="1:20" ht="29.25" hidden="1" customHeight="1">
      <c r="A2195" s="16" t="s">
        <v>316</v>
      </c>
      <c r="B2195" s="15" t="s">
        <v>92</v>
      </c>
      <c r="C2195" s="15" t="s">
        <v>167</v>
      </c>
      <c r="D2195" s="15" t="s">
        <v>18</v>
      </c>
      <c r="E2195" s="15" t="s">
        <v>205</v>
      </c>
      <c r="F2195" s="15" t="s">
        <v>36</v>
      </c>
      <c r="G2195" s="70">
        <f>G2196</f>
        <v>0</v>
      </c>
      <c r="H2195" s="70"/>
      <c r="I2195" s="70"/>
    </row>
    <row r="2196" spans="1:20" ht="36.75" hidden="1" customHeight="1">
      <c r="A2196" s="16" t="s">
        <v>37</v>
      </c>
      <c r="B2196" s="15" t="s">
        <v>92</v>
      </c>
      <c r="C2196" s="15" t="s">
        <v>167</v>
      </c>
      <c r="D2196" s="15" t="s">
        <v>18</v>
      </c>
      <c r="E2196" s="15" t="s">
        <v>205</v>
      </c>
      <c r="F2196" s="15" t="s">
        <v>38</v>
      </c>
      <c r="G2196" s="70">
        <f>прил4!G3317</f>
        <v>0</v>
      </c>
      <c r="H2196" s="70"/>
      <c r="I2196" s="70"/>
    </row>
    <row r="2197" spans="1:20">
      <c r="A2197" s="16" t="s">
        <v>316</v>
      </c>
      <c r="B2197" s="14">
        <v>793</v>
      </c>
      <c r="C2197" s="15" t="s">
        <v>167</v>
      </c>
      <c r="D2197" s="15" t="s">
        <v>18</v>
      </c>
      <c r="E2197" s="15" t="s">
        <v>1417</v>
      </c>
      <c r="F2197" s="15" t="s">
        <v>36</v>
      </c>
      <c r="G2197" s="70">
        <f t="shared" ref="G2197:I2197" si="631">G2198</f>
        <v>116733.7</v>
      </c>
      <c r="H2197" s="70">
        <f t="shared" si="631"/>
        <v>0</v>
      </c>
      <c r="I2197" s="70">
        <f t="shared" si="631"/>
        <v>0</v>
      </c>
    </row>
    <row r="2198" spans="1:20" ht="35.25" customHeight="1">
      <c r="A2198" s="16" t="s">
        <v>37</v>
      </c>
      <c r="B2198" s="14">
        <v>793</v>
      </c>
      <c r="C2198" s="15" t="s">
        <v>167</v>
      </c>
      <c r="D2198" s="15" t="s">
        <v>18</v>
      </c>
      <c r="E2198" s="15" t="s">
        <v>1417</v>
      </c>
      <c r="F2198" s="15" t="s">
        <v>38</v>
      </c>
      <c r="G2198" s="70">
        <f>прил4!G2171+прил4!G2353</f>
        <v>116733.7</v>
      </c>
      <c r="H2198" s="70">
        <f>прил4!H1472</f>
        <v>0</v>
      </c>
      <c r="I2198" s="70">
        <f>прил4!I1472</f>
        <v>0</v>
      </c>
    </row>
    <row r="2199" spans="1:20" ht="29.25" hidden="1" customHeight="1">
      <c r="A2199" s="16" t="s">
        <v>316</v>
      </c>
      <c r="B2199" s="15" t="s">
        <v>92</v>
      </c>
      <c r="C2199" s="15" t="s">
        <v>167</v>
      </c>
      <c r="D2199" s="15" t="s">
        <v>18</v>
      </c>
      <c r="E2199" s="15" t="s">
        <v>205</v>
      </c>
      <c r="F2199" s="15" t="s">
        <v>36</v>
      </c>
      <c r="G2199" s="70">
        <f>G2200</f>
        <v>6487698.4100000001</v>
      </c>
      <c r="H2199" s="70"/>
      <c r="I2199" s="70"/>
    </row>
    <row r="2200" spans="1:20" ht="36.75" hidden="1" customHeight="1">
      <c r="A2200" s="16" t="s">
        <v>37</v>
      </c>
      <c r="B2200" s="15" t="s">
        <v>92</v>
      </c>
      <c r="C2200" s="15" t="s">
        <v>167</v>
      </c>
      <c r="D2200" s="15" t="s">
        <v>18</v>
      </c>
      <c r="E2200" s="15" t="s">
        <v>205</v>
      </c>
      <c r="F2200" s="15" t="s">
        <v>38</v>
      </c>
      <c r="G2200" s="70">
        <f>прил4!G3322</f>
        <v>6487698.4100000001</v>
      </c>
      <c r="H2200" s="70"/>
      <c r="I2200" s="70"/>
    </row>
    <row r="2201" spans="1:20">
      <c r="A2201" s="82" t="s">
        <v>62</v>
      </c>
      <c r="B2201" s="14">
        <v>793</v>
      </c>
      <c r="C2201" s="15" t="s">
        <v>167</v>
      </c>
      <c r="D2201" s="15" t="s">
        <v>18</v>
      </c>
      <c r="E2201" s="15" t="s">
        <v>1417</v>
      </c>
      <c r="F2201" s="15" t="s">
        <v>63</v>
      </c>
      <c r="G2201" s="70">
        <f t="shared" ref="G2201:I2201" si="632">G2202</f>
        <v>502000</v>
      </c>
      <c r="H2201" s="70">
        <f t="shared" si="632"/>
        <v>0</v>
      </c>
      <c r="I2201" s="70">
        <f t="shared" si="632"/>
        <v>0</v>
      </c>
    </row>
    <row r="2202" spans="1:20" ht="35.25" customHeight="1">
      <c r="A2202" s="82" t="s">
        <v>321</v>
      </c>
      <c r="B2202" s="14">
        <v>793</v>
      </c>
      <c r="C2202" s="15" t="s">
        <v>167</v>
      </c>
      <c r="D2202" s="15" t="s">
        <v>18</v>
      </c>
      <c r="E2202" s="15" t="s">
        <v>1417</v>
      </c>
      <c r="F2202" s="15" t="s">
        <v>320</v>
      </c>
      <c r="G2202" s="70">
        <f>прил4!G2175</f>
        <v>502000</v>
      </c>
      <c r="H2202" s="70">
        <f>прил4!H1477</f>
        <v>0</v>
      </c>
      <c r="I2202" s="70">
        <f>прил4!I1477</f>
        <v>0</v>
      </c>
    </row>
    <row r="2203" spans="1:20" s="122" customFormat="1" ht="26.25" customHeight="1">
      <c r="A2203" s="150" t="s">
        <v>158</v>
      </c>
      <c r="B2203" s="151">
        <v>793</v>
      </c>
      <c r="C2203" s="152" t="s">
        <v>18</v>
      </c>
      <c r="D2203" s="152" t="s">
        <v>22</v>
      </c>
      <c r="E2203" s="158" t="s">
        <v>204</v>
      </c>
      <c r="F2203" s="152"/>
      <c r="G2203" s="153">
        <f>G2210+G2245+G2254+G2259+G2281+G2284+G2287+G2278+G2207+G2290</f>
        <v>11597892.399999999</v>
      </c>
      <c r="H2203" s="153">
        <f t="shared" ref="H2203:I2203" si="633">H2204+H2210+H2217+H2220+H2235</f>
        <v>0</v>
      </c>
      <c r="I2203" s="153">
        <f t="shared" si="633"/>
        <v>0</v>
      </c>
      <c r="J2203" s="121">
        <v>1487719</v>
      </c>
      <c r="P2203" s="121"/>
      <c r="Q2203" s="121"/>
      <c r="R2203" s="121"/>
      <c r="S2203" s="121"/>
      <c r="T2203" s="121"/>
    </row>
    <row r="2204" spans="1:20" s="122" customFormat="1" ht="51.75" hidden="1" customHeight="1">
      <c r="A2204" s="82" t="s">
        <v>612</v>
      </c>
      <c r="B2204" s="145">
        <v>793</v>
      </c>
      <c r="C2204" s="84" t="s">
        <v>18</v>
      </c>
      <c r="D2204" s="84" t="s">
        <v>22</v>
      </c>
      <c r="E2204" s="84" t="s">
        <v>613</v>
      </c>
      <c r="F2204" s="84"/>
      <c r="G2204" s="87">
        <f t="shared" ref="G2204:I2205" si="634">G2205</f>
        <v>0</v>
      </c>
      <c r="H2204" s="87">
        <f t="shared" si="634"/>
        <v>0</v>
      </c>
      <c r="I2204" s="87">
        <f t="shared" si="634"/>
        <v>0</v>
      </c>
      <c r="J2204" s="121"/>
      <c r="P2204" s="121"/>
      <c r="Q2204" s="121"/>
      <c r="R2204" s="121"/>
      <c r="S2204" s="121"/>
      <c r="T2204" s="121"/>
    </row>
    <row r="2205" spans="1:20" s="122" customFormat="1" ht="26.25" hidden="1" customHeight="1">
      <c r="A2205" s="82" t="s">
        <v>316</v>
      </c>
      <c r="B2205" s="145">
        <v>793</v>
      </c>
      <c r="C2205" s="84" t="s">
        <v>18</v>
      </c>
      <c r="D2205" s="84" t="s">
        <v>22</v>
      </c>
      <c r="E2205" s="84" t="s">
        <v>613</v>
      </c>
      <c r="F2205" s="84" t="s">
        <v>36</v>
      </c>
      <c r="G2205" s="87">
        <f t="shared" si="634"/>
        <v>0</v>
      </c>
      <c r="H2205" s="87">
        <f t="shared" si="634"/>
        <v>0</v>
      </c>
      <c r="I2205" s="87">
        <f t="shared" si="634"/>
        <v>0</v>
      </c>
      <c r="J2205" s="121"/>
      <c r="P2205" s="121"/>
      <c r="Q2205" s="121"/>
      <c r="R2205" s="121"/>
      <c r="S2205" s="121"/>
      <c r="T2205" s="121"/>
    </row>
    <row r="2206" spans="1:20" s="122" customFormat="1" ht="26.25" hidden="1" customHeight="1">
      <c r="A2206" s="82" t="s">
        <v>37</v>
      </c>
      <c r="B2206" s="145">
        <v>793</v>
      </c>
      <c r="C2206" s="84" t="s">
        <v>18</v>
      </c>
      <c r="D2206" s="84" t="s">
        <v>22</v>
      </c>
      <c r="E2206" s="84" t="s">
        <v>613</v>
      </c>
      <c r="F2206" s="84" t="s">
        <v>38</v>
      </c>
      <c r="G2206" s="87">
        <f>прил4!G1700</f>
        <v>0</v>
      </c>
      <c r="H2206" s="87"/>
      <c r="I2206" s="87"/>
      <c r="J2206" s="121"/>
      <c r="P2206" s="121"/>
      <c r="Q2206" s="121"/>
      <c r="R2206" s="121"/>
      <c r="S2206" s="121"/>
      <c r="T2206" s="121"/>
    </row>
    <row r="2207" spans="1:20" ht="84.75" customHeight="1">
      <c r="A2207" s="82" t="s">
        <v>1435</v>
      </c>
      <c r="B2207" s="145">
        <v>792</v>
      </c>
      <c r="C2207" s="84" t="s">
        <v>18</v>
      </c>
      <c r="D2207" s="84" t="s">
        <v>22</v>
      </c>
      <c r="E2207" s="84" t="s">
        <v>1434</v>
      </c>
      <c r="F2207" s="84"/>
      <c r="G2207" s="87">
        <f>G2208</f>
        <v>0</v>
      </c>
      <c r="H2207" s="87">
        <f t="shared" ref="H2207:I2207" si="635">H2208</f>
        <v>0</v>
      </c>
      <c r="I2207" s="87">
        <f t="shared" si="635"/>
        <v>0</v>
      </c>
      <c r="J2207" s="173"/>
      <c r="K2207" s="181"/>
      <c r="L2207" s="181"/>
      <c r="M2207" s="181"/>
      <c r="N2207" s="181"/>
      <c r="O2207" s="181"/>
      <c r="P2207" s="181"/>
      <c r="Q2207" s="181"/>
      <c r="R2207" s="181"/>
      <c r="S2207" s="1"/>
      <c r="T2207" s="1"/>
    </row>
    <row r="2208" spans="1:20" ht="18.75" customHeight="1">
      <c r="A2208" s="82" t="s">
        <v>62</v>
      </c>
      <c r="B2208" s="145">
        <v>792</v>
      </c>
      <c r="C2208" s="84" t="s">
        <v>18</v>
      </c>
      <c r="D2208" s="84" t="s">
        <v>22</v>
      </c>
      <c r="E2208" s="84" t="s">
        <v>1434</v>
      </c>
      <c r="F2208" s="84" t="s">
        <v>63</v>
      </c>
      <c r="G2208" s="87">
        <f>G2209</f>
        <v>0</v>
      </c>
      <c r="H2208" s="87">
        <f>H2209</f>
        <v>0</v>
      </c>
      <c r="I2208" s="87">
        <f>I2209</f>
        <v>0</v>
      </c>
      <c r="J2208" s="173"/>
      <c r="K2208" s="181"/>
      <c r="L2208" s="181"/>
      <c r="M2208" s="181"/>
      <c r="N2208" s="181"/>
      <c r="O2208" s="181"/>
      <c r="P2208" s="181"/>
      <c r="Q2208" s="181"/>
      <c r="R2208" s="181"/>
      <c r="S2208" s="1"/>
      <c r="T2208" s="1"/>
    </row>
    <row r="2209" spans="1:20" ht="18.75" customHeight="1">
      <c r="A2209" s="82" t="s">
        <v>174</v>
      </c>
      <c r="B2209" s="145">
        <v>792</v>
      </c>
      <c r="C2209" s="84" t="s">
        <v>18</v>
      </c>
      <c r="D2209" s="84" t="s">
        <v>22</v>
      </c>
      <c r="E2209" s="84" t="s">
        <v>1434</v>
      </c>
      <c r="F2209" s="84" t="s">
        <v>175</v>
      </c>
      <c r="G2209" s="70">
        <f>прил4!G1440</f>
        <v>0</v>
      </c>
      <c r="H2209" s="87">
        <f>2000000-2000000</f>
        <v>0</v>
      </c>
      <c r="I2209" s="87">
        <f>4000000-4000000</f>
        <v>0</v>
      </c>
      <c r="J2209" s="173"/>
      <c r="K2209" s="181"/>
      <c r="L2209" s="181"/>
      <c r="M2209" s="181"/>
      <c r="N2209" s="181"/>
      <c r="O2209" s="181"/>
      <c r="P2209" s="181"/>
      <c r="Q2209" s="181"/>
      <c r="R2209" s="181"/>
      <c r="S2209" s="1"/>
      <c r="T2209" s="1"/>
    </row>
    <row r="2210" spans="1:20" s="90" customFormat="1" ht="20.25" customHeight="1">
      <c r="A2210" s="82" t="s">
        <v>326</v>
      </c>
      <c r="B2210" s="145">
        <v>793</v>
      </c>
      <c r="C2210" s="84" t="s">
        <v>18</v>
      </c>
      <c r="D2210" s="84" t="s">
        <v>22</v>
      </c>
      <c r="E2210" s="84" t="s">
        <v>205</v>
      </c>
      <c r="F2210" s="84"/>
      <c r="G2210" s="87">
        <f>G2211+G2215+G2214</f>
        <v>2897774.53</v>
      </c>
      <c r="H2210" s="87">
        <f t="shared" ref="H2210:I2210" si="636">H2215+H2223</f>
        <v>0</v>
      </c>
      <c r="I2210" s="87">
        <f t="shared" si="636"/>
        <v>0</v>
      </c>
      <c r="J2210" s="123"/>
      <c r="P2210" s="123"/>
      <c r="Q2210" s="123"/>
      <c r="R2210" s="123"/>
      <c r="S2210" s="123"/>
      <c r="T2210" s="123"/>
    </row>
    <row r="2211" spans="1:20" s="90" customFormat="1" ht="29.25" hidden="1" customHeight="1">
      <c r="A2211" s="16" t="s">
        <v>316</v>
      </c>
      <c r="B2211" s="84" t="s">
        <v>92</v>
      </c>
      <c r="C2211" s="84" t="s">
        <v>25</v>
      </c>
      <c r="D2211" s="84" t="s">
        <v>27</v>
      </c>
      <c r="E2211" s="84" t="s">
        <v>205</v>
      </c>
      <c r="F2211" s="84" t="s">
        <v>36</v>
      </c>
      <c r="G2211" s="87">
        <f>G2212</f>
        <v>0</v>
      </c>
      <c r="H2211" s="87"/>
      <c r="I2211" s="87"/>
      <c r="J2211" s="123"/>
      <c r="P2211" s="123"/>
      <c r="Q2211" s="123"/>
      <c r="R2211" s="123"/>
      <c r="S2211" s="123"/>
      <c r="T2211" s="123"/>
    </row>
    <row r="2212" spans="1:20" s="90" customFormat="1" ht="36.75" hidden="1" customHeight="1">
      <c r="A2212" s="16" t="s">
        <v>37</v>
      </c>
      <c r="B2212" s="84" t="s">
        <v>92</v>
      </c>
      <c r="C2212" s="84" t="s">
        <v>25</v>
      </c>
      <c r="D2212" s="84" t="s">
        <v>27</v>
      </c>
      <c r="E2212" s="84" t="s">
        <v>205</v>
      </c>
      <c r="F2212" s="84" t="s">
        <v>38</v>
      </c>
      <c r="G2212" s="87">
        <f>прил4!G3285</f>
        <v>0</v>
      </c>
      <c r="H2212" s="87"/>
      <c r="I2212" s="87"/>
      <c r="J2212" s="123"/>
      <c r="P2212" s="123"/>
      <c r="Q2212" s="123"/>
      <c r="R2212" s="123"/>
      <c r="S2212" s="123"/>
      <c r="T2212" s="123"/>
    </row>
    <row r="2213" spans="1:20" s="122" customFormat="1" ht="26.25" customHeight="1">
      <c r="A2213" s="82" t="s">
        <v>316</v>
      </c>
      <c r="B2213" s="145">
        <v>793</v>
      </c>
      <c r="C2213" s="84" t="s">
        <v>18</v>
      </c>
      <c r="D2213" s="84" t="s">
        <v>22</v>
      </c>
      <c r="E2213" s="84" t="s">
        <v>205</v>
      </c>
      <c r="F2213" s="84" t="s">
        <v>36</v>
      </c>
      <c r="G2213" s="87">
        <f t="shared" ref="G2213:I2213" si="637">G2214</f>
        <v>680765.1</v>
      </c>
      <c r="H2213" s="87">
        <f t="shared" si="637"/>
        <v>0</v>
      </c>
      <c r="I2213" s="87">
        <f t="shared" si="637"/>
        <v>0</v>
      </c>
      <c r="J2213" s="121"/>
      <c r="P2213" s="121"/>
      <c r="Q2213" s="121"/>
      <c r="R2213" s="121"/>
      <c r="S2213" s="121"/>
      <c r="T2213" s="121"/>
    </row>
    <row r="2214" spans="1:20" s="122" customFormat="1" ht="26.25" customHeight="1">
      <c r="A2214" s="82" t="s">
        <v>37</v>
      </c>
      <c r="B2214" s="145">
        <v>793</v>
      </c>
      <c r="C2214" s="84" t="s">
        <v>18</v>
      </c>
      <c r="D2214" s="84" t="s">
        <v>22</v>
      </c>
      <c r="E2214" s="84" t="s">
        <v>205</v>
      </c>
      <c r="F2214" s="84" t="s">
        <v>38</v>
      </c>
      <c r="G2214" s="87">
        <f>прил4!G2184+прил4!G1720+прил4!G2362+прил4!G2010+прил4!G2682</f>
        <v>680765.1</v>
      </c>
      <c r="H2214" s="87">
        <f>прил4!H2184+прил4!H1720</f>
        <v>0</v>
      </c>
      <c r="I2214" s="87">
        <f>прил4!I2184+прил4!I1720</f>
        <v>0</v>
      </c>
      <c r="J2214" s="121"/>
      <c r="P2214" s="121"/>
      <c r="Q2214" s="121"/>
      <c r="R2214" s="121"/>
      <c r="S2214" s="121"/>
      <c r="T2214" s="121"/>
    </row>
    <row r="2215" spans="1:20" s="90" customFormat="1">
      <c r="A2215" s="82" t="s">
        <v>62</v>
      </c>
      <c r="B2215" s="145">
        <v>792</v>
      </c>
      <c r="C2215" s="84" t="s">
        <v>18</v>
      </c>
      <c r="D2215" s="84" t="s">
        <v>22</v>
      </c>
      <c r="E2215" s="84" t="s">
        <v>205</v>
      </c>
      <c r="F2215" s="84" t="s">
        <v>63</v>
      </c>
      <c r="G2215" s="87">
        <f>G2216+G2244</f>
        <v>2217009.4299999997</v>
      </c>
      <c r="H2215" s="87">
        <f t="shared" ref="H2215:I2215" si="638">H2216</f>
        <v>0</v>
      </c>
      <c r="I2215" s="87">
        <f t="shared" si="638"/>
        <v>0</v>
      </c>
      <c r="J2215" s="123"/>
      <c r="P2215" s="123"/>
      <c r="Q2215" s="123"/>
      <c r="R2215" s="123"/>
      <c r="S2215" s="123"/>
      <c r="T2215" s="123"/>
    </row>
    <row r="2216" spans="1:20" s="90" customFormat="1" ht="18.75" customHeight="1">
      <c r="A2216" s="82" t="s">
        <v>321</v>
      </c>
      <c r="B2216" s="145"/>
      <c r="C2216" s="84"/>
      <c r="D2216" s="84"/>
      <c r="E2216" s="84" t="s">
        <v>205</v>
      </c>
      <c r="F2216" s="84" t="s">
        <v>320</v>
      </c>
      <c r="G2216" s="87">
        <f>прил4!G1443+прил4!G1722</f>
        <v>1471744.8599999999</v>
      </c>
      <c r="H2216" s="87">
        <f>прил4!H1443</f>
        <v>0</v>
      </c>
      <c r="I2216" s="87">
        <f>прил4!I1443</f>
        <v>0</v>
      </c>
      <c r="J2216" s="123"/>
      <c r="P2216" s="123"/>
      <c r="Q2216" s="123"/>
      <c r="R2216" s="123"/>
      <c r="S2216" s="123"/>
      <c r="T2216" s="123"/>
    </row>
    <row r="2217" spans="1:20" s="90" customFormat="1" ht="30.75" hidden="1" customHeight="1">
      <c r="A2217" s="82" t="s">
        <v>392</v>
      </c>
      <c r="B2217" s="145">
        <v>793</v>
      </c>
      <c r="C2217" s="84" t="s">
        <v>18</v>
      </c>
      <c r="D2217" s="84" t="s">
        <v>22</v>
      </c>
      <c r="E2217" s="84" t="s">
        <v>391</v>
      </c>
      <c r="F2217" s="84"/>
      <c r="G2217" s="87">
        <f t="shared" ref="G2217:I2217" si="639">G2218</f>
        <v>0</v>
      </c>
      <c r="H2217" s="87">
        <f t="shared" si="639"/>
        <v>0</v>
      </c>
      <c r="I2217" s="87">
        <f t="shared" si="639"/>
        <v>0</v>
      </c>
      <c r="P2217" s="123"/>
      <c r="Q2217" s="123"/>
      <c r="R2217" s="123"/>
      <c r="S2217" s="123"/>
      <c r="T2217" s="123"/>
    </row>
    <row r="2218" spans="1:20" s="90" customFormat="1" ht="19.5" hidden="1" customHeight="1">
      <c r="A2218" s="82" t="s">
        <v>62</v>
      </c>
      <c r="B2218" s="145">
        <v>793</v>
      </c>
      <c r="C2218" s="84" t="s">
        <v>18</v>
      </c>
      <c r="D2218" s="84" t="s">
        <v>22</v>
      </c>
      <c r="E2218" s="84" t="s">
        <v>391</v>
      </c>
      <c r="F2218" s="84" t="s">
        <v>63</v>
      </c>
      <c r="G2218" s="87">
        <f>G2219</f>
        <v>0</v>
      </c>
      <c r="H2218" s="87">
        <f>H2219+H2220</f>
        <v>0</v>
      </c>
      <c r="I2218" s="87">
        <f>I2219+I2220</f>
        <v>0</v>
      </c>
      <c r="P2218" s="123"/>
      <c r="Q2218" s="123"/>
      <c r="R2218" s="123"/>
      <c r="S2218" s="123"/>
      <c r="T2218" s="123"/>
    </row>
    <row r="2219" spans="1:20" s="90" customFormat="1" ht="18.75" hidden="1" customHeight="1">
      <c r="A2219" s="82" t="s">
        <v>321</v>
      </c>
      <c r="B2219" s="145">
        <v>793</v>
      </c>
      <c r="C2219" s="84" t="s">
        <v>18</v>
      </c>
      <c r="D2219" s="84" t="s">
        <v>22</v>
      </c>
      <c r="E2219" s="84" t="s">
        <v>391</v>
      </c>
      <c r="F2219" s="84" t="s">
        <v>320</v>
      </c>
      <c r="G2219" s="87">
        <f>прил4!G1697+прил4!G2896+прил4!G3205</f>
        <v>0</v>
      </c>
      <c r="H2219" s="87">
        <v>0</v>
      </c>
      <c r="I2219" s="87">
        <v>0</v>
      </c>
      <c r="P2219" s="123"/>
      <c r="Q2219" s="123"/>
      <c r="R2219" s="123"/>
      <c r="S2219" s="123"/>
      <c r="T2219" s="123"/>
    </row>
    <row r="2220" spans="1:20" s="90" customFormat="1" ht="40.5" hidden="1" customHeight="1">
      <c r="A2220" s="82" t="s">
        <v>418</v>
      </c>
      <c r="B2220" s="145">
        <v>774</v>
      </c>
      <c r="C2220" s="84" t="s">
        <v>18</v>
      </c>
      <c r="D2220" s="84" t="s">
        <v>22</v>
      </c>
      <c r="E2220" s="84" t="s">
        <v>417</v>
      </c>
      <c r="F2220" s="84"/>
      <c r="G2220" s="87">
        <f>G2221</f>
        <v>0</v>
      </c>
      <c r="H2220" s="87">
        <v>0</v>
      </c>
      <c r="I2220" s="87">
        <v>0</v>
      </c>
      <c r="J2220" s="123"/>
      <c r="P2220" s="123"/>
      <c r="Q2220" s="123"/>
      <c r="R2220" s="123"/>
      <c r="S2220" s="123"/>
      <c r="T2220" s="123"/>
    </row>
    <row r="2221" spans="1:20" s="90" customFormat="1" hidden="1">
      <c r="A2221" s="82" t="s">
        <v>62</v>
      </c>
      <c r="B2221" s="145">
        <v>774</v>
      </c>
      <c r="C2221" s="84" t="s">
        <v>18</v>
      </c>
      <c r="D2221" s="84" t="s">
        <v>22</v>
      </c>
      <c r="E2221" s="84" t="s">
        <v>417</v>
      </c>
      <c r="F2221" s="84" t="s">
        <v>63</v>
      </c>
      <c r="G2221" s="87">
        <f>G2222</f>
        <v>0</v>
      </c>
      <c r="H2221" s="87">
        <v>0</v>
      </c>
      <c r="I2221" s="87">
        <v>0</v>
      </c>
      <c r="J2221" s="123"/>
      <c r="P2221" s="123"/>
      <c r="Q2221" s="123"/>
      <c r="R2221" s="123"/>
      <c r="S2221" s="123"/>
      <c r="T2221" s="123"/>
    </row>
    <row r="2222" spans="1:20" s="90" customFormat="1" ht="15" hidden="1" customHeight="1">
      <c r="A2222" s="82" t="s">
        <v>321</v>
      </c>
      <c r="B2222" s="145">
        <v>774</v>
      </c>
      <c r="C2222" s="84" t="s">
        <v>18</v>
      </c>
      <c r="D2222" s="84" t="s">
        <v>22</v>
      </c>
      <c r="E2222" s="84" t="s">
        <v>417</v>
      </c>
      <c r="F2222" s="84" t="s">
        <v>320</v>
      </c>
      <c r="G2222" s="87"/>
      <c r="H2222" s="87">
        <v>0</v>
      </c>
      <c r="I2222" s="87">
        <v>0</v>
      </c>
      <c r="J2222" s="123"/>
      <c r="P2222" s="123"/>
      <c r="Q2222" s="123"/>
      <c r="R2222" s="123"/>
      <c r="S2222" s="123"/>
      <c r="T2222" s="123"/>
    </row>
    <row r="2223" spans="1:20" ht="18.75" hidden="1" customHeight="1">
      <c r="A2223" s="82" t="s">
        <v>62</v>
      </c>
      <c r="B2223" s="14">
        <v>793</v>
      </c>
      <c r="C2223" s="15" t="s">
        <v>18</v>
      </c>
      <c r="D2223" s="15" t="s">
        <v>22</v>
      </c>
      <c r="E2223" s="15" t="s">
        <v>205</v>
      </c>
      <c r="F2223" s="15" t="s">
        <v>63</v>
      </c>
      <c r="G2223" s="70">
        <f>G2224</f>
        <v>0</v>
      </c>
      <c r="H2223" s="70">
        <f>H2224</f>
        <v>0</v>
      </c>
      <c r="I2223" s="70">
        <f>I2224</f>
        <v>0</v>
      </c>
      <c r="J2223" s="1"/>
    </row>
    <row r="2224" spans="1:20" ht="18.75" hidden="1" customHeight="1">
      <c r="A2224" s="82" t="s">
        <v>140</v>
      </c>
      <c r="B2224" s="14">
        <v>793</v>
      </c>
      <c r="C2224" s="15" t="s">
        <v>18</v>
      </c>
      <c r="D2224" s="15" t="s">
        <v>22</v>
      </c>
      <c r="E2224" s="15" t="s">
        <v>205</v>
      </c>
      <c r="F2224" s="15" t="s">
        <v>66</v>
      </c>
      <c r="G2224" s="70"/>
      <c r="H2224" s="70"/>
      <c r="I2224" s="70"/>
      <c r="J2224" s="1"/>
    </row>
    <row r="2225" spans="1:20" ht="33" hidden="1" customHeight="1">
      <c r="A2225" s="82" t="s">
        <v>418</v>
      </c>
      <c r="B2225" s="14">
        <v>793</v>
      </c>
      <c r="C2225" s="15" t="s">
        <v>18</v>
      </c>
      <c r="D2225" s="15" t="s">
        <v>22</v>
      </c>
      <c r="E2225" s="15" t="s">
        <v>417</v>
      </c>
      <c r="F2225" s="15"/>
      <c r="G2225" s="70">
        <f>G2226</f>
        <v>0</v>
      </c>
      <c r="H2225" s="70">
        <f t="shared" ref="H2225:I2225" si="640">H2226</f>
        <v>0</v>
      </c>
      <c r="I2225" s="70">
        <f t="shared" si="640"/>
        <v>0</v>
      </c>
      <c r="J2225" s="1"/>
    </row>
    <row r="2226" spans="1:20" ht="18.75" hidden="1" customHeight="1">
      <c r="A2226" s="82" t="s">
        <v>62</v>
      </c>
      <c r="B2226" s="14">
        <v>793</v>
      </c>
      <c r="C2226" s="15" t="s">
        <v>18</v>
      </c>
      <c r="D2226" s="15" t="s">
        <v>22</v>
      </c>
      <c r="E2226" s="15" t="s">
        <v>417</v>
      </c>
      <c r="F2226" s="15" t="s">
        <v>63</v>
      </c>
      <c r="G2226" s="70">
        <f>G2227</f>
        <v>0</v>
      </c>
      <c r="H2226" s="70">
        <f>H2227</f>
        <v>0</v>
      </c>
      <c r="I2226" s="70">
        <f>I2227</f>
        <v>0</v>
      </c>
      <c r="J2226" s="1"/>
    </row>
    <row r="2227" spans="1:20" ht="18.75" hidden="1" customHeight="1">
      <c r="A2227" s="82" t="s">
        <v>140</v>
      </c>
      <c r="B2227" s="14">
        <v>793</v>
      </c>
      <c r="C2227" s="15" t="s">
        <v>18</v>
      </c>
      <c r="D2227" s="15" t="s">
        <v>22</v>
      </c>
      <c r="E2227" s="15" t="s">
        <v>417</v>
      </c>
      <c r="F2227" s="15" t="s">
        <v>66</v>
      </c>
      <c r="G2227" s="70">
        <f>прил4!G1703</f>
        <v>0</v>
      </c>
      <c r="H2227" s="70">
        <v>0</v>
      </c>
      <c r="I2227" s="70">
        <v>0</v>
      </c>
      <c r="J2227" s="1"/>
    </row>
    <row r="2228" spans="1:20" ht="31.5" hidden="1" customHeight="1">
      <c r="A2228" s="82" t="s">
        <v>798</v>
      </c>
      <c r="B2228" s="14">
        <v>793</v>
      </c>
      <c r="C2228" s="15" t="s">
        <v>18</v>
      </c>
      <c r="D2228" s="15" t="s">
        <v>22</v>
      </c>
      <c r="E2228" s="15" t="s">
        <v>797</v>
      </c>
      <c r="F2228" s="15"/>
      <c r="G2228" s="70">
        <f>G2229</f>
        <v>0</v>
      </c>
      <c r="H2228" s="70">
        <f t="shared" ref="H2228:I2228" si="641">H2229</f>
        <v>0</v>
      </c>
      <c r="I2228" s="70">
        <f t="shared" si="641"/>
        <v>0</v>
      </c>
      <c r="J2228" s="1"/>
    </row>
    <row r="2229" spans="1:20" ht="18.75" hidden="1" customHeight="1">
      <c r="A2229" s="82" t="s">
        <v>62</v>
      </c>
      <c r="B2229" s="14">
        <v>793</v>
      </c>
      <c r="C2229" s="15" t="s">
        <v>18</v>
      </c>
      <c r="D2229" s="15" t="s">
        <v>22</v>
      </c>
      <c r="E2229" s="15" t="s">
        <v>797</v>
      </c>
      <c r="F2229" s="15" t="s">
        <v>63</v>
      </c>
      <c r="G2229" s="70">
        <f>G2230</f>
        <v>0</v>
      </c>
      <c r="H2229" s="70">
        <f>H2230</f>
        <v>0</v>
      </c>
      <c r="I2229" s="70">
        <f>I2230</f>
        <v>0</v>
      </c>
      <c r="J2229" s="1"/>
    </row>
    <row r="2230" spans="1:20" ht="18.75" hidden="1" customHeight="1">
      <c r="A2230" s="82" t="s">
        <v>140</v>
      </c>
      <c r="B2230" s="14">
        <v>793</v>
      </c>
      <c r="C2230" s="15" t="s">
        <v>18</v>
      </c>
      <c r="D2230" s="15" t="s">
        <v>22</v>
      </c>
      <c r="E2230" s="15" t="s">
        <v>797</v>
      </c>
      <c r="F2230" s="15" t="s">
        <v>66</v>
      </c>
      <c r="G2230" s="70">
        <f>прил4!G1706</f>
        <v>0</v>
      </c>
      <c r="H2230" s="70">
        <v>0</v>
      </c>
      <c r="I2230" s="70">
        <v>0</v>
      </c>
      <c r="J2230" s="1"/>
    </row>
    <row r="2231" spans="1:20" ht="19.5" hidden="1" customHeight="1">
      <c r="A2231" s="82" t="s">
        <v>793</v>
      </c>
      <c r="B2231" s="14">
        <v>792</v>
      </c>
      <c r="C2231" s="15" t="s">
        <v>25</v>
      </c>
      <c r="D2231" s="15" t="s">
        <v>27</v>
      </c>
      <c r="E2231" s="15" t="s">
        <v>794</v>
      </c>
      <c r="F2231" s="15"/>
      <c r="G2231" s="70">
        <f>G2232</f>
        <v>0</v>
      </c>
      <c r="H2231" s="70">
        <f t="shared" ref="H2231:I2231" si="642">H2232</f>
        <v>0</v>
      </c>
      <c r="I2231" s="70">
        <f t="shared" si="642"/>
        <v>0</v>
      </c>
      <c r="J2231" s="1"/>
    </row>
    <row r="2232" spans="1:20" ht="30" hidden="1" customHeight="1">
      <c r="A2232" s="16" t="s">
        <v>29</v>
      </c>
      <c r="B2232" s="14">
        <v>792</v>
      </c>
      <c r="C2232" s="15" t="s">
        <v>25</v>
      </c>
      <c r="D2232" s="15" t="s">
        <v>27</v>
      </c>
      <c r="E2232" s="15" t="s">
        <v>794</v>
      </c>
      <c r="F2232" s="15" t="s">
        <v>30</v>
      </c>
      <c r="G2232" s="70">
        <f>G2233</f>
        <v>0</v>
      </c>
      <c r="H2232" s="70">
        <f>H2233</f>
        <v>0</v>
      </c>
      <c r="I2232" s="70">
        <f>I2233</f>
        <v>0</v>
      </c>
      <c r="J2232" s="1"/>
    </row>
    <row r="2233" spans="1:20" ht="18.75" hidden="1" customHeight="1">
      <c r="A2233" s="16" t="s">
        <v>31</v>
      </c>
      <c r="B2233" s="14">
        <v>792</v>
      </c>
      <c r="C2233" s="15" t="s">
        <v>25</v>
      </c>
      <c r="D2233" s="15" t="s">
        <v>27</v>
      </c>
      <c r="E2233" s="15" t="s">
        <v>794</v>
      </c>
      <c r="F2233" s="15" t="s">
        <v>32</v>
      </c>
      <c r="G2233" s="70">
        <f>прил4!G1110</f>
        <v>0</v>
      </c>
      <c r="H2233" s="70">
        <v>0</v>
      </c>
      <c r="I2233" s="70">
        <v>0</v>
      </c>
      <c r="J2233" s="1"/>
    </row>
    <row r="2234" spans="1:20" s="90" customFormat="1" ht="25.5" hidden="1" customHeight="1">
      <c r="A2234" s="82" t="s">
        <v>158</v>
      </c>
      <c r="B2234" s="145">
        <v>793</v>
      </c>
      <c r="C2234" s="84" t="s">
        <v>18</v>
      </c>
      <c r="D2234" s="84" t="s">
        <v>22</v>
      </c>
      <c r="E2234" s="84" t="s">
        <v>204</v>
      </c>
      <c r="F2234" s="84"/>
      <c r="G2234" s="87">
        <f>G2235</f>
        <v>0</v>
      </c>
      <c r="H2234" s="87">
        <f t="shared" ref="H2234:I2234" si="643">H2235</f>
        <v>0</v>
      </c>
      <c r="I2234" s="87">
        <f t="shared" si="643"/>
        <v>0</v>
      </c>
      <c r="P2234" s="123"/>
      <c r="Q2234" s="123"/>
      <c r="R2234" s="123"/>
      <c r="S2234" s="123"/>
      <c r="T2234" s="123"/>
    </row>
    <row r="2235" spans="1:20" s="90" customFormat="1" ht="30.75" hidden="1" customHeight="1">
      <c r="A2235" s="82" t="s">
        <v>663</v>
      </c>
      <c r="B2235" s="145">
        <v>793</v>
      </c>
      <c r="C2235" s="84" t="s">
        <v>18</v>
      </c>
      <c r="D2235" s="84" t="s">
        <v>22</v>
      </c>
      <c r="E2235" s="84" t="s">
        <v>662</v>
      </c>
      <c r="F2235" s="84"/>
      <c r="G2235" s="87">
        <f t="shared" ref="G2235:I2236" si="644">G2236</f>
        <v>0</v>
      </c>
      <c r="H2235" s="87">
        <f t="shared" si="644"/>
        <v>0</v>
      </c>
      <c r="I2235" s="87">
        <f t="shared" si="644"/>
        <v>0</v>
      </c>
      <c r="P2235" s="123"/>
      <c r="Q2235" s="123"/>
      <c r="R2235" s="123"/>
      <c r="S2235" s="123"/>
      <c r="T2235" s="123"/>
    </row>
    <row r="2236" spans="1:20" s="90" customFormat="1" ht="19.5" hidden="1" customHeight="1">
      <c r="A2236" s="82" t="s">
        <v>62</v>
      </c>
      <c r="B2236" s="145">
        <v>793</v>
      </c>
      <c r="C2236" s="84" t="s">
        <v>18</v>
      </c>
      <c r="D2236" s="84" t="s">
        <v>22</v>
      </c>
      <c r="E2236" s="84" t="s">
        <v>662</v>
      </c>
      <c r="F2236" s="84" t="s">
        <v>63</v>
      </c>
      <c r="G2236" s="87">
        <f>G2237</f>
        <v>0</v>
      </c>
      <c r="H2236" s="87">
        <f t="shared" si="644"/>
        <v>0</v>
      </c>
      <c r="I2236" s="87">
        <f t="shared" si="644"/>
        <v>0</v>
      </c>
      <c r="P2236" s="123"/>
      <c r="Q2236" s="123"/>
      <c r="R2236" s="123"/>
      <c r="S2236" s="123"/>
      <c r="T2236" s="123"/>
    </row>
    <row r="2237" spans="1:20" s="90" customFormat="1" ht="18.75" hidden="1" customHeight="1">
      <c r="A2237" s="82" t="s">
        <v>174</v>
      </c>
      <c r="B2237" s="145">
        <v>793</v>
      </c>
      <c r="C2237" s="84" t="s">
        <v>18</v>
      </c>
      <c r="D2237" s="84" t="s">
        <v>22</v>
      </c>
      <c r="E2237" s="84" t="s">
        <v>662</v>
      </c>
      <c r="F2237" s="84" t="s">
        <v>175</v>
      </c>
      <c r="G2237" s="87"/>
      <c r="H2237" s="87"/>
      <c r="I2237" s="87"/>
      <c r="P2237" s="123"/>
      <c r="Q2237" s="123"/>
      <c r="R2237" s="123"/>
      <c r="S2237" s="123"/>
      <c r="T2237" s="123"/>
    </row>
    <row r="2238" spans="1:20" s="46" customFormat="1" ht="48" hidden="1" customHeight="1">
      <c r="A2238" s="16" t="s">
        <v>771</v>
      </c>
      <c r="B2238" s="14">
        <v>793</v>
      </c>
      <c r="C2238" s="15" t="s">
        <v>18</v>
      </c>
      <c r="D2238" s="15" t="s">
        <v>25</v>
      </c>
      <c r="E2238" s="15" t="s">
        <v>769</v>
      </c>
      <c r="F2238" s="15"/>
      <c r="G2238" s="70">
        <f t="shared" ref="G2238:I2239" si="645">G2239</f>
        <v>0</v>
      </c>
      <c r="H2238" s="70">
        <f t="shared" si="645"/>
        <v>0</v>
      </c>
      <c r="I2238" s="70">
        <f t="shared" si="645"/>
        <v>0</v>
      </c>
      <c r="P2238" s="110"/>
      <c r="Q2238" s="110"/>
      <c r="R2238" s="110"/>
      <c r="S2238" s="110"/>
      <c r="T2238" s="110"/>
    </row>
    <row r="2239" spans="1:20" s="46" customFormat="1" ht="29.25" hidden="1" customHeight="1">
      <c r="A2239" s="16" t="s">
        <v>62</v>
      </c>
      <c r="B2239" s="14">
        <v>793</v>
      </c>
      <c r="C2239" s="15" t="s">
        <v>18</v>
      </c>
      <c r="D2239" s="15" t="s">
        <v>25</v>
      </c>
      <c r="E2239" s="15" t="s">
        <v>769</v>
      </c>
      <c r="F2239" s="15" t="s">
        <v>63</v>
      </c>
      <c r="G2239" s="70">
        <f t="shared" si="645"/>
        <v>0</v>
      </c>
      <c r="H2239" s="70">
        <f t="shared" si="645"/>
        <v>0</v>
      </c>
      <c r="I2239" s="70">
        <f t="shared" si="645"/>
        <v>0</v>
      </c>
      <c r="P2239" s="110"/>
      <c r="Q2239" s="110"/>
      <c r="R2239" s="110"/>
      <c r="S2239" s="110"/>
      <c r="T2239" s="110"/>
    </row>
    <row r="2240" spans="1:20" s="46" customFormat="1" hidden="1">
      <c r="A2240" s="16" t="s">
        <v>770</v>
      </c>
      <c r="B2240" s="14">
        <v>793</v>
      </c>
      <c r="C2240" s="15" t="s">
        <v>18</v>
      </c>
      <c r="D2240" s="15" t="s">
        <v>25</v>
      </c>
      <c r="E2240" s="15" t="s">
        <v>769</v>
      </c>
      <c r="F2240" s="15" t="s">
        <v>768</v>
      </c>
      <c r="G2240" s="70"/>
      <c r="H2240" s="70"/>
      <c r="I2240" s="70"/>
      <c r="P2240" s="110"/>
      <c r="Q2240" s="110"/>
      <c r="R2240" s="110"/>
      <c r="S2240" s="110"/>
      <c r="T2240" s="110"/>
    </row>
    <row r="2241" spans="1:20" ht="19.5" hidden="1" customHeight="1">
      <c r="A2241" s="82" t="s">
        <v>986</v>
      </c>
      <c r="B2241" s="14">
        <v>774</v>
      </c>
      <c r="C2241" s="15" t="s">
        <v>25</v>
      </c>
      <c r="D2241" s="15" t="s">
        <v>27</v>
      </c>
      <c r="E2241" s="15" t="s">
        <v>987</v>
      </c>
      <c r="F2241" s="15"/>
      <c r="G2241" s="70">
        <f>G2242</f>
        <v>0</v>
      </c>
      <c r="H2241" s="70">
        <f t="shared" ref="H2241:I2241" si="646">H2242</f>
        <v>0</v>
      </c>
      <c r="I2241" s="70">
        <f t="shared" si="646"/>
        <v>0</v>
      </c>
      <c r="J2241" s="173"/>
      <c r="K2241" s="181"/>
      <c r="L2241" s="181"/>
      <c r="M2241" s="181"/>
      <c r="N2241" s="181"/>
      <c r="O2241" s="181"/>
      <c r="P2241" s="181"/>
      <c r="Q2241" s="181"/>
      <c r="R2241" s="181"/>
      <c r="S2241" s="1"/>
      <c r="T2241" s="1"/>
    </row>
    <row r="2242" spans="1:20" ht="30.75" hidden="1" customHeight="1">
      <c r="A2242" s="16" t="s">
        <v>29</v>
      </c>
      <c r="B2242" s="14">
        <v>774</v>
      </c>
      <c r="C2242" s="15" t="s">
        <v>25</v>
      </c>
      <c r="D2242" s="15" t="s">
        <v>27</v>
      </c>
      <c r="E2242" s="15" t="s">
        <v>987</v>
      </c>
      <c r="F2242" s="15" t="s">
        <v>30</v>
      </c>
      <c r="G2242" s="70">
        <f>G2243</f>
        <v>0</v>
      </c>
      <c r="H2242" s="70">
        <f>H2243</f>
        <v>0</v>
      </c>
      <c r="I2242" s="70">
        <f>I2243</f>
        <v>0</v>
      </c>
      <c r="J2242" s="173"/>
      <c r="K2242" s="181"/>
      <c r="L2242" s="181"/>
      <c r="M2242" s="181"/>
      <c r="N2242" s="181"/>
      <c r="O2242" s="181"/>
      <c r="P2242" s="181"/>
      <c r="Q2242" s="181"/>
      <c r="R2242" s="181"/>
      <c r="S2242" s="1"/>
      <c r="T2242" s="1"/>
    </row>
    <row r="2243" spans="1:20" ht="18.75" hidden="1" customHeight="1">
      <c r="A2243" s="16" t="s">
        <v>31</v>
      </c>
      <c r="B2243" s="14">
        <v>774</v>
      </c>
      <c r="C2243" s="15" t="s">
        <v>25</v>
      </c>
      <c r="D2243" s="15" t="s">
        <v>27</v>
      </c>
      <c r="E2243" s="15" t="s">
        <v>987</v>
      </c>
      <c r="F2243" s="15" t="s">
        <v>32</v>
      </c>
      <c r="G2243" s="70">
        <f>прил4!G1113</f>
        <v>0</v>
      </c>
      <c r="H2243" s="70">
        <v>0</v>
      </c>
      <c r="I2243" s="70">
        <v>0</v>
      </c>
      <c r="J2243" s="173"/>
      <c r="K2243" s="181"/>
      <c r="L2243" s="181"/>
      <c r="M2243" s="181"/>
      <c r="N2243" s="181"/>
      <c r="O2243" s="181"/>
      <c r="P2243" s="181"/>
      <c r="Q2243" s="181"/>
      <c r="R2243" s="181"/>
      <c r="S2243" s="1"/>
      <c r="T2243" s="1"/>
    </row>
    <row r="2244" spans="1:20" s="90" customFormat="1" ht="18.75" customHeight="1">
      <c r="A2244" s="82" t="s">
        <v>140</v>
      </c>
      <c r="B2244" s="145">
        <v>793</v>
      </c>
      <c r="C2244" s="84" t="s">
        <v>18</v>
      </c>
      <c r="D2244" s="84" t="s">
        <v>22</v>
      </c>
      <c r="E2244" s="84" t="s">
        <v>205</v>
      </c>
      <c r="F2244" s="84" t="s">
        <v>66</v>
      </c>
      <c r="G2244" s="87">
        <f>прил4!G1724</f>
        <v>745264.57</v>
      </c>
      <c r="H2244" s="87">
        <f>прил4!H1471</f>
        <v>0</v>
      </c>
      <c r="I2244" s="87">
        <f>прил4!I1471</f>
        <v>0</v>
      </c>
      <c r="J2244" s="123"/>
      <c r="P2244" s="123"/>
      <c r="Q2244" s="123"/>
      <c r="R2244" s="123"/>
      <c r="S2244" s="123"/>
      <c r="T2244" s="123"/>
    </row>
    <row r="2245" spans="1:20" s="90" customFormat="1" ht="41.25" customHeight="1">
      <c r="A2245" s="82" t="s">
        <v>1313</v>
      </c>
      <c r="B2245" s="145">
        <v>793</v>
      </c>
      <c r="C2245" s="84" t="s">
        <v>18</v>
      </c>
      <c r="D2245" s="84" t="s">
        <v>22</v>
      </c>
      <c r="E2245" s="84" t="s">
        <v>1312</v>
      </c>
      <c r="F2245" s="84"/>
      <c r="G2245" s="87">
        <f>G2248</f>
        <v>9606.0400000000009</v>
      </c>
      <c r="H2245" s="87">
        <f>H2248+H2267</f>
        <v>0</v>
      </c>
      <c r="I2245" s="87">
        <f>I2248+I2267</f>
        <v>0</v>
      </c>
      <c r="J2245" s="123"/>
      <c r="P2245" s="123"/>
      <c r="Q2245" s="123"/>
      <c r="R2245" s="123"/>
      <c r="S2245" s="123"/>
      <c r="T2245" s="123"/>
    </row>
    <row r="2246" spans="1:20" s="90" customFormat="1" ht="29.25" hidden="1" customHeight="1">
      <c r="A2246" s="16" t="s">
        <v>316</v>
      </c>
      <c r="B2246" s="84" t="s">
        <v>92</v>
      </c>
      <c r="C2246" s="84" t="s">
        <v>25</v>
      </c>
      <c r="D2246" s="84" t="s">
        <v>27</v>
      </c>
      <c r="E2246" s="84" t="s">
        <v>205</v>
      </c>
      <c r="F2246" s="84" t="s">
        <v>36</v>
      </c>
      <c r="G2246" s="87">
        <f>G2247</f>
        <v>0</v>
      </c>
      <c r="H2246" s="87"/>
      <c r="I2246" s="87"/>
      <c r="J2246" s="123"/>
      <c r="P2246" s="123"/>
      <c r="Q2246" s="123"/>
      <c r="R2246" s="123"/>
      <c r="S2246" s="123"/>
      <c r="T2246" s="123"/>
    </row>
    <row r="2247" spans="1:20" s="90" customFormat="1" ht="36.75" hidden="1" customHeight="1">
      <c r="A2247" s="16" t="s">
        <v>37</v>
      </c>
      <c r="B2247" s="84" t="s">
        <v>92</v>
      </c>
      <c r="C2247" s="84" t="s">
        <v>25</v>
      </c>
      <c r="D2247" s="84" t="s">
        <v>27</v>
      </c>
      <c r="E2247" s="84" t="s">
        <v>205</v>
      </c>
      <c r="F2247" s="84" t="s">
        <v>38</v>
      </c>
      <c r="G2247" s="87">
        <f>прил4!G3380</f>
        <v>0</v>
      </c>
      <c r="H2247" s="87"/>
      <c r="I2247" s="87"/>
      <c r="J2247" s="123"/>
      <c r="P2247" s="123"/>
      <c r="Q2247" s="123"/>
      <c r="R2247" s="123"/>
      <c r="S2247" s="123"/>
      <c r="T2247" s="123"/>
    </row>
    <row r="2248" spans="1:20" s="90" customFormat="1">
      <c r="A2248" s="82" t="s">
        <v>62</v>
      </c>
      <c r="B2248" s="145">
        <v>793</v>
      </c>
      <c r="C2248" s="84" t="s">
        <v>18</v>
      </c>
      <c r="D2248" s="84" t="s">
        <v>22</v>
      </c>
      <c r="E2248" s="84" t="s">
        <v>1312</v>
      </c>
      <c r="F2248" s="84" t="s">
        <v>63</v>
      </c>
      <c r="G2248" s="87">
        <f>G2250</f>
        <v>9606.0400000000009</v>
      </c>
      <c r="H2248" s="87">
        <f t="shared" ref="H2248:I2248" si="647">H2250</f>
        <v>0</v>
      </c>
      <c r="I2248" s="87">
        <f t="shared" si="647"/>
        <v>0</v>
      </c>
      <c r="J2248" s="123"/>
      <c r="P2248" s="123"/>
      <c r="Q2248" s="123"/>
      <c r="R2248" s="123"/>
      <c r="S2248" s="123"/>
      <c r="T2248" s="123"/>
    </row>
    <row r="2249" spans="1:20" ht="18.75" hidden="1" customHeight="1">
      <c r="A2249" s="16"/>
      <c r="B2249" s="14"/>
      <c r="C2249" s="15"/>
      <c r="D2249" s="15"/>
      <c r="E2249" s="84" t="s">
        <v>1312</v>
      </c>
      <c r="F2249" s="15"/>
      <c r="G2249" s="160"/>
      <c r="H2249" s="70"/>
      <c r="I2249" s="70"/>
    </row>
    <row r="2250" spans="1:20" s="90" customFormat="1" ht="18.75" customHeight="1">
      <c r="A2250" s="82" t="s">
        <v>140</v>
      </c>
      <c r="B2250" s="145">
        <v>793</v>
      </c>
      <c r="C2250" s="84" t="s">
        <v>18</v>
      </c>
      <c r="D2250" s="84" t="s">
        <v>22</v>
      </c>
      <c r="E2250" s="84" t="s">
        <v>1312</v>
      </c>
      <c r="F2250" s="84" t="s">
        <v>66</v>
      </c>
      <c r="G2250" s="87">
        <f>прил4!G1730</f>
        <v>9606.0400000000009</v>
      </c>
      <c r="H2250" s="87">
        <v>0</v>
      </c>
      <c r="I2250" s="87">
        <v>0</v>
      </c>
      <c r="J2250" s="123"/>
      <c r="P2250" s="123"/>
      <c r="Q2250" s="123"/>
      <c r="R2250" s="123"/>
      <c r="S2250" s="123"/>
      <c r="T2250" s="123"/>
    </row>
    <row r="2251" spans="1:20" s="122" customFormat="1" ht="51.75" hidden="1" customHeight="1">
      <c r="A2251" s="82" t="s">
        <v>612</v>
      </c>
      <c r="B2251" s="145">
        <v>793</v>
      </c>
      <c r="C2251" s="84" t="s">
        <v>18</v>
      </c>
      <c r="D2251" s="84" t="s">
        <v>22</v>
      </c>
      <c r="E2251" s="84" t="s">
        <v>613</v>
      </c>
      <c r="F2251" s="84"/>
      <c r="G2251" s="87">
        <f t="shared" ref="G2251:I2252" si="648">G2252</f>
        <v>0</v>
      </c>
      <c r="H2251" s="87">
        <f t="shared" si="648"/>
        <v>0</v>
      </c>
      <c r="I2251" s="87">
        <f t="shared" si="648"/>
        <v>0</v>
      </c>
      <c r="J2251" s="121"/>
      <c r="P2251" s="121"/>
      <c r="Q2251" s="121"/>
      <c r="R2251" s="121"/>
      <c r="S2251" s="121"/>
      <c r="T2251" s="121"/>
    </row>
    <row r="2252" spans="1:20" s="122" customFormat="1" ht="26.25" hidden="1" customHeight="1">
      <c r="A2252" s="82" t="s">
        <v>316</v>
      </c>
      <c r="B2252" s="145">
        <v>793</v>
      </c>
      <c r="C2252" s="84" t="s">
        <v>18</v>
      </c>
      <c r="D2252" s="84" t="s">
        <v>22</v>
      </c>
      <c r="E2252" s="84" t="s">
        <v>613</v>
      </c>
      <c r="F2252" s="84" t="s">
        <v>36</v>
      </c>
      <c r="G2252" s="87">
        <f t="shared" si="648"/>
        <v>0</v>
      </c>
      <c r="H2252" s="87">
        <f t="shared" si="648"/>
        <v>0</v>
      </c>
      <c r="I2252" s="87">
        <f t="shared" si="648"/>
        <v>0</v>
      </c>
      <c r="J2252" s="121"/>
      <c r="P2252" s="121"/>
      <c r="Q2252" s="121"/>
      <c r="R2252" s="121"/>
      <c r="S2252" s="121"/>
      <c r="T2252" s="121"/>
    </row>
    <row r="2253" spans="1:20" s="122" customFormat="1" ht="26.25" hidden="1" customHeight="1">
      <c r="A2253" s="82" t="s">
        <v>37</v>
      </c>
      <c r="B2253" s="145">
        <v>793</v>
      </c>
      <c r="C2253" s="84" t="s">
        <v>18</v>
      </c>
      <c r="D2253" s="84" t="s">
        <v>22</v>
      </c>
      <c r="E2253" s="84" t="s">
        <v>613</v>
      </c>
      <c r="F2253" s="84" t="s">
        <v>38</v>
      </c>
      <c r="G2253" s="87">
        <f>прил4!G1777</f>
        <v>0</v>
      </c>
      <c r="H2253" s="87"/>
      <c r="I2253" s="87"/>
      <c r="J2253" s="121"/>
      <c r="P2253" s="121"/>
      <c r="Q2253" s="121"/>
      <c r="R2253" s="121"/>
      <c r="S2253" s="121"/>
      <c r="T2253" s="121"/>
    </row>
    <row r="2254" spans="1:20" s="90" customFormat="1" ht="14.25" customHeight="1">
      <c r="A2254" s="82" t="s">
        <v>986</v>
      </c>
      <c r="B2254" s="145">
        <v>793</v>
      </c>
      <c r="C2254" s="84" t="s">
        <v>18</v>
      </c>
      <c r="D2254" s="84" t="s">
        <v>22</v>
      </c>
      <c r="E2254" s="84" t="s">
        <v>987</v>
      </c>
      <c r="F2254" s="84"/>
      <c r="G2254" s="87">
        <f>G2257</f>
        <v>150000</v>
      </c>
      <c r="H2254" s="87">
        <f>H2257+H2285</f>
        <v>0</v>
      </c>
      <c r="I2254" s="87">
        <f>I2257+I2285</f>
        <v>0</v>
      </c>
      <c r="J2254" s="123"/>
      <c r="P2254" s="123"/>
      <c r="Q2254" s="123"/>
      <c r="R2254" s="123"/>
      <c r="S2254" s="123"/>
      <c r="T2254" s="123"/>
    </row>
    <row r="2255" spans="1:20" s="90" customFormat="1" ht="29.25" hidden="1" customHeight="1">
      <c r="A2255" s="16" t="s">
        <v>316</v>
      </c>
      <c r="B2255" s="84" t="s">
        <v>92</v>
      </c>
      <c r="C2255" s="84" t="s">
        <v>25</v>
      </c>
      <c r="D2255" s="84" t="s">
        <v>27</v>
      </c>
      <c r="E2255" s="84" t="s">
        <v>205</v>
      </c>
      <c r="F2255" s="84" t="s">
        <v>36</v>
      </c>
      <c r="G2255" s="87">
        <f>G2256</f>
        <v>0</v>
      </c>
      <c r="H2255" s="87"/>
      <c r="I2255" s="87"/>
      <c r="J2255" s="123"/>
      <c r="P2255" s="123"/>
      <c r="Q2255" s="123"/>
      <c r="R2255" s="123"/>
      <c r="S2255" s="123"/>
      <c r="T2255" s="123"/>
    </row>
    <row r="2256" spans="1:20" s="90" customFormat="1" ht="36.75" hidden="1" customHeight="1">
      <c r="A2256" s="16" t="s">
        <v>37</v>
      </c>
      <c r="B2256" s="84" t="s">
        <v>92</v>
      </c>
      <c r="C2256" s="84" t="s">
        <v>25</v>
      </c>
      <c r="D2256" s="84" t="s">
        <v>27</v>
      </c>
      <c r="E2256" s="84" t="s">
        <v>205</v>
      </c>
      <c r="F2256" s="84" t="s">
        <v>38</v>
      </c>
      <c r="G2256" s="87">
        <f>прил4!G3400</f>
        <v>0</v>
      </c>
      <c r="H2256" s="87"/>
      <c r="I2256" s="87"/>
      <c r="J2256" s="123"/>
      <c r="P2256" s="123"/>
      <c r="Q2256" s="123"/>
      <c r="R2256" s="123"/>
      <c r="S2256" s="123"/>
      <c r="T2256" s="123"/>
    </row>
    <row r="2257" spans="1:20" s="90" customFormat="1">
      <c r="A2257" s="82" t="s">
        <v>62</v>
      </c>
      <c r="B2257" s="145">
        <v>793</v>
      </c>
      <c r="C2257" s="84" t="s">
        <v>18</v>
      </c>
      <c r="D2257" s="84" t="s">
        <v>22</v>
      </c>
      <c r="E2257" s="84" t="s">
        <v>987</v>
      </c>
      <c r="F2257" s="84" t="s">
        <v>63</v>
      </c>
      <c r="G2257" s="87">
        <f>G2258</f>
        <v>150000</v>
      </c>
      <c r="H2257" s="87">
        <f t="shared" ref="H2257:I2257" si="649">H2258</f>
        <v>0</v>
      </c>
      <c r="I2257" s="87">
        <f t="shared" si="649"/>
        <v>0</v>
      </c>
      <c r="J2257" s="123"/>
      <c r="P2257" s="123"/>
      <c r="Q2257" s="123"/>
      <c r="R2257" s="123"/>
      <c r="S2257" s="123"/>
      <c r="T2257" s="123"/>
    </row>
    <row r="2258" spans="1:20" s="90" customFormat="1" ht="18.75" customHeight="1">
      <c r="A2258" s="82" t="s">
        <v>321</v>
      </c>
      <c r="B2258" s="145">
        <v>793</v>
      </c>
      <c r="C2258" s="84" t="s">
        <v>18</v>
      </c>
      <c r="D2258" s="84" t="s">
        <v>22</v>
      </c>
      <c r="E2258" s="84" t="s">
        <v>987</v>
      </c>
      <c r="F2258" s="84" t="s">
        <v>320</v>
      </c>
      <c r="G2258" s="87">
        <f>прил4!G1735</f>
        <v>150000</v>
      </c>
      <c r="H2258" s="87">
        <f>прил4!H1735</f>
        <v>0</v>
      </c>
      <c r="I2258" s="87">
        <f>прил4!I1735</f>
        <v>0</v>
      </c>
      <c r="J2258" s="123"/>
      <c r="P2258" s="123"/>
      <c r="Q2258" s="123"/>
      <c r="R2258" s="123"/>
      <c r="S2258" s="123"/>
      <c r="T2258" s="123"/>
    </row>
    <row r="2259" spans="1:20" s="90" customFormat="1" ht="39" customHeight="1">
      <c r="A2259" s="82" t="s">
        <v>1271</v>
      </c>
      <c r="B2259" s="145">
        <v>793</v>
      </c>
      <c r="C2259" s="84" t="s">
        <v>18</v>
      </c>
      <c r="D2259" s="84" t="s">
        <v>22</v>
      </c>
      <c r="E2259" s="84" t="s">
        <v>1274</v>
      </c>
      <c r="F2259" s="84"/>
      <c r="G2259" s="87">
        <f>G2264+G2262+G2275+G2272</f>
        <v>3903436.1300000004</v>
      </c>
      <c r="H2259" s="87">
        <f t="shared" ref="H2259:I2259" si="650">H2260+H2264</f>
        <v>0</v>
      </c>
      <c r="I2259" s="87">
        <f t="shared" si="650"/>
        <v>0</v>
      </c>
      <c r="J2259" s="123"/>
      <c r="P2259" s="123"/>
      <c r="Q2259" s="123"/>
      <c r="R2259" s="123"/>
      <c r="S2259" s="123"/>
      <c r="T2259" s="123"/>
    </row>
    <row r="2260" spans="1:20" s="90" customFormat="1" ht="29.25" hidden="1" customHeight="1">
      <c r="A2260" s="16" t="s">
        <v>316</v>
      </c>
      <c r="B2260" s="84" t="s">
        <v>92</v>
      </c>
      <c r="C2260" s="84" t="s">
        <v>25</v>
      </c>
      <c r="D2260" s="84" t="s">
        <v>27</v>
      </c>
      <c r="E2260" s="84" t="s">
        <v>205</v>
      </c>
      <c r="F2260" s="84" t="s">
        <v>36</v>
      </c>
      <c r="G2260" s="87">
        <f>G2261</f>
        <v>6174009.4100000001</v>
      </c>
      <c r="H2260" s="87"/>
      <c r="I2260" s="87"/>
      <c r="J2260" s="123"/>
      <c r="P2260" s="123"/>
      <c r="Q2260" s="123"/>
      <c r="R2260" s="123"/>
      <c r="S2260" s="123"/>
      <c r="T2260" s="123"/>
    </row>
    <row r="2261" spans="1:20" s="90" customFormat="1" ht="36.75" hidden="1" customHeight="1">
      <c r="A2261" s="16" t="s">
        <v>37</v>
      </c>
      <c r="B2261" s="84" t="s">
        <v>92</v>
      </c>
      <c r="C2261" s="84" t="s">
        <v>25</v>
      </c>
      <c r="D2261" s="84" t="s">
        <v>27</v>
      </c>
      <c r="E2261" s="84" t="s">
        <v>205</v>
      </c>
      <c r="F2261" s="84" t="s">
        <v>38</v>
      </c>
      <c r="G2261" s="87">
        <f>прил4!G3324</f>
        <v>6174009.4100000001</v>
      </c>
      <c r="H2261" s="87"/>
      <c r="I2261" s="87"/>
      <c r="J2261" s="123"/>
      <c r="P2261" s="123"/>
      <c r="Q2261" s="123"/>
      <c r="R2261" s="123"/>
      <c r="S2261" s="123"/>
      <c r="T2261" s="123"/>
    </row>
    <row r="2262" spans="1:20" s="90" customFormat="1" ht="60.75" customHeight="1">
      <c r="A2262" s="16" t="s">
        <v>312</v>
      </c>
      <c r="B2262" s="145">
        <v>793</v>
      </c>
      <c r="C2262" s="15" t="s">
        <v>18</v>
      </c>
      <c r="D2262" s="15" t="s">
        <v>27</v>
      </c>
      <c r="E2262" s="84" t="s">
        <v>1274</v>
      </c>
      <c r="F2262" s="84" t="s">
        <v>57</v>
      </c>
      <c r="G2262" s="87">
        <f t="shared" ref="G2262:I2262" si="651">G2263</f>
        <v>957738.92</v>
      </c>
      <c r="H2262" s="87">
        <f t="shared" si="651"/>
        <v>0</v>
      </c>
      <c r="I2262" s="87">
        <f t="shared" si="651"/>
        <v>0</v>
      </c>
      <c r="J2262" s="123"/>
      <c r="P2262" s="123"/>
      <c r="Q2262" s="123"/>
      <c r="R2262" s="123"/>
      <c r="S2262" s="123"/>
      <c r="T2262" s="123"/>
    </row>
    <row r="2263" spans="1:20" s="90" customFormat="1" ht="32.25" customHeight="1">
      <c r="A2263" s="16" t="s">
        <v>55</v>
      </c>
      <c r="B2263" s="145">
        <v>793</v>
      </c>
      <c r="C2263" s="15" t="s">
        <v>18</v>
      </c>
      <c r="D2263" s="15" t="s">
        <v>27</v>
      </c>
      <c r="E2263" s="84" t="s">
        <v>1274</v>
      </c>
      <c r="F2263" s="84" t="s">
        <v>58</v>
      </c>
      <c r="G2263" s="87">
        <f>прил4!G1504+прил4!G1567+прил4!G1762+прил4!G1738</f>
        <v>957738.92</v>
      </c>
      <c r="H2263" s="87">
        <f>прил4!H1479</f>
        <v>0</v>
      </c>
      <c r="I2263" s="87">
        <f>прил4!I1479</f>
        <v>0</v>
      </c>
      <c r="J2263" s="123"/>
      <c r="P2263" s="123"/>
      <c r="Q2263" s="123"/>
      <c r="R2263" s="123"/>
      <c r="S2263" s="123"/>
      <c r="T2263" s="123"/>
    </row>
    <row r="2264" spans="1:20" s="90" customFormat="1">
      <c r="A2264" s="16" t="s">
        <v>316</v>
      </c>
      <c r="B2264" s="145">
        <v>792</v>
      </c>
      <c r="C2264" s="84" t="s">
        <v>18</v>
      </c>
      <c r="D2264" s="84" t="s">
        <v>22</v>
      </c>
      <c r="E2264" s="84" t="s">
        <v>1274</v>
      </c>
      <c r="F2264" s="84" t="s">
        <v>36</v>
      </c>
      <c r="G2264" s="87">
        <f t="shared" ref="G2264:I2264" si="652">G2265</f>
        <v>2369116.0300000003</v>
      </c>
      <c r="H2264" s="87">
        <f t="shared" si="652"/>
        <v>0</v>
      </c>
      <c r="I2264" s="87">
        <f t="shared" si="652"/>
        <v>0</v>
      </c>
      <c r="J2264" s="123"/>
      <c r="P2264" s="123"/>
      <c r="Q2264" s="123"/>
      <c r="R2264" s="123"/>
      <c r="S2264" s="123"/>
      <c r="T2264" s="123"/>
    </row>
    <row r="2265" spans="1:20" s="90" customFormat="1" ht="36" customHeight="1">
      <c r="A2265" s="16" t="s">
        <v>37</v>
      </c>
      <c r="B2265" s="145">
        <v>792</v>
      </c>
      <c r="C2265" s="84" t="s">
        <v>18</v>
      </c>
      <c r="D2265" s="84" t="s">
        <v>22</v>
      </c>
      <c r="E2265" s="84" t="s">
        <v>1274</v>
      </c>
      <c r="F2265" s="84" t="s">
        <v>38</v>
      </c>
      <c r="G2265" s="87">
        <f>прил4!G1740+прил4!G1569+прил4!G1886+прил4!G1931+прил4!G2015+прил4!G2189+прил4!G2367+прил4!G2504</f>
        <v>2369116.0300000003</v>
      </c>
      <c r="H2265" s="87">
        <f>прил4!H1479</f>
        <v>0</v>
      </c>
      <c r="I2265" s="87">
        <f>прил4!I1479</f>
        <v>0</v>
      </c>
      <c r="J2265" s="123"/>
      <c r="P2265" s="123"/>
      <c r="Q2265" s="123"/>
      <c r="R2265" s="123"/>
      <c r="S2265" s="123"/>
      <c r="T2265" s="123"/>
    </row>
    <row r="2266" spans="1:20" s="146" customFormat="1" ht="26.25" hidden="1" customHeight="1">
      <c r="A2266" s="82"/>
      <c r="B2266" s="145"/>
      <c r="C2266" s="15"/>
      <c r="D2266" s="15"/>
      <c r="E2266" s="143"/>
      <c r="F2266" s="84"/>
      <c r="G2266" s="87"/>
      <c r="H2266" s="87"/>
      <c r="I2266" s="87"/>
      <c r="J2266" s="148"/>
      <c r="P2266" s="148"/>
      <c r="Q2266" s="148"/>
      <c r="R2266" s="148"/>
      <c r="S2266" s="148"/>
      <c r="T2266" s="148"/>
    </row>
    <row r="2267" spans="1:20" s="90" customFormat="1" ht="39" hidden="1" customHeight="1">
      <c r="A2267" s="82"/>
      <c r="B2267" s="145"/>
      <c r="C2267" s="15"/>
      <c r="D2267" s="15"/>
      <c r="E2267" s="84"/>
      <c r="F2267" s="84"/>
      <c r="G2267" s="87"/>
      <c r="H2267" s="87"/>
      <c r="I2267" s="87"/>
      <c r="J2267" s="123"/>
      <c r="P2267" s="123"/>
      <c r="Q2267" s="123"/>
      <c r="R2267" s="123"/>
      <c r="S2267" s="123"/>
      <c r="T2267" s="123"/>
    </row>
    <row r="2268" spans="1:20" s="90" customFormat="1" ht="29.25" hidden="1" customHeight="1">
      <c r="A2268" s="16"/>
      <c r="B2268" s="84"/>
      <c r="C2268" s="15"/>
      <c r="D2268" s="15"/>
      <c r="E2268" s="84"/>
      <c r="F2268" s="84"/>
      <c r="G2268" s="87"/>
      <c r="H2268" s="87"/>
      <c r="I2268" s="87"/>
      <c r="J2268" s="123"/>
      <c r="P2268" s="123"/>
      <c r="Q2268" s="123"/>
      <c r="R2268" s="123"/>
      <c r="S2268" s="123"/>
      <c r="T2268" s="123"/>
    </row>
    <row r="2269" spans="1:20" s="90" customFormat="1" ht="36.75" hidden="1" customHeight="1">
      <c r="A2269" s="16"/>
      <c r="B2269" s="84"/>
      <c r="C2269" s="15"/>
      <c r="D2269" s="15"/>
      <c r="E2269" s="84"/>
      <c r="F2269" s="84"/>
      <c r="G2269" s="87"/>
      <c r="H2269" s="87"/>
      <c r="I2269" s="87"/>
      <c r="J2269" s="123"/>
      <c r="P2269" s="123"/>
      <c r="Q2269" s="123"/>
      <c r="R2269" s="123"/>
      <c r="S2269" s="123"/>
      <c r="T2269" s="123"/>
    </row>
    <row r="2270" spans="1:20" s="90" customFormat="1" hidden="1">
      <c r="A2270" s="16"/>
      <c r="B2270" s="145"/>
      <c r="C2270" s="15"/>
      <c r="D2270" s="15"/>
      <c r="E2270" s="84"/>
      <c r="F2270" s="84"/>
      <c r="G2270" s="87"/>
      <c r="H2270" s="87"/>
      <c r="I2270" s="87"/>
      <c r="J2270" s="123"/>
      <c r="P2270" s="123"/>
      <c r="Q2270" s="123"/>
      <c r="R2270" s="123"/>
      <c r="S2270" s="123"/>
      <c r="T2270" s="123"/>
    </row>
    <row r="2271" spans="1:20" s="90" customFormat="1" ht="18.75" hidden="1" customHeight="1">
      <c r="A2271" s="16"/>
      <c r="B2271" s="145"/>
      <c r="C2271" s="15"/>
      <c r="D2271" s="15"/>
      <c r="E2271" s="84"/>
      <c r="F2271" s="84"/>
      <c r="G2271" s="87"/>
      <c r="H2271" s="87"/>
      <c r="I2271" s="87"/>
      <c r="J2271" s="123"/>
      <c r="P2271" s="123"/>
      <c r="Q2271" s="123"/>
      <c r="R2271" s="123"/>
      <c r="S2271" s="123"/>
      <c r="T2271" s="123"/>
    </row>
    <row r="2272" spans="1:20" ht="26.4">
      <c r="A2272" s="82" t="s">
        <v>29</v>
      </c>
      <c r="B2272" s="145">
        <v>757</v>
      </c>
      <c r="C2272" s="84" t="s">
        <v>43</v>
      </c>
      <c r="D2272" s="84" t="s">
        <v>18</v>
      </c>
      <c r="E2272" s="15" t="s">
        <v>1274</v>
      </c>
      <c r="F2272" s="15" t="s">
        <v>30</v>
      </c>
      <c r="G2272" s="70">
        <f>G2273+G2274</f>
        <v>503287.54</v>
      </c>
      <c r="H2272" s="70">
        <v>0</v>
      </c>
      <c r="I2272" s="70">
        <v>0</v>
      </c>
    </row>
    <row r="2273" spans="1:20" ht="18.75" customHeight="1">
      <c r="A2273" s="82" t="s">
        <v>31</v>
      </c>
      <c r="B2273" s="145">
        <v>757</v>
      </c>
      <c r="C2273" s="84" t="s">
        <v>43</v>
      </c>
      <c r="D2273" s="84" t="s">
        <v>18</v>
      </c>
      <c r="E2273" s="15" t="s">
        <v>1274</v>
      </c>
      <c r="F2273" s="15" t="s">
        <v>32</v>
      </c>
      <c r="G2273" s="70">
        <f>прил4!G469</f>
        <v>448432.47</v>
      </c>
      <c r="H2273" s="70">
        <v>0</v>
      </c>
      <c r="I2273" s="70">
        <v>0</v>
      </c>
    </row>
    <row r="2274" spans="1:20" ht="18.75" customHeight="1">
      <c r="A2274" s="82" t="s">
        <v>606</v>
      </c>
      <c r="B2274" s="145">
        <v>757</v>
      </c>
      <c r="C2274" s="84" t="s">
        <v>43</v>
      </c>
      <c r="D2274" s="84" t="s">
        <v>18</v>
      </c>
      <c r="E2274" s="15" t="s">
        <v>1274</v>
      </c>
      <c r="F2274" s="15" t="s">
        <v>605</v>
      </c>
      <c r="G2274" s="70">
        <f>прил4!G470</f>
        <v>54855.07</v>
      </c>
      <c r="H2274" s="70"/>
      <c r="I2274" s="70"/>
    </row>
    <row r="2275" spans="1:20" s="46" customFormat="1" ht="17.25" customHeight="1">
      <c r="A2275" s="16" t="s">
        <v>62</v>
      </c>
      <c r="B2275" s="14">
        <v>793</v>
      </c>
      <c r="C2275" s="15" t="s">
        <v>18</v>
      </c>
      <c r="D2275" s="15" t="s">
        <v>53</v>
      </c>
      <c r="E2275" s="84" t="s">
        <v>1274</v>
      </c>
      <c r="F2275" s="15" t="s">
        <v>63</v>
      </c>
      <c r="G2275" s="70">
        <f>G2276</f>
        <v>73293.64</v>
      </c>
      <c r="H2275" s="70">
        <v>0</v>
      </c>
      <c r="I2275" s="70">
        <v>0</v>
      </c>
      <c r="J2275" s="172"/>
      <c r="K2275" s="58"/>
      <c r="L2275" s="58"/>
      <c r="M2275" s="58"/>
      <c r="N2275" s="58"/>
      <c r="O2275" s="58"/>
      <c r="P2275" s="58"/>
      <c r="Q2275" s="58"/>
      <c r="R2275" s="58"/>
    </row>
    <row r="2276" spans="1:20" s="46" customFormat="1">
      <c r="A2276" s="352" t="s">
        <v>140</v>
      </c>
      <c r="B2276" s="353">
        <v>793</v>
      </c>
      <c r="C2276" s="354" t="s">
        <v>18</v>
      </c>
      <c r="D2276" s="354" t="s">
        <v>53</v>
      </c>
      <c r="E2276" s="84" t="s">
        <v>1274</v>
      </c>
      <c r="F2276" s="354" t="s">
        <v>66</v>
      </c>
      <c r="G2276" s="355">
        <f>прил4!G1571+прил4!G1742</f>
        <v>73293.64</v>
      </c>
      <c r="H2276" s="70">
        <v>0</v>
      </c>
      <c r="I2276" s="70">
        <v>0</v>
      </c>
      <c r="J2276" s="172"/>
      <c r="K2276" s="58"/>
      <c r="L2276" s="58"/>
      <c r="M2276" s="58"/>
      <c r="N2276" s="58"/>
      <c r="O2276" s="58"/>
      <c r="P2276" s="58"/>
      <c r="Q2276" s="58"/>
      <c r="R2276" s="58"/>
    </row>
    <row r="2277" spans="1:20" s="18" customFormat="1" ht="34.5" hidden="1" customHeight="1">
      <c r="A2277" s="16"/>
      <c r="B2277" s="145"/>
      <c r="C2277" s="84"/>
      <c r="D2277" s="84"/>
      <c r="E2277" s="15"/>
      <c r="F2277" s="15"/>
      <c r="G2277" s="70"/>
      <c r="H2277" s="70">
        <v>0</v>
      </c>
      <c r="I2277" s="70">
        <v>0</v>
      </c>
      <c r="J2277" s="172"/>
      <c r="K2277" s="180"/>
      <c r="L2277" s="180"/>
      <c r="M2277" s="180"/>
      <c r="N2277" s="180"/>
      <c r="O2277" s="180"/>
      <c r="P2277" s="180"/>
      <c r="Q2277" s="180"/>
      <c r="R2277" s="180"/>
    </row>
    <row r="2278" spans="1:20" ht="21" customHeight="1">
      <c r="A2278" s="82" t="s">
        <v>1336</v>
      </c>
      <c r="B2278" s="145">
        <v>757</v>
      </c>
      <c r="C2278" s="84" t="s">
        <v>18</v>
      </c>
      <c r="D2278" s="84" t="s">
        <v>22</v>
      </c>
      <c r="E2278" s="84" t="s">
        <v>1335</v>
      </c>
      <c r="F2278" s="84"/>
      <c r="G2278" s="87">
        <f>G2279</f>
        <v>1500</v>
      </c>
      <c r="H2278" s="87">
        <f>H2279</f>
        <v>0</v>
      </c>
      <c r="I2278" s="87">
        <f>I2279</f>
        <v>0</v>
      </c>
      <c r="J2278" s="173"/>
      <c r="K2278" s="181"/>
      <c r="L2278" s="181"/>
      <c r="M2278" s="181"/>
      <c r="N2278" s="181"/>
      <c r="O2278" s="181"/>
      <c r="P2278" s="217"/>
      <c r="Q2278" s="181"/>
      <c r="R2278" s="181"/>
      <c r="S2278" s="1"/>
      <c r="T2278" s="1"/>
    </row>
    <row r="2279" spans="1:20" ht="27.75" customHeight="1">
      <c r="A2279" s="82" t="s">
        <v>35</v>
      </c>
      <c r="B2279" s="145">
        <v>757</v>
      </c>
      <c r="C2279" s="84" t="s">
        <v>18</v>
      </c>
      <c r="D2279" s="84" t="s">
        <v>22</v>
      </c>
      <c r="E2279" s="84" t="s">
        <v>1335</v>
      </c>
      <c r="F2279" s="84" t="s">
        <v>36</v>
      </c>
      <c r="G2279" s="87">
        <f t="shared" ref="G2279" si="653">G2280</f>
        <v>1500</v>
      </c>
      <c r="H2279" s="87">
        <f>H2280</f>
        <v>0</v>
      </c>
      <c r="I2279" s="87">
        <f>I2280</f>
        <v>0</v>
      </c>
      <c r="J2279" s="173"/>
      <c r="K2279" s="181"/>
      <c r="L2279" s="181"/>
      <c r="M2279" s="181"/>
      <c r="N2279" s="181"/>
      <c r="O2279" s="181"/>
      <c r="P2279" s="181"/>
      <c r="Q2279" s="181"/>
      <c r="R2279" s="181"/>
      <c r="S2279" s="1"/>
      <c r="T2279" s="1"/>
    </row>
    <row r="2280" spans="1:20" ht="28.5" customHeight="1">
      <c r="A2280" s="82" t="s">
        <v>37</v>
      </c>
      <c r="B2280" s="145">
        <v>757</v>
      </c>
      <c r="C2280" s="84" t="s">
        <v>18</v>
      </c>
      <c r="D2280" s="84" t="s">
        <v>22</v>
      </c>
      <c r="E2280" s="84" t="s">
        <v>1335</v>
      </c>
      <c r="F2280" s="84" t="s">
        <v>38</v>
      </c>
      <c r="G2280" s="87">
        <f>прил4!G28</f>
        <v>1500</v>
      </c>
      <c r="H2280" s="87">
        <v>0</v>
      </c>
      <c r="I2280" s="87">
        <v>0</v>
      </c>
      <c r="J2280" s="173"/>
      <c r="K2280" s="181"/>
      <c r="L2280" s="181"/>
      <c r="M2280" s="181"/>
      <c r="N2280" s="181"/>
      <c r="O2280" s="181"/>
      <c r="P2280" s="181"/>
      <c r="Q2280" s="181"/>
      <c r="R2280" s="181"/>
      <c r="S2280" s="1"/>
      <c r="T2280" s="1"/>
    </row>
    <row r="2281" spans="1:20" s="18" customFormat="1" ht="34.5" customHeight="1">
      <c r="A2281" s="16" t="s">
        <v>392</v>
      </c>
      <c r="B2281" s="145">
        <v>763</v>
      </c>
      <c r="C2281" s="84" t="s">
        <v>18</v>
      </c>
      <c r="D2281" s="84" t="s">
        <v>22</v>
      </c>
      <c r="E2281" s="15" t="s">
        <v>1279</v>
      </c>
      <c r="F2281" s="15"/>
      <c r="G2281" s="70">
        <f>G2282</f>
        <v>2000</v>
      </c>
      <c r="H2281" s="70">
        <v>0</v>
      </c>
      <c r="I2281" s="70">
        <v>0</v>
      </c>
      <c r="J2281" s="172"/>
      <c r="K2281" s="180"/>
      <c r="L2281" s="180"/>
      <c r="M2281" s="180"/>
      <c r="N2281" s="180"/>
      <c r="O2281" s="180"/>
      <c r="P2281" s="180"/>
      <c r="Q2281" s="180"/>
      <c r="R2281" s="180"/>
    </row>
    <row r="2282" spans="1:20" s="18" customFormat="1" ht="34.5" customHeight="1">
      <c r="A2282" s="16" t="s">
        <v>392</v>
      </c>
      <c r="B2282" s="145">
        <v>763</v>
      </c>
      <c r="C2282" s="84" t="s">
        <v>18</v>
      </c>
      <c r="D2282" s="84" t="s">
        <v>22</v>
      </c>
      <c r="E2282" s="15" t="s">
        <v>391</v>
      </c>
      <c r="F2282" s="15"/>
      <c r="G2282" s="70">
        <f>G2283</f>
        <v>2000</v>
      </c>
      <c r="H2282" s="70">
        <v>0</v>
      </c>
      <c r="I2282" s="70">
        <v>0</v>
      </c>
      <c r="J2282" s="172"/>
      <c r="K2282" s="180"/>
      <c r="L2282" s="180"/>
      <c r="M2282" s="180"/>
      <c r="N2282" s="180"/>
      <c r="O2282" s="180"/>
      <c r="P2282" s="180"/>
      <c r="Q2282" s="180"/>
      <c r="R2282" s="180"/>
    </row>
    <row r="2283" spans="1:20" s="18" customFormat="1" ht="34.5" customHeight="1">
      <c r="A2283" s="16" t="s">
        <v>321</v>
      </c>
      <c r="B2283" s="145">
        <v>763</v>
      </c>
      <c r="C2283" s="84" t="s">
        <v>18</v>
      </c>
      <c r="D2283" s="84" t="s">
        <v>22</v>
      </c>
      <c r="E2283" s="15" t="s">
        <v>391</v>
      </c>
      <c r="F2283" s="15" t="s">
        <v>320</v>
      </c>
      <c r="G2283" s="70">
        <f>прил4!G582</f>
        <v>2000</v>
      </c>
      <c r="H2283" s="70">
        <v>0</v>
      </c>
      <c r="I2283" s="70">
        <v>0</v>
      </c>
      <c r="J2283" s="172"/>
      <c r="K2283" s="180"/>
      <c r="L2283" s="180"/>
      <c r="M2283" s="180"/>
      <c r="N2283" s="180"/>
      <c r="O2283" s="180"/>
      <c r="P2283" s="180"/>
      <c r="Q2283" s="180"/>
      <c r="R2283" s="180"/>
    </row>
    <row r="2284" spans="1:20" s="18" customFormat="1" ht="34.5" customHeight="1">
      <c r="A2284" s="16" t="s">
        <v>418</v>
      </c>
      <c r="B2284" s="145">
        <v>763</v>
      </c>
      <c r="C2284" s="84" t="s">
        <v>18</v>
      </c>
      <c r="D2284" s="84" t="s">
        <v>22</v>
      </c>
      <c r="E2284" s="15" t="s">
        <v>487</v>
      </c>
      <c r="F2284" s="15"/>
      <c r="G2284" s="70">
        <f>G2285</f>
        <v>70.8</v>
      </c>
      <c r="H2284" s="70">
        <v>0</v>
      </c>
      <c r="I2284" s="70">
        <v>0</v>
      </c>
      <c r="J2284" s="172"/>
      <c r="K2284" s="180"/>
      <c r="L2284" s="180"/>
      <c r="M2284" s="180"/>
      <c r="N2284" s="180"/>
      <c r="O2284" s="180"/>
      <c r="P2284" s="180"/>
      <c r="Q2284" s="180"/>
      <c r="R2284" s="180"/>
    </row>
    <row r="2285" spans="1:20" s="18" customFormat="1" ht="34.5" customHeight="1">
      <c r="A2285" s="16" t="s">
        <v>418</v>
      </c>
      <c r="B2285" s="145">
        <v>763</v>
      </c>
      <c r="C2285" s="84" t="s">
        <v>18</v>
      </c>
      <c r="D2285" s="84" t="s">
        <v>22</v>
      </c>
      <c r="E2285" s="15" t="s">
        <v>417</v>
      </c>
      <c r="F2285" s="15"/>
      <c r="G2285" s="70">
        <f>G2286</f>
        <v>70.8</v>
      </c>
      <c r="H2285" s="70">
        <v>0</v>
      </c>
      <c r="I2285" s="70">
        <v>0</v>
      </c>
      <c r="J2285" s="172"/>
      <c r="K2285" s="180"/>
      <c r="L2285" s="180"/>
      <c r="M2285" s="180"/>
      <c r="N2285" s="180"/>
      <c r="O2285" s="180"/>
      <c r="P2285" s="180"/>
      <c r="Q2285" s="180"/>
      <c r="R2285" s="180"/>
    </row>
    <row r="2286" spans="1:20" s="18" customFormat="1" ht="34.5" customHeight="1">
      <c r="A2286" s="16" t="s">
        <v>321</v>
      </c>
      <c r="B2286" s="145">
        <v>763</v>
      </c>
      <c r="C2286" s="84" t="s">
        <v>18</v>
      </c>
      <c r="D2286" s="84" t="s">
        <v>22</v>
      </c>
      <c r="E2286" s="15" t="s">
        <v>417</v>
      </c>
      <c r="F2286" s="15" t="s">
        <v>320</v>
      </c>
      <c r="G2286" s="70">
        <f>прил4!G585</f>
        <v>70.8</v>
      </c>
      <c r="H2286" s="70">
        <v>0</v>
      </c>
      <c r="I2286" s="70">
        <v>0</v>
      </c>
      <c r="J2286" s="172"/>
      <c r="K2286" s="180"/>
      <c r="L2286" s="180"/>
      <c r="M2286" s="180"/>
      <c r="N2286" s="180"/>
      <c r="O2286" s="180"/>
      <c r="P2286" s="180"/>
      <c r="Q2286" s="180"/>
      <c r="R2286" s="180"/>
    </row>
    <row r="2287" spans="1:20" s="18" customFormat="1" ht="34.5" customHeight="1">
      <c r="A2287" s="16" t="s">
        <v>798</v>
      </c>
      <c r="B2287" s="145">
        <v>763</v>
      </c>
      <c r="C2287" s="84" t="s">
        <v>18</v>
      </c>
      <c r="D2287" s="84" t="s">
        <v>22</v>
      </c>
      <c r="E2287" s="15" t="s">
        <v>1280</v>
      </c>
      <c r="F2287" s="15"/>
      <c r="G2287" s="70">
        <f>G2288</f>
        <v>348.85</v>
      </c>
      <c r="H2287" s="70">
        <v>0</v>
      </c>
      <c r="I2287" s="70">
        <v>0</v>
      </c>
      <c r="J2287" s="172"/>
      <c r="K2287" s="180"/>
      <c r="L2287" s="180"/>
      <c r="M2287" s="180"/>
      <c r="N2287" s="180"/>
      <c r="O2287" s="180"/>
      <c r="P2287" s="180"/>
      <c r="Q2287" s="180"/>
      <c r="R2287" s="180"/>
    </row>
    <row r="2288" spans="1:20" s="18" customFormat="1" ht="34.5" customHeight="1">
      <c r="A2288" s="16" t="s">
        <v>798</v>
      </c>
      <c r="B2288" s="145">
        <v>763</v>
      </c>
      <c r="C2288" s="84" t="s">
        <v>18</v>
      </c>
      <c r="D2288" s="84" t="s">
        <v>22</v>
      </c>
      <c r="E2288" s="15" t="s">
        <v>797</v>
      </c>
      <c r="F2288" s="15"/>
      <c r="G2288" s="70">
        <f>G2289</f>
        <v>348.85</v>
      </c>
      <c r="H2288" s="70">
        <v>0</v>
      </c>
      <c r="I2288" s="70">
        <v>0</v>
      </c>
      <c r="J2288" s="172"/>
      <c r="K2288" s="180"/>
      <c r="L2288" s="180"/>
      <c r="M2288" s="180"/>
      <c r="N2288" s="180"/>
      <c r="O2288" s="180"/>
      <c r="P2288" s="180"/>
      <c r="Q2288" s="180"/>
      <c r="R2288" s="180"/>
    </row>
    <row r="2289" spans="1:20" s="18" customFormat="1" ht="34.5" customHeight="1">
      <c r="A2289" s="16" t="s">
        <v>321</v>
      </c>
      <c r="B2289" s="145">
        <v>763</v>
      </c>
      <c r="C2289" s="84" t="s">
        <v>18</v>
      </c>
      <c r="D2289" s="84" t="s">
        <v>22</v>
      </c>
      <c r="E2289" s="15" t="s">
        <v>797</v>
      </c>
      <c r="F2289" s="15" t="s">
        <v>320</v>
      </c>
      <c r="G2289" s="70">
        <f>прил4!G588</f>
        <v>348.85</v>
      </c>
      <c r="H2289" s="70">
        <v>0</v>
      </c>
      <c r="I2289" s="70">
        <v>0</v>
      </c>
      <c r="J2289" s="172"/>
      <c r="K2289" s="180"/>
      <c r="L2289" s="180"/>
      <c r="M2289" s="180"/>
      <c r="N2289" s="180"/>
      <c r="O2289" s="180"/>
      <c r="P2289" s="180"/>
      <c r="Q2289" s="180"/>
      <c r="R2289" s="180"/>
    </row>
    <row r="2290" spans="1:20" s="90" customFormat="1" ht="49.5" customHeight="1">
      <c r="A2290" s="82" t="s">
        <v>1475</v>
      </c>
      <c r="B2290" s="145">
        <v>793</v>
      </c>
      <c r="C2290" s="84" t="s">
        <v>18</v>
      </c>
      <c r="D2290" s="84" t="s">
        <v>22</v>
      </c>
      <c r="E2290" s="84" t="s">
        <v>1464</v>
      </c>
      <c r="F2290" s="84"/>
      <c r="G2290" s="87">
        <f>G2293</f>
        <v>4633156.05</v>
      </c>
      <c r="H2290" s="87"/>
      <c r="I2290" s="87"/>
      <c r="J2290" s="123"/>
      <c r="N2290" s="123"/>
      <c r="P2290" s="123"/>
      <c r="Q2290" s="123"/>
      <c r="R2290" s="123"/>
      <c r="S2290" s="123"/>
      <c r="T2290" s="123"/>
    </row>
    <row r="2291" spans="1:20" s="90" customFormat="1" ht="29.25" hidden="1" customHeight="1">
      <c r="A2291" s="16" t="s">
        <v>316</v>
      </c>
      <c r="B2291" s="84" t="s">
        <v>92</v>
      </c>
      <c r="C2291" s="84" t="s">
        <v>25</v>
      </c>
      <c r="D2291" s="84" t="s">
        <v>27</v>
      </c>
      <c r="E2291" s="84" t="s">
        <v>205</v>
      </c>
      <c r="F2291" s="84" t="s">
        <v>36</v>
      </c>
      <c r="G2291" s="87">
        <f>G2292</f>
        <v>0</v>
      </c>
      <c r="H2291" s="87"/>
      <c r="I2291" s="87"/>
      <c r="J2291" s="123"/>
      <c r="P2291" s="123"/>
      <c r="Q2291" s="123"/>
      <c r="R2291" s="123"/>
      <c r="S2291" s="123"/>
      <c r="T2291" s="123"/>
    </row>
    <row r="2292" spans="1:20" s="90" customFormat="1" ht="36.75" hidden="1" customHeight="1">
      <c r="A2292" s="16" t="s">
        <v>37</v>
      </c>
      <c r="B2292" s="84" t="s">
        <v>92</v>
      </c>
      <c r="C2292" s="84" t="s">
        <v>25</v>
      </c>
      <c r="D2292" s="84" t="s">
        <v>27</v>
      </c>
      <c r="E2292" s="84" t="s">
        <v>205</v>
      </c>
      <c r="F2292" s="84" t="s">
        <v>38</v>
      </c>
      <c r="G2292" s="87">
        <f>прил4!G3588</f>
        <v>0</v>
      </c>
      <c r="H2292" s="87"/>
      <c r="I2292" s="87"/>
      <c r="J2292" s="123"/>
      <c r="P2292" s="123"/>
      <c r="Q2292" s="123"/>
      <c r="R2292" s="123"/>
      <c r="S2292" s="123"/>
      <c r="T2292" s="123"/>
    </row>
    <row r="2293" spans="1:20" ht="17.25" customHeight="1">
      <c r="A2293" s="16" t="s">
        <v>316</v>
      </c>
      <c r="B2293" s="14">
        <v>793</v>
      </c>
      <c r="C2293" s="15" t="s">
        <v>18</v>
      </c>
      <c r="D2293" s="15" t="s">
        <v>22</v>
      </c>
      <c r="E2293" s="84" t="s">
        <v>1464</v>
      </c>
      <c r="F2293" s="15" t="s">
        <v>36</v>
      </c>
      <c r="G2293" s="70">
        <f>G2294</f>
        <v>4633156.05</v>
      </c>
      <c r="H2293" s="70">
        <f>H2294</f>
        <v>0</v>
      </c>
      <c r="I2293" s="70">
        <f>I2294</f>
        <v>0</v>
      </c>
      <c r="J2293" s="172"/>
      <c r="K2293" s="69"/>
      <c r="L2293" s="69"/>
      <c r="M2293" s="69"/>
      <c r="N2293" s="69"/>
      <c r="O2293" s="69"/>
      <c r="P2293" s="69"/>
      <c r="Q2293" s="69"/>
      <c r="R2293" s="69"/>
      <c r="S2293" s="1"/>
      <c r="T2293" s="1"/>
    </row>
    <row r="2294" spans="1:20" ht="24" customHeight="1">
      <c r="A2294" s="16" t="s">
        <v>37</v>
      </c>
      <c r="B2294" s="14">
        <v>793</v>
      </c>
      <c r="C2294" s="15" t="s">
        <v>18</v>
      </c>
      <c r="D2294" s="15" t="s">
        <v>22</v>
      </c>
      <c r="E2294" s="84" t="s">
        <v>1464</v>
      </c>
      <c r="F2294" s="15" t="s">
        <v>38</v>
      </c>
      <c r="G2294" s="70">
        <f>прил4!G1751</f>
        <v>4633156.05</v>
      </c>
      <c r="H2294" s="70">
        <v>0</v>
      </c>
      <c r="I2294" s="70">
        <v>0</v>
      </c>
      <c r="J2294" s="172"/>
      <c r="K2294" s="69"/>
      <c r="L2294" s="69"/>
      <c r="M2294" s="69"/>
      <c r="N2294" s="69"/>
      <c r="O2294" s="69"/>
      <c r="P2294" s="69"/>
      <c r="Q2294" s="69"/>
      <c r="R2294" s="69"/>
      <c r="S2294" s="1"/>
      <c r="T2294" s="1"/>
    </row>
    <row r="2295" spans="1:20" s="122" customFormat="1">
      <c r="A2295" s="150" t="s">
        <v>272</v>
      </c>
      <c r="B2295" s="151">
        <v>793</v>
      </c>
      <c r="C2295" s="152" t="s">
        <v>18</v>
      </c>
      <c r="D2295" s="152" t="s">
        <v>167</v>
      </c>
      <c r="E2295" s="152" t="s">
        <v>273</v>
      </c>
      <c r="F2295" s="152"/>
      <c r="G2295" s="153">
        <f>G2298+G2299</f>
        <v>7990.18</v>
      </c>
      <c r="H2295" s="153">
        <f>H2298</f>
        <v>1483.42</v>
      </c>
      <c r="I2295" s="153">
        <f>I2298</f>
        <v>1323.3000000000002</v>
      </c>
      <c r="J2295" s="121"/>
      <c r="P2295" s="121"/>
      <c r="Q2295" s="121"/>
      <c r="R2295" s="121"/>
      <c r="S2295" s="121"/>
      <c r="T2295" s="121"/>
    </row>
    <row r="2296" spans="1:20" s="146" customFormat="1" ht="39.75" customHeight="1">
      <c r="A2296" s="104" t="s">
        <v>274</v>
      </c>
      <c r="B2296" s="145">
        <v>793</v>
      </c>
      <c r="C2296" s="84" t="s">
        <v>18</v>
      </c>
      <c r="D2296" s="84" t="s">
        <v>167</v>
      </c>
      <c r="E2296" s="84" t="s">
        <v>361</v>
      </c>
      <c r="F2296" s="84"/>
      <c r="G2296" s="87">
        <f t="shared" ref="G2296:I2297" si="654">G2297</f>
        <v>7990.18</v>
      </c>
      <c r="H2296" s="87">
        <f t="shared" si="654"/>
        <v>1483.42</v>
      </c>
      <c r="I2296" s="87">
        <f t="shared" si="654"/>
        <v>1323.3000000000002</v>
      </c>
      <c r="J2296" s="148">
        <v>11200</v>
      </c>
      <c r="P2296" s="148"/>
      <c r="Q2296" s="148"/>
      <c r="R2296" s="148"/>
      <c r="S2296" s="148"/>
      <c r="T2296" s="148"/>
    </row>
    <row r="2297" spans="1:20" s="146" customFormat="1">
      <c r="A2297" s="82" t="s">
        <v>316</v>
      </c>
      <c r="B2297" s="145">
        <v>793</v>
      </c>
      <c r="C2297" s="84" t="s">
        <v>18</v>
      </c>
      <c r="D2297" s="84" t="s">
        <v>167</v>
      </c>
      <c r="E2297" s="84" t="s">
        <v>361</v>
      </c>
      <c r="F2297" s="84" t="s">
        <v>36</v>
      </c>
      <c r="G2297" s="87">
        <f t="shared" si="654"/>
        <v>7990.18</v>
      </c>
      <c r="H2297" s="87">
        <f t="shared" si="654"/>
        <v>1483.42</v>
      </c>
      <c r="I2297" s="87">
        <f t="shared" si="654"/>
        <v>1323.3000000000002</v>
      </c>
      <c r="J2297" s="148"/>
      <c r="P2297" s="148"/>
      <c r="Q2297" s="148"/>
      <c r="R2297" s="148"/>
      <c r="S2297" s="148"/>
      <c r="T2297" s="148"/>
    </row>
    <row r="2298" spans="1:20" s="46" customFormat="1" ht="26.4">
      <c r="A2298" s="16" t="s">
        <v>37</v>
      </c>
      <c r="B2298" s="14">
        <v>793</v>
      </c>
      <c r="C2298" s="15" t="s">
        <v>18</v>
      </c>
      <c r="D2298" s="15" t="s">
        <v>167</v>
      </c>
      <c r="E2298" s="15" t="s">
        <v>361</v>
      </c>
      <c r="F2298" s="15" t="s">
        <v>38</v>
      </c>
      <c r="G2298" s="87">
        <f>прил4!G1576</f>
        <v>7990.18</v>
      </c>
      <c r="H2298" s="87">
        <f>прил4!H1576</f>
        <v>1483.42</v>
      </c>
      <c r="I2298" s="87">
        <f>прил4!I1576</f>
        <v>1323.3000000000002</v>
      </c>
      <c r="J2298" s="110"/>
      <c r="P2298" s="110"/>
      <c r="Q2298" s="110"/>
      <c r="R2298" s="110"/>
      <c r="S2298" s="110"/>
      <c r="T2298" s="110"/>
    </row>
    <row r="2299" spans="1:20" s="46" customFormat="1" hidden="1">
      <c r="A2299" s="16" t="s">
        <v>272</v>
      </c>
      <c r="B2299" s="14">
        <v>793</v>
      </c>
      <c r="C2299" s="15" t="s">
        <v>18</v>
      </c>
      <c r="D2299" s="15" t="s">
        <v>25</v>
      </c>
      <c r="E2299" s="15" t="s">
        <v>273</v>
      </c>
      <c r="F2299" s="15"/>
      <c r="G2299" s="70">
        <f t="shared" ref="G2299:I2299" si="655">G2300</f>
        <v>0</v>
      </c>
      <c r="H2299" s="70">
        <f t="shared" si="655"/>
        <v>0</v>
      </c>
      <c r="I2299" s="70">
        <f t="shared" si="655"/>
        <v>0</v>
      </c>
      <c r="P2299" s="110"/>
      <c r="Q2299" s="2"/>
      <c r="R2299" s="110"/>
      <c r="S2299" s="110"/>
      <c r="T2299" s="110"/>
    </row>
    <row r="2300" spans="1:20" s="46" customFormat="1" ht="48" hidden="1" customHeight="1">
      <c r="A2300" s="16"/>
      <c r="B2300" s="14"/>
      <c r="C2300" s="15"/>
      <c r="D2300" s="15"/>
      <c r="E2300" s="15"/>
      <c r="F2300" s="15"/>
      <c r="G2300" s="70"/>
      <c r="H2300" s="70"/>
      <c r="I2300" s="70"/>
      <c r="P2300" s="110"/>
      <c r="Q2300" s="110"/>
      <c r="R2300" s="110"/>
      <c r="S2300" s="110"/>
      <c r="T2300" s="110"/>
    </row>
    <row r="2301" spans="1:20" s="46" customFormat="1" ht="29.25" hidden="1" customHeight="1">
      <c r="A2301" s="16"/>
      <c r="B2301" s="14"/>
      <c r="C2301" s="15"/>
      <c r="D2301" s="15"/>
      <c r="E2301" s="15"/>
      <c r="F2301" s="15"/>
      <c r="G2301" s="70"/>
      <c r="H2301" s="70"/>
      <c r="I2301" s="70"/>
      <c r="P2301" s="110"/>
      <c r="Q2301" s="110"/>
      <c r="R2301" s="110"/>
      <c r="S2301" s="110"/>
      <c r="T2301" s="110"/>
    </row>
    <row r="2302" spans="1:20" s="46" customFormat="1" hidden="1">
      <c r="A2302" s="16"/>
      <c r="B2302" s="14"/>
      <c r="C2302" s="15"/>
      <c r="D2302" s="15"/>
      <c r="E2302" s="15"/>
      <c r="F2302" s="15"/>
      <c r="G2302" s="70"/>
      <c r="H2302" s="70"/>
      <c r="I2302" s="70"/>
      <c r="P2302" s="110"/>
      <c r="Q2302" s="110"/>
      <c r="R2302" s="110"/>
      <c r="S2302" s="110"/>
      <c r="T2302" s="110"/>
    </row>
    <row r="2303" spans="1:20" s="22" customFormat="1" ht="26.4">
      <c r="A2303" s="34" t="s">
        <v>1109</v>
      </c>
      <c r="B2303" s="35">
        <v>800</v>
      </c>
      <c r="C2303" s="36" t="s">
        <v>18</v>
      </c>
      <c r="D2303" s="36" t="s">
        <v>53</v>
      </c>
      <c r="E2303" s="36" t="s">
        <v>1110</v>
      </c>
      <c r="F2303" s="308"/>
      <c r="G2303" s="314">
        <f>G2304</f>
        <v>6487698.4100000001</v>
      </c>
      <c r="H2303" s="314">
        <f t="shared" ref="H2303:I2303" si="656">H2304</f>
        <v>6233577</v>
      </c>
      <c r="I2303" s="314">
        <f t="shared" si="656"/>
        <v>6292715</v>
      </c>
      <c r="J2303" s="315"/>
      <c r="K2303" s="243"/>
      <c r="L2303" s="61"/>
      <c r="M2303" s="61"/>
      <c r="N2303" s="61"/>
      <c r="O2303" s="61"/>
      <c r="P2303" s="61"/>
      <c r="Q2303" s="61"/>
      <c r="R2303" s="61"/>
    </row>
    <row r="2304" spans="1:20" s="46" customFormat="1" ht="26.4">
      <c r="A2304" s="16" t="s">
        <v>1192</v>
      </c>
      <c r="B2304" s="14">
        <v>800</v>
      </c>
      <c r="C2304" s="84" t="s">
        <v>18</v>
      </c>
      <c r="D2304" s="84" t="s">
        <v>53</v>
      </c>
      <c r="E2304" s="15" t="s">
        <v>1108</v>
      </c>
      <c r="F2304" s="84"/>
      <c r="G2304" s="87">
        <f>G2305+G2307</f>
        <v>6487698.4100000001</v>
      </c>
      <c r="H2304" s="87">
        <f t="shared" ref="H2304:I2304" si="657">H2305+H2307</f>
        <v>6233577</v>
      </c>
      <c r="I2304" s="87">
        <f t="shared" si="657"/>
        <v>6292715</v>
      </c>
      <c r="J2304" s="173"/>
      <c r="K2304" s="215"/>
      <c r="L2304" s="215"/>
      <c r="M2304" s="215"/>
      <c r="N2304" s="215"/>
      <c r="O2304" s="215"/>
      <c r="P2304" s="215"/>
      <c r="Q2304" s="215"/>
      <c r="R2304" s="215"/>
    </row>
    <row r="2305" spans="1:20" s="46" customFormat="1" ht="52.8">
      <c r="A2305" s="82" t="s">
        <v>312</v>
      </c>
      <c r="B2305" s="14">
        <v>800</v>
      </c>
      <c r="C2305" s="84" t="s">
        <v>18</v>
      </c>
      <c r="D2305" s="84" t="s">
        <v>53</v>
      </c>
      <c r="E2305" s="15" t="s">
        <v>1108</v>
      </c>
      <c r="F2305" s="84" t="s">
        <v>57</v>
      </c>
      <c r="G2305" s="87">
        <f>G2306</f>
        <v>6174009.4100000001</v>
      </c>
      <c r="H2305" s="87">
        <f>H2306</f>
        <v>5913888</v>
      </c>
      <c r="I2305" s="87">
        <f>I2306</f>
        <v>5973026</v>
      </c>
      <c r="J2305" s="173"/>
      <c r="K2305" s="215"/>
      <c r="L2305" s="215"/>
      <c r="M2305" s="215"/>
      <c r="N2305" s="215"/>
      <c r="O2305" s="215"/>
      <c r="P2305" s="215"/>
      <c r="Q2305" s="215"/>
      <c r="R2305" s="215"/>
    </row>
    <row r="2306" spans="1:20" s="46" customFormat="1" ht="26.4">
      <c r="A2306" s="82" t="s">
        <v>55</v>
      </c>
      <c r="B2306" s="14">
        <v>800</v>
      </c>
      <c r="C2306" s="84" t="s">
        <v>18</v>
      </c>
      <c r="D2306" s="84" t="s">
        <v>53</v>
      </c>
      <c r="E2306" s="15" t="s">
        <v>1108</v>
      </c>
      <c r="F2306" s="84" t="s">
        <v>58</v>
      </c>
      <c r="G2306" s="87">
        <f>прил4!G3324</f>
        <v>6174009.4100000001</v>
      </c>
      <c r="H2306" s="87">
        <f>прил4!H3324</f>
        <v>5913888</v>
      </c>
      <c r="I2306" s="87">
        <f>прил4!I3324</f>
        <v>5973026</v>
      </c>
      <c r="J2306" s="173"/>
      <c r="K2306" s="215"/>
      <c r="L2306" s="215"/>
      <c r="M2306" s="215"/>
      <c r="N2306" s="215"/>
      <c r="O2306" s="215"/>
      <c r="P2306" s="215"/>
      <c r="Q2306" s="207"/>
      <c r="R2306" s="215"/>
    </row>
    <row r="2307" spans="1:20" s="46" customFormat="1" ht="34.5" customHeight="1">
      <c r="A2307" s="82" t="s">
        <v>316</v>
      </c>
      <c r="B2307" s="14">
        <v>800</v>
      </c>
      <c r="C2307" s="84" t="s">
        <v>18</v>
      </c>
      <c r="D2307" s="84" t="s">
        <v>53</v>
      </c>
      <c r="E2307" s="15" t="s">
        <v>1108</v>
      </c>
      <c r="F2307" s="84" t="s">
        <v>36</v>
      </c>
      <c r="G2307" s="87">
        <f>G2308</f>
        <v>313689</v>
      </c>
      <c r="H2307" s="87">
        <f>H2308</f>
        <v>319689</v>
      </c>
      <c r="I2307" s="87">
        <f>I2308</f>
        <v>319689</v>
      </c>
      <c r="J2307" s="173"/>
      <c r="K2307" s="215"/>
      <c r="L2307" s="215"/>
      <c r="M2307" s="215"/>
      <c r="N2307" s="215"/>
      <c r="O2307" s="215"/>
      <c r="P2307" s="215"/>
      <c r="Q2307" s="215"/>
      <c r="R2307" s="215"/>
    </row>
    <row r="2308" spans="1:20" s="46" customFormat="1" ht="26.4">
      <c r="A2308" s="82" t="s">
        <v>37</v>
      </c>
      <c r="B2308" s="14">
        <v>800</v>
      </c>
      <c r="C2308" s="84" t="s">
        <v>18</v>
      </c>
      <c r="D2308" s="84" t="s">
        <v>53</v>
      </c>
      <c r="E2308" s="15" t="s">
        <v>1108</v>
      </c>
      <c r="F2308" s="84" t="s">
        <v>38</v>
      </c>
      <c r="G2308" s="87">
        <f>прил4!G3326</f>
        <v>313689</v>
      </c>
      <c r="H2308" s="87">
        <f>прил4!H3326</f>
        <v>319689</v>
      </c>
      <c r="I2308" s="87">
        <f>прил4!I3326</f>
        <v>319689</v>
      </c>
      <c r="J2308" s="173"/>
      <c r="K2308" s="215"/>
      <c r="L2308" s="215"/>
      <c r="M2308" s="215"/>
      <c r="N2308" s="215"/>
      <c r="O2308" s="215"/>
      <c r="P2308" s="215"/>
      <c r="Q2308" s="215"/>
      <c r="R2308" s="215"/>
    </row>
    <row r="2309" spans="1:20" s="76" customFormat="1" ht="26.4">
      <c r="A2309" s="34" t="s">
        <v>1123</v>
      </c>
      <c r="B2309" s="151">
        <v>793</v>
      </c>
      <c r="C2309" s="36" t="s">
        <v>27</v>
      </c>
      <c r="D2309" s="36" t="s">
        <v>69</v>
      </c>
      <c r="E2309" s="36" t="s">
        <v>1121</v>
      </c>
      <c r="F2309" s="75"/>
      <c r="G2309" s="71">
        <f>G2311</f>
        <v>2523257.5500000003</v>
      </c>
      <c r="H2309" s="71">
        <f>H2311</f>
        <v>2638640.5499999998</v>
      </c>
      <c r="I2309" s="71">
        <f>I2311</f>
        <v>2732975.8</v>
      </c>
      <c r="J2309" s="323"/>
      <c r="K2309" s="324"/>
      <c r="L2309" s="324"/>
      <c r="M2309" s="324"/>
      <c r="N2309" s="324"/>
      <c r="O2309" s="324"/>
      <c r="P2309" s="324"/>
      <c r="Q2309" s="324"/>
      <c r="R2309" s="324"/>
    </row>
    <row r="2310" spans="1:20" s="46" customFormat="1" ht="41.25" hidden="1" customHeight="1">
      <c r="A2310" s="16"/>
      <c r="B2310" s="145"/>
      <c r="C2310" s="15"/>
      <c r="D2310" s="15"/>
      <c r="E2310" s="15"/>
      <c r="F2310" s="15"/>
      <c r="G2310" s="70"/>
      <c r="H2310" s="70"/>
      <c r="I2310" s="70"/>
      <c r="J2310" s="172"/>
      <c r="K2310" s="58"/>
      <c r="L2310" s="58"/>
      <c r="M2310" s="58"/>
      <c r="N2310" s="58"/>
      <c r="O2310" s="58"/>
      <c r="P2310" s="58"/>
      <c r="Q2310" s="58"/>
      <c r="R2310" s="58"/>
    </row>
    <row r="2311" spans="1:20" s="28" customFormat="1" ht="26.4">
      <c r="A2311" s="16" t="s">
        <v>161</v>
      </c>
      <c r="B2311" s="145">
        <v>793</v>
      </c>
      <c r="C2311" s="15" t="s">
        <v>27</v>
      </c>
      <c r="D2311" s="15" t="s">
        <v>69</v>
      </c>
      <c r="E2311" s="15" t="s">
        <v>1122</v>
      </c>
      <c r="F2311" s="39"/>
      <c r="G2311" s="70">
        <f>G2312+G2314</f>
        <v>2523257.5500000003</v>
      </c>
      <c r="H2311" s="70">
        <f t="shared" ref="H2311:I2311" si="658">H2312+H2314</f>
        <v>2638640.5499999998</v>
      </c>
      <c r="I2311" s="70">
        <f t="shared" si="658"/>
        <v>2732975.8</v>
      </c>
      <c r="J2311" s="172"/>
      <c r="K2311" s="313"/>
      <c r="L2311" s="313"/>
      <c r="M2311" s="313"/>
      <c r="N2311" s="313"/>
      <c r="O2311" s="313"/>
      <c r="P2311" s="313"/>
      <c r="Q2311" s="313"/>
      <c r="R2311" s="313"/>
    </row>
    <row r="2312" spans="1:20" ht="22.5" customHeight="1">
      <c r="A2312" s="82" t="s">
        <v>55</v>
      </c>
      <c r="B2312" s="145">
        <v>793</v>
      </c>
      <c r="C2312" s="15" t="s">
        <v>27</v>
      </c>
      <c r="D2312" s="15" t="s">
        <v>69</v>
      </c>
      <c r="E2312" s="15" t="s">
        <v>1122</v>
      </c>
      <c r="F2312" s="15" t="s">
        <v>57</v>
      </c>
      <c r="G2312" s="70">
        <f t="shared" ref="G2312:I2314" si="659">G2313</f>
        <v>2473883.4700000002</v>
      </c>
      <c r="H2312" s="70">
        <f t="shared" si="659"/>
        <v>2392297.6999999997</v>
      </c>
      <c r="I2312" s="70">
        <f t="shared" si="659"/>
        <v>2392199.9499999997</v>
      </c>
      <c r="J2312" s="172"/>
      <c r="K2312" s="69"/>
      <c r="L2312" s="69"/>
      <c r="M2312" s="69"/>
      <c r="N2312" s="69"/>
      <c r="O2312" s="69"/>
      <c r="P2312" s="69"/>
      <c r="Q2312" s="69"/>
      <c r="R2312" s="69"/>
      <c r="S2312" s="1"/>
      <c r="T2312" s="1"/>
    </row>
    <row r="2313" spans="1:20">
      <c r="A2313" s="82" t="s">
        <v>316</v>
      </c>
      <c r="B2313" s="145">
        <v>793</v>
      </c>
      <c r="C2313" s="15" t="s">
        <v>27</v>
      </c>
      <c r="D2313" s="15" t="s">
        <v>69</v>
      </c>
      <c r="E2313" s="15" t="s">
        <v>1122</v>
      </c>
      <c r="F2313" s="15" t="s">
        <v>58</v>
      </c>
      <c r="G2313" s="70">
        <f>прил4!G1767+прил4!G3344</f>
        <v>2473883.4700000002</v>
      </c>
      <c r="H2313" s="70">
        <f>прил4!H1767+прил4!H3344</f>
        <v>2392297.6999999997</v>
      </c>
      <c r="I2313" s="70">
        <f>прил4!I1767+прил4!I3344</f>
        <v>2392199.9499999997</v>
      </c>
      <c r="J2313" s="172"/>
      <c r="K2313" s="69"/>
      <c r="L2313" s="69"/>
      <c r="M2313" s="69"/>
      <c r="N2313" s="69"/>
      <c r="O2313" s="69"/>
      <c r="P2313" s="69"/>
      <c r="Q2313" s="69"/>
      <c r="R2313" s="69"/>
      <c r="S2313" s="1"/>
      <c r="T2313" s="1"/>
    </row>
    <row r="2314" spans="1:20" ht="22.5" customHeight="1">
      <c r="A2314" s="82" t="s">
        <v>55</v>
      </c>
      <c r="B2314" s="145">
        <v>793</v>
      </c>
      <c r="C2314" s="15" t="s">
        <v>27</v>
      </c>
      <c r="D2314" s="15" t="s">
        <v>69</v>
      </c>
      <c r="E2314" s="15" t="s">
        <v>1122</v>
      </c>
      <c r="F2314" s="84" t="s">
        <v>36</v>
      </c>
      <c r="G2314" s="70">
        <f t="shared" si="659"/>
        <v>49374.079999999958</v>
      </c>
      <c r="H2314" s="70">
        <f t="shared" si="659"/>
        <v>246342.84999999998</v>
      </c>
      <c r="I2314" s="70">
        <f t="shared" si="659"/>
        <v>340775.85</v>
      </c>
      <c r="J2314" s="172"/>
      <c r="K2314" s="69"/>
      <c r="L2314" s="69"/>
      <c r="M2314" s="69"/>
      <c r="N2314" s="69"/>
      <c r="O2314" s="69"/>
      <c r="P2314" s="69"/>
      <c r="Q2314" s="69"/>
      <c r="R2314" s="69"/>
      <c r="S2314" s="1"/>
      <c r="T2314" s="1"/>
    </row>
    <row r="2315" spans="1:20">
      <c r="A2315" s="82" t="s">
        <v>316</v>
      </c>
      <c r="B2315" s="145">
        <v>793</v>
      </c>
      <c r="C2315" s="15" t="s">
        <v>27</v>
      </c>
      <c r="D2315" s="15" t="s">
        <v>69</v>
      </c>
      <c r="E2315" s="15" t="s">
        <v>1122</v>
      </c>
      <c r="F2315" s="84" t="s">
        <v>38</v>
      </c>
      <c r="G2315" s="70">
        <f>прил4!G1769+прил4!G3346</f>
        <v>49374.079999999958</v>
      </c>
      <c r="H2315" s="70">
        <f>прил4!H1769+прил4!H3346</f>
        <v>246342.84999999998</v>
      </c>
      <c r="I2315" s="70">
        <f>прил4!I1769+прил4!I3346</f>
        <v>340775.85</v>
      </c>
      <c r="J2315" s="172"/>
      <c r="K2315" s="69"/>
      <c r="L2315" s="69"/>
      <c r="M2315" s="69"/>
      <c r="N2315" s="69"/>
      <c r="O2315" s="69"/>
      <c r="P2315" s="69"/>
      <c r="Q2315" s="69"/>
      <c r="R2315" s="69"/>
      <c r="S2315" s="1"/>
      <c r="T2315" s="1"/>
    </row>
    <row r="2316" spans="1:20">
      <c r="A2316" s="317" t="s">
        <v>1155</v>
      </c>
      <c r="B2316" s="145"/>
      <c r="C2316" s="15"/>
      <c r="D2316" s="15"/>
      <c r="E2316" s="15"/>
      <c r="F2316" s="84"/>
      <c r="G2316" s="70"/>
      <c r="H2316" s="70">
        <f>прил4!H3378</f>
        <v>20573079.07</v>
      </c>
      <c r="I2316" s="70">
        <f>прил4!I3378</f>
        <v>42736073.420000002</v>
      </c>
      <c r="J2316" s="172"/>
      <c r="K2316" s="69"/>
      <c r="L2316" s="69"/>
      <c r="M2316" s="69"/>
      <c r="N2316" s="69"/>
      <c r="O2316" s="69"/>
      <c r="P2316" s="69"/>
      <c r="Q2316" s="69"/>
      <c r="R2316" s="69"/>
      <c r="S2316" s="1"/>
      <c r="T2316" s="1"/>
    </row>
    <row r="2317" spans="1:20" s="22" customFormat="1" ht="26.25" customHeight="1">
      <c r="A2317" s="34" t="s">
        <v>356</v>
      </c>
      <c r="B2317" s="36"/>
      <c r="C2317" s="36"/>
      <c r="D2317" s="36"/>
      <c r="E2317" s="36"/>
      <c r="F2317" s="36"/>
      <c r="G2317" s="71">
        <f>G32+G1986+G2316</f>
        <v>3061114805.3230004</v>
      </c>
      <c r="H2317" s="71">
        <f>H32+H1986+H2316</f>
        <v>1740326451.7999995</v>
      </c>
      <c r="I2317" s="71">
        <f>I32+I1986+I2316</f>
        <v>1735334719.7599995</v>
      </c>
      <c r="J2317" s="21"/>
      <c r="L2317" s="21">
        <f>G2138+H2138+I2138+G2126+H2126+I2126+G2116+H2116+I2116+G2108+H2108+I2108+G2058+H2058+I2058+G2054+H2054+I2054+G1642+H1642+I1642+G1307+H1307+I1307+G985+H985+I985+G160+H160+I160</f>
        <v>515699827.36999995</v>
      </c>
      <c r="P2317" s="21"/>
      <c r="Q2317" s="21">
        <v>40158970</v>
      </c>
      <c r="R2317" s="21"/>
      <c r="S2317" s="21"/>
      <c r="T2317" s="21"/>
    </row>
    <row r="2318" spans="1:20" s="18" customFormat="1" hidden="1">
      <c r="A2318" s="16"/>
      <c r="B2318" s="14"/>
      <c r="C2318" s="15"/>
      <c r="D2318" s="15"/>
      <c r="E2318" s="15"/>
      <c r="F2318" s="15"/>
      <c r="G2318" s="87"/>
      <c r="H2318" s="87"/>
      <c r="I2318" s="87"/>
      <c r="J2318" s="17"/>
      <c r="P2318" s="17"/>
      <c r="Q2318" s="17"/>
      <c r="R2318" s="17"/>
      <c r="S2318" s="17"/>
      <c r="T2318" s="17"/>
    </row>
    <row r="2319" spans="1:20" s="18" customFormat="1" hidden="1">
      <c r="A2319" s="16"/>
      <c r="B2319" s="14"/>
      <c r="C2319" s="15"/>
      <c r="D2319" s="15"/>
      <c r="E2319" s="15"/>
      <c r="F2319" s="15"/>
      <c r="G2319" s="87"/>
      <c r="H2319" s="87"/>
      <c r="I2319" s="87"/>
      <c r="J2319" s="17"/>
      <c r="P2319" s="17"/>
      <c r="Q2319" s="17"/>
      <c r="R2319" s="17"/>
      <c r="S2319" s="17"/>
      <c r="T2319" s="17"/>
    </row>
    <row r="2320" spans="1:20" hidden="1"/>
    <row r="2321" spans="2:22" hidden="1">
      <c r="G2321" s="89">
        <v>1303746913.27</v>
      </c>
      <c r="H2321" s="89">
        <v>1303746913.27</v>
      </c>
      <c r="I2321" s="89">
        <v>1303746913.27</v>
      </c>
    </row>
    <row r="2322" spans="2:22" ht="21.75" hidden="1" customHeight="1">
      <c r="G2322" s="89">
        <f>G2317-G2321</f>
        <v>1757367892.0530005</v>
      </c>
      <c r="H2322" s="89">
        <f>H2317-H2321</f>
        <v>436579538.52999949</v>
      </c>
      <c r="I2322" s="89">
        <f>I2317-I2321</f>
        <v>431587806.48999953</v>
      </c>
    </row>
    <row r="2323" spans="2:22" hidden="1"/>
    <row r="2324" spans="2:22" hidden="1">
      <c r="G2324" s="89" t="e">
        <f>#REF!+#REF!+#REF!+G548+#REF!+#REF!+#REF!+#REF!+G1559+G2171+#REF!</f>
        <v>#REF!</v>
      </c>
      <c r="H2324" s="89" t="e">
        <f>#REF!+#REF!+#REF!+H548+#REF!+#REF!+#REF!+#REF!+H1559+H2171+#REF!</f>
        <v>#REF!</v>
      </c>
      <c r="I2324" s="89" t="e">
        <f>#REF!+#REF!+#REF!+I548+#REF!+#REF!+#REF!+#REF!+I1559+I2171+#REF!</f>
        <v>#REF!</v>
      </c>
    </row>
    <row r="2325" spans="2:22" hidden="1">
      <c r="B2325" s="1"/>
      <c r="C2325" s="1"/>
      <c r="D2325" s="1"/>
      <c r="E2325" s="1"/>
      <c r="F2325" s="1"/>
    </row>
    <row r="2326" spans="2:22" hidden="1">
      <c r="B2326" s="1"/>
      <c r="C2326" s="1"/>
      <c r="D2326" s="1"/>
      <c r="E2326" s="1"/>
      <c r="F2326" s="1"/>
      <c r="G2326" s="89">
        <f>прил4!G3379-прил5!G2317</f>
        <v>0</v>
      </c>
      <c r="H2326" s="89">
        <f>H2317-прил4!H3379</f>
        <v>0</v>
      </c>
      <c r="I2326" s="89">
        <f>I2317-прил4!I3379</f>
        <v>0</v>
      </c>
    </row>
    <row r="2327" spans="2:22" hidden="1">
      <c r="B2327" s="1"/>
      <c r="C2327" s="1"/>
      <c r="D2327" s="1"/>
      <c r="E2327" s="1"/>
      <c r="F2327" s="1"/>
      <c r="G2327" s="89" t="e">
        <f>G2324-G2171</f>
        <v>#REF!</v>
      </c>
      <c r="H2327" s="89" t="e">
        <f>H2324-H2171</f>
        <v>#REF!</v>
      </c>
      <c r="I2327" s="89" t="e">
        <f>I2324-I2171</f>
        <v>#REF!</v>
      </c>
    </row>
    <row r="2328" spans="2:22" hidden="1">
      <c r="B2328" s="1"/>
      <c r="C2328" s="1"/>
      <c r="D2328" s="1"/>
      <c r="E2328" s="1"/>
      <c r="F2328" s="1"/>
    </row>
    <row r="2329" spans="2:22">
      <c r="Q2329" s="2">
        <f>G1947+G1943+G1862+G1856+G1852+G1848+G1604+G462+G458+G454+G450+G1613+G1616</f>
        <v>24821906.689999998</v>
      </c>
      <c r="V2329" s="2"/>
    </row>
    <row r="2331" spans="2:22">
      <c r="Q2331" s="2">
        <f>Q2317-Q2329</f>
        <v>15337063.310000002</v>
      </c>
    </row>
    <row r="2333" spans="2:22" hidden="1"/>
    <row r="2334" spans="2:22" hidden="1"/>
    <row r="2335" spans="2:22" hidden="1"/>
    <row r="2336" spans="2:22" hidden="1"/>
    <row r="2337" spans="7:15" hidden="1">
      <c r="J2337" s="89">
        <f t="shared" ref="J2337:O2337" si="660">J2317-J2335</f>
        <v>0</v>
      </c>
      <c r="K2337" s="89">
        <f t="shared" si="660"/>
        <v>0</v>
      </c>
      <c r="L2337" s="89">
        <f t="shared" si="660"/>
        <v>515699827.36999995</v>
      </c>
      <c r="M2337" s="89">
        <f t="shared" si="660"/>
        <v>0</v>
      </c>
      <c r="N2337" s="89">
        <f t="shared" si="660"/>
        <v>0</v>
      </c>
      <c r="O2337" s="89">
        <f t="shared" si="660"/>
        <v>0</v>
      </c>
    </row>
    <row r="2338" spans="7:15" hidden="1"/>
    <row r="2339" spans="7:15" hidden="1"/>
    <row r="2340" spans="7:15" hidden="1"/>
    <row r="2341" spans="7:15" hidden="1"/>
    <row r="2342" spans="7:15" hidden="1"/>
    <row r="2343" spans="7:15" hidden="1"/>
    <row r="2344" spans="7:15" hidden="1"/>
    <row r="2345" spans="7:15">
      <c r="G2345" s="89">
        <f>G2317-G2331</f>
        <v>3061114805.3230004</v>
      </c>
    </row>
    <row r="2346" spans="7:15">
      <c r="G2346" s="89">
        <f>G2317-прил4!G3379</f>
        <v>0</v>
      </c>
    </row>
    <row r="2350" spans="7:15">
      <c r="J2350" s="89">
        <f t="shared" ref="J2350:O2350" si="661">J2347-J2317</f>
        <v>0</v>
      </c>
      <c r="K2350" s="89">
        <f t="shared" si="661"/>
        <v>0</v>
      </c>
      <c r="L2350" s="89">
        <f t="shared" si="661"/>
        <v>-515699827.36999995</v>
      </c>
      <c r="M2350" s="89">
        <f t="shared" si="661"/>
        <v>0</v>
      </c>
      <c r="N2350" s="89">
        <f t="shared" si="661"/>
        <v>0</v>
      </c>
      <c r="O2350" s="89">
        <f t="shared" si="661"/>
        <v>0</v>
      </c>
    </row>
  </sheetData>
  <mergeCells count="46">
    <mergeCell ref="E12:G12"/>
    <mergeCell ref="E14:G14"/>
    <mergeCell ref="D16:G16"/>
    <mergeCell ref="A28:A30"/>
    <mergeCell ref="A27:I27"/>
    <mergeCell ref="G29:G30"/>
    <mergeCell ref="D29:D30"/>
    <mergeCell ref="B29:B30"/>
    <mergeCell ref="C29:C30"/>
    <mergeCell ref="F28:F30"/>
    <mergeCell ref="E28:E30"/>
    <mergeCell ref="H29:H30"/>
    <mergeCell ref="I29:I30"/>
    <mergeCell ref="G28:I28"/>
    <mergeCell ref="B18:C18"/>
    <mergeCell ref="D18:G18"/>
    <mergeCell ref="E26:G26"/>
    <mergeCell ref="B23:D23"/>
    <mergeCell ref="E23:G23"/>
    <mergeCell ref="B24:C24"/>
    <mergeCell ref="D24:G24"/>
    <mergeCell ref="E25:G25"/>
    <mergeCell ref="B22:C22"/>
    <mergeCell ref="D22:G22"/>
    <mergeCell ref="B21:D21"/>
    <mergeCell ref="E21:G21"/>
    <mergeCell ref="B19:D19"/>
    <mergeCell ref="E19:G19"/>
    <mergeCell ref="B20:C20"/>
    <mergeCell ref="D20:G20"/>
    <mergeCell ref="E17:G17"/>
    <mergeCell ref="E2:G2"/>
    <mergeCell ref="E4:G4"/>
    <mergeCell ref="E6:G6"/>
    <mergeCell ref="B7:D7"/>
    <mergeCell ref="E7:G7"/>
    <mergeCell ref="B8:C8"/>
    <mergeCell ref="D8:G8"/>
    <mergeCell ref="B9:D9"/>
    <mergeCell ref="E9:G9"/>
    <mergeCell ref="B10:C10"/>
    <mergeCell ref="D10:G10"/>
    <mergeCell ref="B17:D17"/>
    <mergeCell ref="B15:D15"/>
    <mergeCell ref="E15:G15"/>
    <mergeCell ref="B16:C16"/>
  </mergeCells>
  <phoneticPr fontId="25" type="noConversion"/>
  <pageMargins left="0.47244094488188981" right="0.19685039370078741" top="0.23622047244094491" bottom="0.19685039370078741" header="0.19685039370078741" footer="0.19685039370078741"/>
  <pageSetup paperSize="9" scale="55" orientation="portrait" r:id="rId1"/>
  <headerFooter alignWithMargins="0"/>
  <rowBreaks count="3" manualBreakCount="3">
    <brk id="2092" max="8" man="1"/>
    <brk id="2171" max="8" man="1"/>
    <brk id="231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прил3 </vt:lpstr>
      <vt:lpstr>прил4</vt:lpstr>
      <vt:lpstr>прил5</vt:lpstr>
      <vt:lpstr>прил4!Заголовки_для_печати</vt:lpstr>
      <vt:lpstr>прил5!Заголовки_для_печати</vt:lpstr>
      <vt:lpstr>'прил3 '!Область_печати</vt:lpstr>
      <vt:lpstr>прил4!Область_печати</vt:lpstr>
      <vt:lpstr>прил5!Область_печати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Bud-Vera</cp:lastModifiedBy>
  <cp:lastPrinted>2023-12-27T11:39:38Z</cp:lastPrinted>
  <dcterms:created xsi:type="dcterms:W3CDTF">2014-11-17T05:43:53Z</dcterms:created>
  <dcterms:modified xsi:type="dcterms:W3CDTF">2023-12-27T11:36:17Z</dcterms:modified>
</cp:coreProperties>
</file>